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07-May-26\"/>
    </mc:Choice>
  </mc:AlternateContent>
  <bookViews>
    <workbookView xWindow="0" yWindow="0" windowWidth="2880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NIFTY GRP" sheetId="9" r:id="rId16"/>
    <sheet name="Data Vlaue (Cr)" sheetId="1" r:id="rId17"/>
    <sheet name="Data shares" sheetId="4"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7">'Data shares'!$A$1:$FA$216</definedName>
    <definedName name="Expry_Roll___20" localSheetId="15">'NIFTY GRP'!$A$1:$EY$51</definedName>
    <definedName name="fii" localSheetId="18">FII!$A$1:$N$16</definedName>
    <definedName name="_xlnm.Print_Area" localSheetId="14">Disclaimar!$A$1:$A$24</definedName>
    <definedName name="stats__2" localSheetId="16">'Data Vlaue (Cr)'!$A$1:$FB$216</definedName>
  </definedNames>
  <calcPr calcId="162913" calcMode="manual"/>
</workbook>
</file>

<file path=xl/calcChain.xml><?xml version="1.0" encoding="utf-8"?>
<calcChain xmlns="http://schemas.openxmlformats.org/spreadsheetml/2006/main">
  <c r="A221" i="3" l="1"/>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221" i="14" l="1"/>
  <c r="A220" i="13"/>
  <c r="A221" i="12"/>
  <c r="A221" i="11"/>
  <c r="A221" i="10"/>
  <c r="A221" i="6"/>
  <c r="A221" i="7"/>
  <c r="M221" i="7" s="1"/>
  <c r="S225" i="2"/>
  <c r="L3" i="21"/>
  <c r="J221" i="7" l="1"/>
  <c r="N221" i="7"/>
  <c r="B221" i="7"/>
  <c r="F221" i="7"/>
  <c r="C221" i="7"/>
  <c r="G221" i="7"/>
  <c r="K221" i="7"/>
  <c r="O221" i="7"/>
  <c r="D221" i="7"/>
  <c r="H221" i="7"/>
  <c r="L221" i="7"/>
  <c r="E221" i="7"/>
  <c r="I221" i="7"/>
  <c r="E225" i="2"/>
  <c r="I225" i="2"/>
  <c r="M225" i="2"/>
  <c r="Q225" i="2"/>
  <c r="D225" i="2"/>
  <c r="L225" i="2"/>
  <c r="B225" i="2"/>
  <c r="R225" i="2"/>
  <c r="H225" i="2"/>
  <c r="P225" i="2"/>
  <c r="C225" i="2"/>
  <c r="G220"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E217" i="13" s="1"/>
  <c r="A218" i="13"/>
  <c r="G218" i="13" s="1"/>
  <c r="A219" i="13"/>
  <c r="E219" i="13" s="1"/>
  <c r="A9" i="13"/>
  <c r="A8" i="13"/>
  <c r="A7" i="13"/>
  <c r="A6" i="13"/>
  <c r="N225" i="2" l="1"/>
  <c r="O225" i="2" s="1"/>
  <c r="J225" i="2"/>
  <c r="K225" i="2" s="1"/>
  <c r="G225" i="2"/>
  <c r="F225" i="2"/>
  <c r="B219" i="13"/>
  <c r="B217" i="13"/>
  <c r="F219" i="13"/>
  <c r="D218" i="13"/>
  <c r="F217" i="13"/>
  <c r="D220" i="13"/>
  <c r="C217" i="13"/>
  <c r="G217" i="13"/>
  <c r="E218" i="13"/>
  <c r="C219" i="13"/>
  <c r="G219" i="13"/>
  <c r="E220" i="13"/>
  <c r="D217" i="13"/>
  <c r="B218" i="13"/>
  <c r="F218" i="13"/>
  <c r="D219" i="13"/>
  <c r="B220" i="13"/>
  <c r="F220" i="13"/>
  <c r="C218" i="13"/>
  <c r="C220" i="13"/>
  <c r="F19" i="18"/>
  <c r="F140" i="18"/>
  <c r="F117" i="18"/>
  <c r="F132" i="18"/>
  <c r="E132" i="18"/>
  <c r="E117" i="18"/>
  <c r="E140" i="18"/>
  <c r="E19" i="18"/>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C219" i="14" s="1"/>
  <c r="A220" i="14"/>
  <c r="F220" i="14" s="1"/>
  <c r="E221" i="14"/>
  <c r="A9" i="14"/>
  <c r="A8" i="14"/>
  <c r="A7" i="14"/>
  <c r="Q221" i="3"/>
  <c r="A215" i="12"/>
  <c r="A216" i="12"/>
  <c r="A217" i="12"/>
  <c r="A218" i="12"/>
  <c r="A219" i="12"/>
  <c r="D219" i="12" s="1"/>
  <c r="A220" i="12"/>
  <c r="B220" i="12" s="1"/>
  <c r="D221" i="12"/>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I218" i="11" s="1"/>
  <c r="A219" i="11"/>
  <c r="N219" i="11" s="1"/>
  <c r="A220" i="11"/>
  <c r="E220" i="11" s="1"/>
  <c r="N221" i="11"/>
  <c r="A9" i="11"/>
  <c r="A8" i="11"/>
  <c r="A7" i="1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N218" i="10" s="1"/>
  <c r="A219" i="10"/>
  <c r="L219" i="10" s="1"/>
  <c r="A220" i="10"/>
  <c r="G220" i="10" s="1"/>
  <c r="A10" i="10"/>
  <c r="A9" i="10"/>
  <c r="A8" i="10"/>
  <c r="A7" i="10"/>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10" i="8"/>
  <c r="A9" i="8"/>
  <c r="A8" i="8"/>
  <c r="A7" i="8"/>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L218" i="6" s="1"/>
  <c r="A219" i="6"/>
  <c r="N219" i="6" s="1"/>
  <c r="A220" i="6"/>
  <c r="L220" i="6" s="1"/>
  <c r="G221" i="6"/>
  <c r="A10" i="6"/>
  <c r="A9" i="6"/>
  <c r="A8" i="6"/>
  <c r="A7" i="6"/>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I218" i="7" s="1"/>
  <c r="A219" i="7"/>
  <c r="I219" i="7" s="1"/>
  <c r="A220" i="7"/>
  <c r="I220" i="7" s="1"/>
  <c r="A10" i="7"/>
  <c r="A9" i="7"/>
  <c r="A8" i="7"/>
  <c r="A7" i="7"/>
  <c r="P218" i="3"/>
  <c r="O219" i="3"/>
  <c r="N220" i="3"/>
  <c r="A7" i="3"/>
  <c r="R222" i="2"/>
  <c r="R223" i="2"/>
  <c r="S224" i="2"/>
  <c r="A11" i="2"/>
  <c r="C221" i="3" l="1"/>
  <c r="I221" i="3"/>
  <c r="N221" i="3"/>
  <c r="E219" i="11"/>
  <c r="F219" i="12"/>
  <c r="M218" i="6"/>
  <c r="G218" i="10"/>
  <c r="F221" i="12"/>
  <c r="S222" i="2"/>
  <c r="O219" i="6"/>
  <c r="I219" i="10"/>
  <c r="O221" i="11"/>
  <c r="H221" i="12"/>
  <c r="E224" i="2"/>
  <c r="L220" i="10"/>
  <c r="D219" i="14"/>
  <c r="E223" i="2"/>
  <c r="P224" i="2"/>
  <c r="D221" i="3"/>
  <c r="J221" i="3"/>
  <c r="O221" i="3"/>
  <c r="C218" i="7"/>
  <c r="O219" i="7"/>
  <c r="C219" i="6"/>
  <c r="E220" i="6"/>
  <c r="K218" i="10"/>
  <c r="M219" i="10"/>
  <c r="E218" i="11"/>
  <c r="G219" i="11"/>
  <c r="C221" i="11"/>
  <c r="H219" i="12"/>
  <c r="J220" i="12"/>
  <c r="C220" i="14"/>
  <c r="D222" i="2"/>
  <c r="M223" i="2"/>
  <c r="F221" i="3"/>
  <c r="L221" i="3"/>
  <c r="P221" i="3"/>
  <c r="G218" i="7"/>
  <c r="E218" i="6"/>
  <c r="G219" i="6"/>
  <c r="I220" i="6"/>
  <c r="M220" i="12" s="1"/>
  <c r="O218" i="10"/>
  <c r="C220" i="10"/>
  <c r="M218" i="11"/>
  <c r="K219" i="11"/>
  <c r="G221" i="11"/>
  <c r="B219" i="12"/>
  <c r="J219" i="12"/>
  <c r="B221" i="12"/>
  <c r="J221" i="12"/>
  <c r="B221" i="14"/>
  <c r="G221" i="14" s="1"/>
  <c r="G219" i="7"/>
  <c r="F220" i="12"/>
  <c r="I222" i="2"/>
  <c r="S223" i="2"/>
  <c r="B221" i="3"/>
  <c r="G221" i="3"/>
  <c r="M221" i="3"/>
  <c r="M218" i="7"/>
  <c r="I218" i="6"/>
  <c r="M218" i="12" s="1"/>
  <c r="K219" i="6"/>
  <c r="M220" i="6"/>
  <c r="C218" i="10"/>
  <c r="E219" i="10"/>
  <c r="C219" i="11"/>
  <c r="O219" i="11"/>
  <c r="K221" i="11"/>
  <c r="F221" i="14"/>
  <c r="N217" i="6"/>
  <c r="J217" i="6"/>
  <c r="F217" i="6"/>
  <c r="B217" i="6"/>
  <c r="M217" i="6"/>
  <c r="I217" i="6"/>
  <c r="E217" i="6"/>
  <c r="L217" i="6"/>
  <c r="H217" i="6"/>
  <c r="D217" i="6"/>
  <c r="E222" i="2"/>
  <c r="P222" i="2"/>
  <c r="B223" i="2"/>
  <c r="H223" i="2"/>
  <c r="P223" i="2"/>
  <c r="B224" i="2"/>
  <c r="L224" i="2"/>
  <c r="Q224" i="2"/>
  <c r="L220" i="7"/>
  <c r="H220" i="7"/>
  <c r="D220" i="7"/>
  <c r="N220" i="7"/>
  <c r="J220" i="7"/>
  <c r="F220" i="7"/>
  <c r="B220" i="7"/>
  <c r="D218" i="7"/>
  <c r="H218" i="7"/>
  <c r="O218" i="7"/>
  <c r="C220" i="7"/>
  <c r="K220" i="7"/>
  <c r="K217" i="6"/>
  <c r="C221" i="6"/>
  <c r="M221" i="10"/>
  <c r="I221" i="10"/>
  <c r="E221" i="10"/>
  <c r="O221" i="10"/>
  <c r="K221" i="10"/>
  <c r="G221" i="10"/>
  <c r="C221" i="10"/>
  <c r="L221" i="10"/>
  <c r="D221" i="10"/>
  <c r="J221" i="10"/>
  <c r="B221" i="10"/>
  <c r="H221" i="10"/>
  <c r="G217" i="6"/>
  <c r="O221" i="6"/>
  <c r="B222" i="2"/>
  <c r="L222" i="2"/>
  <c r="Q222" i="2"/>
  <c r="C223" i="2"/>
  <c r="I223" i="2"/>
  <c r="Q223" i="2"/>
  <c r="C224" i="2"/>
  <c r="H224" i="2"/>
  <c r="M224" i="2"/>
  <c r="R224" i="2"/>
  <c r="N219" i="7"/>
  <c r="J219" i="7"/>
  <c r="F219" i="7"/>
  <c r="B219" i="7"/>
  <c r="L219" i="7"/>
  <c r="H219" i="7"/>
  <c r="D219" i="7"/>
  <c r="E218" i="7"/>
  <c r="C219" i="7"/>
  <c r="K219" i="7"/>
  <c r="E220" i="7"/>
  <c r="M220" i="7"/>
  <c r="O217" i="6"/>
  <c r="F221" i="10"/>
  <c r="N221" i="6"/>
  <c r="J221" i="6"/>
  <c r="F221" i="6"/>
  <c r="B221" i="6"/>
  <c r="M221" i="6"/>
  <c r="I221" i="6"/>
  <c r="M221" i="12" s="1"/>
  <c r="E221" i="6"/>
  <c r="L221" i="6"/>
  <c r="O221" i="12" s="1"/>
  <c r="H221" i="6"/>
  <c r="L221" i="12" s="1"/>
  <c r="D221" i="6"/>
  <c r="C222" i="2"/>
  <c r="H222" i="2"/>
  <c r="M222" i="2"/>
  <c r="D223" i="2"/>
  <c r="F223" i="2" s="1"/>
  <c r="L223" i="2"/>
  <c r="N223" i="2" s="1"/>
  <c r="O223" i="2" s="1"/>
  <c r="D224" i="2"/>
  <c r="I224" i="2"/>
  <c r="L218" i="7"/>
  <c r="N218" i="7"/>
  <c r="J218" i="7"/>
  <c r="B218" i="7"/>
  <c r="F218" i="7"/>
  <c r="K218" i="7"/>
  <c r="E219" i="7"/>
  <c r="M219" i="7"/>
  <c r="G220" i="7"/>
  <c r="O220" i="7"/>
  <c r="C217" i="6"/>
  <c r="K221" i="6"/>
  <c r="N221" i="12" s="1"/>
  <c r="N221" i="10"/>
  <c r="I218" i="12"/>
  <c r="E218" i="12"/>
  <c r="H218" i="12"/>
  <c r="D218" i="12"/>
  <c r="O218" i="12"/>
  <c r="K218" i="12"/>
  <c r="G218" i="12"/>
  <c r="C218" i="12"/>
  <c r="J218" i="12"/>
  <c r="F218" i="12"/>
  <c r="B218" i="12"/>
  <c r="N219" i="12"/>
  <c r="B218" i="6"/>
  <c r="F218" i="6"/>
  <c r="J218" i="6"/>
  <c r="N218" i="6"/>
  <c r="D219" i="6"/>
  <c r="H219" i="6"/>
  <c r="L219" i="12" s="1"/>
  <c r="L219" i="6"/>
  <c r="B220" i="6"/>
  <c r="F220" i="6"/>
  <c r="J220" i="6"/>
  <c r="N220" i="6"/>
  <c r="O220" i="10"/>
  <c r="K220" i="10"/>
  <c r="M220" i="10"/>
  <c r="D218" i="10"/>
  <c r="H218" i="10"/>
  <c r="L218" i="10"/>
  <c r="B219" i="10"/>
  <c r="F219" i="10"/>
  <c r="J219" i="10"/>
  <c r="N219" i="10"/>
  <c r="D220" i="10"/>
  <c r="H220" i="10"/>
  <c r="N220" i="10"/>
  <c r="L220" i="11"/>
  <c r="H220" i="11"/>
  <c r="D220" i="11"/>
  <c r="O220" i="11"/>
  <c r="K220" i="11"/>
  <c r="G220" i="11"/>
  <c r="C220" i="11"/>
  <c r="N220" i="11"/>
  <c r="J220" i="11"/>
  <c r="F220" i="11"/>
  <c r="B220" i="11"/>
  <c r="I220" i="11"/>
  <c r="C218" i="6"/>
  <c r="G218" i="6"/>
  <c r="K218" i="6"/>
  <c r="N218" i="12" s="1"/>
  <c r="O218" i="6"/>
  <c r="E219" i="6"/>
  <c r="I219" i="6"/>
  <c r="M219" i="12" s="1"/>
  <c r="M219" i="6"/>
  <c r="C220" i="6"/>
  <c r="G220" i="6"/>
  <c r="K220" i="6"/>
  <c r="N220" i="12" s="1"/>
  <c r="O220" i="6"/>
  <c r="E218" i="10"/>
  <c r="I218" i="10"/>
  <c r="M218" i="10"/>
  <c r="C219" i="10"/>
  <c r="G219" i="10"/>
  <c r="K219" i="10"/>
  <c r="O219" i="10"/>
  <c r="E220" i="10"/>
  <c r="I220" i="10"/>
  <c r="M220" i="11"/>
  <c r="D218" i="14"/>
  <c r="C218" i="14"/>
  <c r="F218" i="14"/>
  <c r="B218" i="14"/>
  <c r="D218" i="6"/>
  <c r="H218" i="6"/>
  <c r="L218" i="12" s="1"/>
  <c r="B219" i="6"/>
  <c r="F219" i="6"/>
  <c r="J219" i="6"/>
  <c r="D220" i="6"/>
  <c r="H220" i="6"/>
  <c r="L220" i="12" s="1"/>
  <c r="B218" i="10"/>
  <c r="F218" i="10"/>
  <c r="J218" i="10"/>
  <c r="D219" i="10"/>
  <c r="H219" i="10"/>
  <c r="B220" i="10"/>
  <c r="F220" i="10"/>
  <c r="J220" i="10"/>
  <c r="L218" i="11"/>
  <c r="H218" i="11"/>
  <c r="D218" i="11"/>
  <c r="O218" i="11"/>
  <c r="K218" i="11"/>
  <c r="G218" i="11"/>
  <c r="C218" i="11"/>
  <c r="N218" i="11"/>
  <c r="J218" i="11"/>
  <c r="F218" i="11"/>
  <c r="B218" i="11"/>
  <c r="O219" i="12"/>
  <c r="E218" i="14"/>
  <c r="D219" i="11"/>
  <c r="H219" i="11"/>
  <c r="L219" i="11"/>
  <c r="D221" i="11"/>
  <c r="H221" i="11"/>
  <c r="L221" i="11"/>
  <c r="E219" i="12"/>
  <c r="I219" i="12"/>
  <c r="C220" i="12"/>
  <c r="G220" i="12"/>
  <c r="K220" i="12"/>
  <c r="O220" i="12"/>
  <c r="E221" i="12"/>
  <c r="I221" i="12"/>
  <c r="E219" i="14"/>
  <c r="D220" i="14"/>
  <c r="C221" i="14"/>
  <c r="I219" i="11"/>
  <c r="M219" i="11"/>
  <c r="E221" i="11"/>
  <c r="I221" i="11"/>
  <c r="M221" i="11"/>
  <c r="D220" i="12"/>
  <c r="H220" i="12"/>
  <c r="B219" i="14"/>
  <c r="F219" i="14"/>
  <c r="E220" i="14"/>
  <c r="D221" i="14"/>
  <c r="B219" i="11"/>
  <c r="F219" i="11"/>
  <c r="J219" i="11"/>
  <c r="B221" i="11"/>
  <c r="F221" i="11"/>
  <c r="J221" i="11"/>
  <c r="C219" i="12"/>
  <c r="G219" i="12"/>
  <c r="K219" i="12"/>
  <c r="E220" i="12"/>
  <c r="I220" i="12"/>
  <c r="C221" i="12"/>
  <c r="G221" i="12"/>
  <c r="K221" i="12"/>
  <c r="B220" i="14"/>
  <c r="G220" i="14" s="1"/>
  <c r="L219" i="3"/>
  <c r="D220" i="3"/>
  <c r="B218" i="3"/>
  <c r="F219" i="3"/>
  <c r="J220" i="3"/>
  <c r="Q218" i="3"/>
  <c r="G218" i="3"/>
  <c r="O220" i="3"/>
  <c r="M218" i="3"/>
  <c r="P219" i="3"/>
  <c r="C218" i="3"/>
  <c r="I218" i="3"/>
  <c r="N218" i="3"/>
  <c r="B219" i="3"/>
  <c r="G219" i="3"/>
  <c r="M219" i="3"/>
  <c r="Q219" i="3"/>
  <c r="F220" i="3"/>
  <c r="L220" i="3"/>
  <c r="P220" i="3"/>
  <c r="D218" i="3"/>
  <c r="J218" i="3"/>
  <c r="O218" i="3"/>
  <c r="C219" i="3"/>
  <c r="I219" i="3"/>
  <c r="N219" i="3"/>
  <c r="B220" i="3"/>
  <c r="G220" i="3"/>
  <c r="M220" i="3"/>
  <c r="Q220" i="3"/>
  <c r="F218" i="3"/>
  <c r="H218" i="3" s="1"/>
  <c r="L218" i="3"/>
  <c r="D219" i="3"/>
  <c r="J219" i="3"/>
  <c r="C220" i="3"/>
  <c r="I220" i="3"/>
  <c r="F114" i="18"/>
  <c r="F41" i="18"/>
  <c r="F145" i="18"/>
  <c r="F9" i="18"/>
  <c r="F124" i="18"/>
  <c r="F80" i="18"/>
  <c r="F176" i="18"/>
  <c r="F102" i="18"/>
  <c r="F197" i="18"/>
  <c r="E221" i="3" l="1"/>
  <c r="K221" i="3"/>
  <c r="G223" i="2"/>
  <c r="J222" i="2"/>
  <c r="K222" i="2" s="1"/>
  <c r="G222" i="2"/>
  <c r="H221" i="3"/>
  <c r="J224" i="2"/>
  <c r="K224" i="2" s="1"/>
  <c r="F222" i="2"/>
  <c r="G218" i="14"/>
  <c r="G219" i="14"/>
  <c r="N222" i="2"/>
  <c r="O222" i="2" s="1"/>
  <c r="J223" i="2"/>
  <c r="K223" i="2" s="1"/>
  <c r="N224" i="2"/>
  <c r="O224" i="2" s="1"/>
  <c r="G224" i="2"/>
  <c r="F224" i="2"/>
  <c r="E220" i="3"/>
  <c r="K219" i="3"/>
  <c r="H219" i="3"/>
  <c r="H220" i="3"/>
  <c r="K220" i="3"/>
  <c r="K218" i="3"/>
  <c r="E219" i="3"/>
  <c r="E218" i="3"/>
  <c r="L4" i="21"/>
  <c r="F87" i="18"/>
  <c r="B215" i="14" l="1"/>
  <c r="C216" i="14"/>
  <c r="D217" i="14"/>
  <c r="B213" i="13"/>
  <c r="B214" i="13"/>
  <c r="D215" i="13"/>
  <c r="B216" i="13"/>
  <c r="A214" i="12"/>
  <c r="B214" i="12" s="1"/>
  <c r="B215" i="12"/>
  <c r="C216" i="12"/>
  <c r="B217" i="12"/>
  <c r="D213" i="11"/>
  <c r="B214" i="11"/>
  <c r="C215" i="11"/>
  <c r="D216" i="11"/>
  <c r="D217" i="11"/>
  <c r="B214" i="10"/>
  <c r="C215" i="10"/>
  <c r="B216" i="10"/>
  <c r="B217" i="10"/>
  <c r="B54" i="8"/>
  <c r="D55" i="8"/>
  <c r="B56" i="8"/>
  <c r="B212" i="6"/>
  <c r="C213" i="6"/>
  <c r="D214" i="6"/>
  <c r="B215" i="6"/>
  <c r="B216" i="6"/>
  <c r="B214" i="7"/>
  <c r="B215" i="7"/>
  <c r="D216" i="7"/>
  <c r="B217" i="7"/>
  <c r="B215" i="2"/>
  <c r="B216" i="2"/>
  <c r="D217" i="2"/>
  <c r="B219" i="2"/>
  <c r="B220" i="2"/>
  <c r="D221" i="2"/>
  <c r="L216" i="10" l="1"/>
  <c r="G215" i="13"/>
  <c r="I216" i="10"/>
  <c r="G216" i="10"/>
  <c r="N216" i="11"/>
  <c r="L215" i="2"/>
  <c r="O216" i="10"/>
  <c r="E216" i="10"/>
  <c r="K217" i="11"/>
  <c r="J216" i="12"/>
  <c r="I214" i="12"/>
  <c r="I216" i="12"/>
  <c r="I214" i="7"/>
  <c r="G216" i="11"/>
  <c r="B216" i="12"/>
  <c r="H214" i="12"/>
  <c r="E216" i="14"/>
  <c r="M215" i="6"/>
  <c r="N215" i="10"/>
  <c r="I215" i="6"/>
  <c r="M215" i="10"/>
  <c r="K216" i="10"/>
  <c r="D216" i="10"/>
  <c r="E215" i="10"/>
  <c r="F217" i="11"/>
  <c r="I214" i="11"/>
  <c r="G213" i="11"/>
  <c r="C214" i="12"/>
  <c r="F215" i="13"/>
  <c r="B216" i="14"/>
  <c r="K213" i="11"/>
  <c r="K214" i="6"/>
  <c r="M215" i="11"/>
  <c r="F213" i="11"/>
  <c r="B215" i="13"/>
  <c r="F217" i="14"/>
  <c r="K216" i="7"/>
  <c r="F214" i="6"/>
  <c r="J215" i="11"/>
  <c r="M213" i="11"/>
  <c r="B213" i="11"/>
  <c r="M218" i="2"/>
  <c r="I217" i="2"/>
  <c r="Q215" i="2"/>
  <c r="E215" i="2"/>
  <c r="M216" i="6"/>
  <c r="E215" i="6"/>
  <c r="M216" i="10"/>
  <c r="H216" i="10"/>
  <c r="C216" i="10"/>
  <c r="I215" i="10"/>
  <c r="M214" i="10"/>
  <c r="N217" i="11"/>
  <c r="I217" i="11"/>
  <c r="C217" i="11"/>
  <c r="O213" i="11"/>
  <c r="J213" i="11"/>
  <c r="E213" i="11"/>
  <c r="G214" i="12"/>
  <c r="C217" i="14"/>
  <c r="S218" i="2"/>
  <c r="S217" i="2"/>
  <c r="I215" i="2"/>
  <c r="O217" i="11"/>
  <c r="J217" i="11"/>
  <c r="E217" i="11"/>
  <c r="E218" i="2"/>
  <c r="E217" i="2"/>
  <c r="G217" i="2" s="1"/>
  <c r="M215" i="2"/>
  <c r="N215" i="2" s="1"/>
  <c r="O215" i="2" s="1"/>
  <c r="D215" i="2"/>
  <c r="F215" i="10"/>
  <c r="I214" i="10"/>
  <c r="M217" i="11"/>
  <c r="G217" i="11"/>
  <c r="B217" i="11"/>
  <c r="M214" i="11"/>
  <c r="N213" i="11"/>
  <c r="I213" i="11"/>
  <c r="C213" i="11"/>
  <c r="D214" i="12"/>
  <c r="I213" i="6"/>
  <c r="L217" i="10"/>
  <c r="Q219" i="2"/>
  <c r="R218" i="2"/>
  <c r="L218" i="2"/>
  <c r="D218" i="2"/>
  <c r="L215" i="6"/>
  <c r="H215" i="6"/>
  <c r="D215" i="6"/>
  <c r="O214" i="6"/>
  <c r="J214" i="6"/>
  <c r="E214" i="6"/>
  <c r="N213" i="6"/>
  <c r="F213" i="6"/>
  <c r="M212" i="6"/>
  <c r="K217" i="10"/>
  <c r="M216" i="11"/>
  <c r="F216" i="11"/>
  <c r="S221" i="2"/>
  <c r="I219" i="2"/>
  <c r="Q218" i="2"/>
  <c r="I218" i="2"/>
  <c r="C218" i="2"/>
  <c r="R217" i="2"/>
  <c r="Q216" i="2"/>
  <c r="F216" i="7"/>
  <c r="H214" i="7"/>
  <c r="O215" i="6"/>
  <c r="K215" i="6"/>
  <c r="G215" i="6"/>
  <c r="C215" i="6"/>
  <c r="N214" i="6"/>
  <c r="I214" i="6"/>
  <c r="C214" i="6"/>
  <c r="M213" i="6"/>
  <c r="E213" i="6"/>
  <c r="I212" i="6"/>
  <c r="G217" i="10"/>
  <c r="N216" i="10"/>
  <c r="J216" i="10"/>
  <c r="F216" i="10"/>
  <c r="J215" i="10"/>
  <c r="B215" i="10"/>
  <c r="E214" i="10"/>
  <c r="K216" i="11"/>
  <c r="C216" i="11"/>
  <c r="F216" i="12"/>
  <c r="I215" i="12"/>
  <c r="E215" i="13"/>
  <c r="B217" i="14"/>
  <c r="P218" i="2"/>
  <c r="H218" i="2"/>
  <c r="B218" i="2"/>
  <c r="B216" i="3"/>
  <c r="N215" i="6"/>
  <c r="J215" i="6"/>
  <c r="F215" i="6"/>
  <c r="M214" i="6"/>
  <c r="G214" i="6"/>
  <c r="B214" i="6"/>
  <c r="J213" i="6"/>
  <c r="B213" i="6"/>
  <c r="E212" i="6"/>
  <c r="E217" i="10"/>
  <c r="I216" i="11"/>
  <c r="B216" i="11"/>
  <c r="E216" i="12"/>
  <c r="E215" i="12"/>
  <c r="C215" i="13"/>
  <c r="J55" i="8"/>
  <c r="F55" i="8"/>
  <c r="E55" i="8"/>
  <c r="B214" i="3"/>
  <c r="I214" i="3"/>
  <c r="Q214" i="3"/>
  <c r="L214" i="3"/>
  <c r="D214" i="3"/>
  <c r="M214" i="3"/>
  <c r="P214" i="3"/>
  <c r="R221" i="2"/>
  <c r="E221" i="2"/>
  <c r="G221" i="2" s="1"/>
  <c r="Q220" i="2"/>
  <c r="P219" i="2"/>
  <c r="H219" i="2"/>
  <c r="Q217" i="2"/>
  <c r="C217" i="2"/>
  <c r="F217" i="2" s="1"/>
  <c r="M216" i="2"/>
  <c r="D213" i="3"/>
  <c r="J211" i="3"/>
  <c r="L217" i="7"/>
  <c r="H217" i="7"/>
  <c r="D217" i="7"/>
  <c r="O216" i="7"/>
  <c r="J216" i="7"/>
  <c r="E216" i="7"/>
  <c r="M215" i="7"/>
  <c r="M214" i="7"/>
  <c r="E214" i="7"/>
  <c r="I216" i="6"/>
  <c r="O217" i="10"/>
  <c r="I217" i="10"/>
  <c r="D217" i="10"/>
  <c r="F215" i="11"/>
  <c r="H217" i="12"/>
  <c r="D217" i="12"/>
  <c r="D216" i="13"/>
  <c r="E213" i="13"/>
  <c r="M217" i="7"/>
  <c r="I217" i="7"/>
  <c r="E217" i="7"/>
  <c r="I217" i="12"/>
  <c r="E217" i="12"/>
  <c r="E216" i="13"/>
  <c r="Q221" i="2"/>
  <c r="C221" i="2"/>
  <c r="F221" i="2" s="1"/>
  <c r="M220" i="2"/>
  <c r="M219" i="2"/>
  <c r="E219" i="2"/>
  <c r="N218" i="2"/>
  <c r="O218" i="2" s="1"/>
  <c r="M217" i="2"/>
  <c r="B217" i="2"/>
  <c r="I216" i="2"/>
  <c r="P215" i="2"/>
  <c r="H215" i="2"/>
  <c r="C217" i="3"/>
  <c r="J215" i="3"/>
  <c r="O217" i="7"/>
  <c r="K217" i="7"/>
  <c r="G217" i="7"/>
  <c r="C217" i="7"/>
  <c r="N216" i="7"/>
  <c r="I216" i="7"/>
  <c r="C216" i="7"/>
  <c r="I215" i="7"/>
  <c r="L214" i="7"/>
  <c r="D214" i="7"/>
  <c r="E216" i="6"/>
  <c r="M217" i="10"/>
  <c r="H217" i="10"/>
  <c r="C217" i="10"/>
  <c r="L217" i="11"/>
  <c r="H217" i="11"/>
  <c r="O216" i="11"/>
  <c r="J216" i="11"/>
  <c r="E216" i="11"/>
  <c r="N215" i="11"/>
  <c r="B215" i="11"/>
  <c r="L213" i="11"/>
  <c r="H213" i="11"/>
  <c r="K217" i="12"/>
  <c r="G217" i="12"/>
  <c r="C217" i="12"/>
  <c r="K214" i="12"/>
  <c r="E214" i="12"/>
  <c r="G216" i="13"/>
  <c r="C216" i="13"/>
  <c r="D213" i="13"/>
  <c r="E217" i="14"/>
  <c r="F216" i="14"/>
  <c r="E215" i="14"/>
  <c r="G215" i="14" s="1"/>
  <c r="I221" i="2"/>
  <c r="M221" i="2"/>
  <c r="B221" i="2"/>
  <c r="L219" i="2"/>
  <c r="D219" i="2"/>
  <c r="E216" i="2"/>
  <c r="N217" i="7"/>
  <c r="J217" i="7"/>
  <c r="F217" i="7"/>
  <c r="M216" i="7"/>
  <c r="G216" i="7"/>
  <c r="B216" i="7"/>
  <c r="E215" i="7"/>
  <c r="J217" i="12"/>
  <c r="F217" i="12"/>
  <c r="F216" i="13"/>
  <c r="E214" i="13"/>
  <c r="I54" i="8"/>
  <c r="E56" i="8"/>
  <c r="I55" i="8"/>
  <c r="C55" i="8"/>
  <c r="H54" i="8"/>
  <c r="I56" i="8"/>
  <c r="H56" i="8"/>
  <c r="D56" i="8"/>
  <c r="G55" i="8"/>
  <c r="B55" i="8"/>
  <c r="E54" i="8"/>
  <c r="D54" i="8"/>
  <c r="D215" i="14"/>
  <c r="D216" i="14"/>
  <c r="C215" i="14"/>
  <c r="F215" i="14"/>
  <c r="D214" i="13"/>
  <c r="G213" i="13"/>
  <c r="C213" i="13"/>
  <c r="G214" i="13"/>
  <c r="C214" i="13"/>
  <c r="F213" i="13"/>
  <c r="F214" i="13"/>
  <c r="H215" i="12"/>
  <c r="D215" i="12"/>
  <c r="H216" i="12"/>
  <c r="D216" i="12"/>
  <c r="K215" i="12"/>
  <c r="G215" i="12"/>
  <c r="C215" i="12"/>
  <c r="J214" i="12"/>
  <c r="F214" i="12"/>
  <c r="K216" i="12"/>
  <c r="G216" i="12"/>
  <c r="J215" i="12"/>
  <c r="F215" i="12"/>
  <c r="I215" i="11"/>
  <c r="E215" i="11"/>
  <c r="L215" i="11"/>
  <c r="H215" i="11"/>
  <c r="D215" i="11"/>
  <c r="O214" i="11"/>
  <c r="K214" i="11"/>
  <c r="G214" i="11"/>
  <c r="C214" i="11"/>
  <c r="E214" i="11"/>
  <c r="L214" i="11"/>
  <c r="H214" i="11"/>
  <c r="D214" i="11"/>
  <c r="L216" i="11"/>
  <c r="H216" i="11"/>
  <c r="O215" i="11"/>
  <c r="K215" i="11"/>
  <c r="G215" i="11"/>
  <c r="N214" i="11"/>
  <c r="J214" i="11"/>
  <c r="F214" i="11"/>
  <c r="L214" i="10"/>
  <c r="H214" i="10"/>
  <c r="D214" i="10"/>
  <c r="N217" i="10"/>
  <c r="J217" i="10"/>
  <c r="F217" i="10"/>
  <c r="L215" i="10"/>
  <c r="H215" i="10"/>
  <c r="D215" i="10"/>
  <c r="O214" i="10"/>
  <c r="K214" i="10"/>
  <c r="G214" i="10"/>
  <c r="C214" i="10"/>
  <c r="O215" i="10"/>
  <c r="K215" i="10"/>
  <c r="G215" i="10"/>
  <c r="N214" i="10"/>
  <c r="J214" i="10"/>
  <c r="F214" i="10"/>
  <c r="C56" i="8"/>
  <c r="G54" i="8"/>
  <c r="C54" i="8"/>
  <c r="G56" i="8"/>
  <c r="J56" i="8"/>
  <c r="F56" i="8"/>
  <c r="H55" i="8"/>
  <c r="J54" i="8"/>
  <c r="F54" i="8"/>
  <c r="L216" i="6"/>
  <c r="H216" i="6"/>
  <c r="D216" i="6"/>
  <c r="L212" i="6"/>
  <c r="H212" i="6"/>
  <c r="D212" i="6"/>
  <c r="O216" i="6"/>
  <c r="K216" i="6"/>
  <c r="G216" i="6"/>
  <c r="C216" i="6"/>
  <c r="L213" i="6"/>
  <c r="H213" i="6"/>
  <c r="D213" i="6"/>
  <c r="O212" i="6"/>
  <c r="K212" i="6"/>
  <c r="G212" i="6"/>
  <c r="C212" i="6"/>
  <c r="N216" i="6"/>
  <c r="J216" i="6"/>
  <c r="F216" i="6"/>
  <c r="L214" i="6"/>
  <c r="H214" i="6"/>
  <c r="O213" i="6"/>
  <c r="K213" i="6"/>
  <c r="G213" i="6"/>
  <c r="N212" i="6"/>
  <c r="J212" i="6"/>
  <c r="F212" i="6"/>
  <c r="L215" i="7"/>
  <c r="H215" i="7"/>
  <c r="D215" i="7"/>
  <c r="O214" i="7"/>
  <c r="K214" i="7"/>
  <c r="G214" i="7"/>
  <c r="C214" i="7"/>
  <c r="L216" i="7"/>
  <c r="H216" i="7"/>
  <c r="O215" i="7"/>
  <c r="K215" i="7"/>
  <c r="G215" i="7"/>
  <c r="C215" i="7"/>
  <c r="N214" i="7"/>
  <c r="J214" i="7"/>
  <c r="F214" i="7"/>
  <c r="N215" i="7"/>
  <c r="J215" i="7"/>
  <c r="F215" i="7"/>
  <c r="L217" i="3"/>
  <c r="O214" i="3"/>
  <c r="G214" i="3"/>
  <c r="C214" i="3"/>
  <c r="N211" i="3"/>
  <c r="N214" i="3"/>
  <c r="J214" i="3"/>
  <c r="F214" i="3"/>
  <c r="I220" i="2"/>
  <c r="E220" i="2"/>
  <c r="P220" i="2"/>
  <c r="L220" i="2"/>
  <c r="H220" i="2"/>
  <c r="J220" i="2" s="1"/>
  <c r="K220" i="2" s="1"/>
  <c r="D220" i="2"/>
  <c r="S219" i="2"/>
  <c r="C219" i="2"/>
  <c r="P216" i="2"/>
  <c r="L216" i="2"/>
  <c r="H216" i="2"/>
  <c r="D216" i="2"/>
  <c r="S215" i="2"/>
  <c r="C215" i="2"/>
  <c r="P221" i="2"/>
  <c r="L221" i="2"/>
  <c r="H221" i="2"/>
  <c r="S220" i="2"/>
  <c r="C220" i="2"/>
  <c r="R219" i="2"/>
  <c r="P217" i="2"/>
  <c r="L217" i="2"/>
  <c r="H217" i="2"/>
  <c r="S216" i="2"/>
  <c r="C216" i="2"/>
  <c r="R215" i="2"/>
  <c r="R220" i="2"/>
  <c r="R216" i="2"/>
  <c r="B205" i="14"/>
  <c r="B206" i="14"/>
  <c r="D207" i="14"/>
  <c r="B208" i="14"/>
  <c r="B209" i="14"/>
  <c r="B210" i="14"/>
  <c r="D211" i="14"/>
  <c r="B212" i="14"/>
  <c r="B213" i="14"/>
  <c r="B214" i="14"/>
  <c r="B211" i="13"/>
  <c r="C212" i="13"/>
  <c r="A211" i="12"/>
  <c r="B211" i="12" s="1"/>
  <c r="A212" i="12"/>
  <c r="B212" i="12" s="1"/>
  <c r="A213" i="12"/>
  <c r="D213" i="12" s="1"/>
  <c r="B212" i="11"/>
  <c r="B213" i="10"/>
  <c r="B213" i="7"/>
  <c r="G218" i="2" l="1"/>
  <c r="F215" i="2"/>
  <c r="G216" i="14"/>
  <c r="F211" i="3"/>
  <c r="J218" i="2"/>
  <c r="K218" i="2" s="1"/>
  <c r="J217" i="2"/>
  <c r="K217" i="2" s="1"/>
  <c r="F215" i="3"/>
  <c r="J215" i="2"/>
  <c r="K215" i="2" s="1"/>
  <c r="G215" i="2"/>
  <c r="D208" i="14"/>
  <c r="F218" i="2"/>
  <c r="N217" i="2"/>
  <c r="O217" i="2" s="1"/>
  <c r="N216" i="3"/>
  <c r="G219" i="2"/>
  <c r="F219" i="2"/>
  <c r="N220" i="2"/>
  <c r="O220" i="2" s="1"/>
  <c r="K214" i="3"/>
  <c r="F216" i="3"/>
  <c r="F207" i="14"/>
  <c r="E208" i="14"/>
  <c r="G208" i="14" s="1"/>
  <c r="E207" i="14"/>
  <c r="N221" i="2"/>
  <c r="O221" i="2" s="1"/>
  <c r="J217" i="3"/>
  <c r="L213" i="3"/>
  <c r="Q216" i="3"/>
  <c r="C208" i="14"/>
  <c r="F213" i="3"/>
  <c r="C213" i="3"/>
  <c r="E213" i="3" s="1"/>
  <c r="P213" i="3"/>
  <c r="D216" i="3"/>
  <c r="P216" i="3"/>
  <c r="K213" i="12"/>
  <c r="J216" i="2"/>
  <c r="K216" i="2" s="1"/>
  <c r="J213" i="3"/>
  <c r="G213" i="3"/>
  <c r="E214" i="3"/>
  <c r="G216" i="3"/>
  <c r="C216" i="3"/>
  <c r="J216" i="3"/>
  <c r="L213" i="10"/>
  <c r="F211" i="14"/>
  <c r="J221" i="2"/>
  <c r="K221" i="2" s="1"/>
  <c r="N216" i="2"/>
  <c r="O216" i="2" s="1"/>
  <c r="N213" i="3"/>
  <c r="O213" i="3"/>
  <c r="M216" i="3"/>
  <c r="L216" i="3"/>
  <c r="G217" i="14"/>
  <c r="I216" i="3"/>
  <c r="O216" i="3"/>
  <c r="J219" i="2"/>
  <c r="K219" i="2" s="1"/>
  <c r="H214" i="3"/>
  <c r="F212" i="3"/>
  <c r="L212" i="3"/>
  <c r="P212" i="3"/>
  <c r="J212" i="3"/>
  <c r="B212" i="3"/>
  <c r="G212" i="3"/>
  <c r="M212" i="3"/>
  <c r="Q212" i="3"/>
  <c r="O212" i="3"/>
  <c r="C212" i="3"/>
  <c r="I212" i="3"/>
  <c r="N212" i="3"/>
  <c r="D212" i="3"/>
  <c r="B217" i="3"/>
  <c r="Q217" i="3"/>
  <c r="M217" i="3"/>
  <c r="I217" i="3"/>
  <c r="D213" i="10"/>
  <c r="F213" i="12"/>
  <c r="I211" i="12"/>
  <c r="E211" i="14"/>
  <c r="F208" i="14"/>
  <c r="C207" i="14"/>
  <c r="N217" i="3"/>
  <c r="G217" i="3"/>
  <c r="P217" i="3"/>
  <c r="B215" i="3"/>
  <c r="G215" i="3"/>
  <c r="O215" i="3"/>
  <c r="I215" i="3"/>
  <c r="K215" i="3" s="1"/>
  <c r="P215" i="3"/>
  <c r="D215" i="3"/>
  <c r="C215" i="3"/>
  <c r="L215" i="3"/>
  <c r="Q215" i="3"/>
  <c r="M215" i="3"/>
  <c r="O217" i="3"/>
  <c r="N215" i="3"/>
  <c r="B211" i="3"/>
  <c r="D211" i="3"/>
  <c r="M211" i="3"/>
  <c r="G211" i="3"/>
  <c r="O211" i="3"/>
  <c r="C211" i="3"/>
  <c r="Q211" i="3"/>
  <c r="I211" i="3"/>
  <c r="K211" i="3" s="1"/>
  <c r="P211" i="3"/>
  <c r="L211" i="3"/>
  <c r="E212" i="12"/>
  <c r="F217" i="3"/>
  <c r="D217" i="3"/>
  <c r="E217" i="3" s="1"/>
  <c r="N219" i="2"/>
  <c r="O219" i="2" s="1"/>
  <c r="B213" i="3"/>
  <c r="M213" i="3"/>
  <c r="Q213" i="3"/>
  <c r="I213" i="3"/>
  <c r="M213" i="10"/>
  <c r="I212" i="12"/>
  <c r="F216" i="2"/>
  <c r="G216" i="2"/>
  <c r="F220" i="2"/>
  <c r="G220" i="2"/>
  <c r="I213" i="10"/>
  <c r="C213" i="12"/>
  <c r="D212" i="14"/>
  <c r="E214" i="14"/>
  <c r="G214" i="14" s="1"/>
  <c r="I213" i="7"/>
  <c r="I213" i="12"/>
  <c r="E213" i="10"/>
  <c r="I212" i="11"/>
  <c r="G213" i="12"/>
  <c r="B213" i="12"/>
  <c r="F212" i="13"/>
  <c r="C212" i="14"/>
  <c r="E212" i="11"/>
  <c r="E212" i="13"/>
  <c r="L212" i="11"/>
  <c r="M212" i="11"/>
  <c r="D212" i="11"/>
  <c r="J213" i="12"/>
  <c r="E213" i="12"/>
  <c r="B212" i="13"/>
  <c r="E212" i="14"/>
  <c r="G212" i="14" s="1"/>
  <c r="M213" i="7"/>
  <c r="E213" i="7"/>
  <c r="L213" i="7"/>
  <c r="D213" i="7"/>
  <c r="H213" i="10"/>
  <c r="H212" i="11"/>
  <c r="H211" i="12"/>
  <c r="F212" i="14"/>
  <c r="C211" i="14"/>
  <c r="E209" i="14"/>
  <c r="G209" i="14" s="1"/>
  <c r="B207" i="14"/>
  <c r="E205" i="14"/>
  <c r="G205" i="14" s="1"/>
  <c r="E211" i="12"/>
  <c r="E211" i="13"/>
  <c r="E213" i="14"/>
  <c r="G213" i="14" s="1"/>
  <c r="B211" i="14"/>
  <c r="D209" i="14"/>
  <c r="D205" i="14"/>
  <c r="H213" i="7"/>
  <c r="D211" i="12"/>
  <c r="D213" i="14"/>
  <c r="E206" i="14"/>
  <c r="G206" i="14" s="1"/>
  <c r="D214" i="14"/>
  <c r="C213" i="14"/>
  <c r="D210" i="14"/>
  <c r="C209" i="14"/>
  <c r="D206" i="14"/>
  <c r="C205" i="14"/>
  <c r="C214" i="14"/>
  <c r="F213" i="14"/>
  <c r="C210" i="14"/>
  <c r="F209" i="14"/>
  <c r="C206" i="14"/>
  <c r="F205" i="14"/>
  <c r="E210" i="14"/>
  <c r="G210" i="14" s="1"/>
  <c r="F214" i="14"/>
  <c r="F210" i="14"/>
  <c r="F206" i="14"/>
  <c r="D211" i="13"/>
  <c r="D212" i="13"/>
  <c r="G211" i="13"/>
  <c r="C211" i="13"/>
  <c r="G212" i="13"/>
  <c r="F211" i="13"/>
  <c r="H212" i="12"/>
  <c r="D212" i="12"/>
  <c r="K211" i="12"/>
  <c r="G211" i="12"/>
  <c r="C211" i="12"/>
  <c r="H213" i="12"/>
  <c r="K212" i="12"/>
  <c r="G212" i="12"/>
  <c r="C212" i="12"/>
  <c r="J211" i="12"/>
  <c r="F211" i="12"/>
  <c r="J212" i="12"/>
  <c r="F212" i="12"/>
  <c r="O212" i="11"/>
  <c r="K212" i="11"/>
  <c r="G212" i="11"/>
  <c r="C212" i="11"/>
  <c r="N212" i="11"/>
  <c r="J212" i="11"/>
  <c r="F212" i="11"/>
  <c r="O213" i="10"/>
  <c r="K213" i="10"/>
  <c r="G213" i="10"/>
  <c r="C213" i="10"/>
  <c r="N213" i="10"/>
  <c r="J213" i="10"/>
  <c r="F213" i="10"/>
  <c r="O213" i="7"/>
  <c r="K213" i="7"/>
  <c r="G213" i="7"/>
  <c r="C213" i="7"/>
  <c r="N213" i="7"/>
  <c r="J213" i="7"/>
  <c r="F213" i="7"/>
  <c r="B7" i="13"/>
  <c r="B9" i="13"/>
  <c r="B11" i="13"/>
  <c r="B13" i="13"/>
  <c r="B15" i="13"/>
  <c r="B17" i="13"/>
  <c r="B19" i="13"/>
  <c r="B21" i="13"/>
  <c r="B23" i="13"/>
  <c r="B25" i="13"/>
  <c r="B27" i="13"/>
  <c r="B29" i="13"/>
  <c r="B31" i="13"/>
  <c r="D89" i="13"/>
  <c r="C90" i="13"/>
  <c r="C91" i="13"/>
  <c r="C92" i="13"/>
  <c r="C93" i="13"/>
  <c r="C94" i="13"/>
  <c r="C95" i="13"/>
  <c r="C96" i="13"/>
  <c r="C97" i="13"/>
  <c r="C98" i="13"/>
  <c r="C99" i="13"/>
  <c r="C100" i="13"/>
  <c r="C102" i="13"/>
  <c r="C103" i="13"/>
  <c r="C104" i="13"/>
  <c r="C106" i="13"/>
  <c r="C107" i="13"/>
  <c r="C108" i="13"/>
  <c r="C110" i="13"/>
  <c r="C111" i="13"/>
  <c r="C112" i="13"/>
  <c r="C114" i="13"/>
  <c r="C115" i="13"/>
  <c r="C116" i="13"/>
  <c r="C118" i="13"/>
  <c r="C119" i="13"/>
  <c r="C120" i="13"/>
  <c r="C122" i="13"/>
  <c r="C123" i="13"/>
  <c r="C124" i="13"/>
  <c r="C126" i="13"/>
  <c r="C127" i="13"/>
  <c r="C128" i="13"/>
  <c r="C130" i="13"/>
  <c r="C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E211" i="3" l="1"/>
  <c r="H211" i="3"/>
  <c r="H216" i="3"/>
  <c r="E216" i="3"/>
  <c r="G211" i="14"/>
  <c r="K213" i="3"/>
  <c r="H215" i="3"/>
  <c r="K216" i="3"/>
  <c r="H213" i="3"/>
  <c r="K217" i="3"/>
  <c r="G207" i="14"/>
  <c r="E212" i="3"/>
  <c r="H217" i="3"/>
  <c r="H212" i="3"/>
  <c r="E215" i="3"/>
  <c r="K212" i="3"/>
  <c r="D108" i="13"/>
  <c r="D90" i="13"/>
  <c r="D100" i="13"/>
  <c r="B90" i="13"/>
  <c r="C150" i="13"/>
  <c r="C156" i="13"/>
  <c r="B114" i="13"/>
  <c r="D198" i="13"/>
  <c r="C182" i="13"/>
  <c r="C184" i="13"/>
  <c r="D189" i="13"/>
  <c r="D161" i="13"/>
  <c r="C189" i="13"/>
  <c r="C161" i="13"/>
  <c r="D210" i="13"/>
  <c r="C152" i="13"/>
  <c r="D178" i="13"/>
  <c r="D120" i="13"/>
  <c r="D194" i="13"/>
  <c r="D182" i="13"/>
  <c r="C180" i="13"/>
  <c r="C178" i="13"/>
  <c r="C148" i="13"/>
  <c r="C141" i="13"/>
  <c r="C138" i="13"/>
  <c r="C210" i="13"/>
  <c r="C181" i="13"/>
  <c r="D177" i="13"/>
  <c r="C170" i="13"/>
  <c r="C157" i="13"/>
  <c r="C149" i="13"/>
  <c r="C134" i="13"/>
  <c r="D205" i="13"/>
  <c r="C202" i="13"/>
  <c r="C193" i="13"/>
  <c r="C188" i="13"/>
  <c r="C146" i="13"/>
  <c r="D112" i="13"/>
  <c r="C205" i="13"/>
  <c r="C200" i="13"/>
  <c r="C198" i="13"/>
  <c r="C196" i="13"/>
  <c r="C194" i="13"/>
  <c r="C177" i="13"/>
  <c r="C172" i="13"/>
  <c r="C165" i="13"/>
  <c r="C154" i="13"/>
  <c r="C132" i="13"/>
  <c r="B106" i="13"/>
  <c r="D209" i="13"/>
  <c r="D173" i="13"/>
  <c r="D166" i="13"/>
  <c r="D162" i="13"/>
  <c r="D145" i="13"/>
  <c r="C209" i="13"/>
  <c r="C204" i="13"/>
  <c r="C197" i="13"/>
  <c r="D193" i="13"/>
  <c r="C186" i="13"/>
  <c r="C173" i="13"/>
  <c r="C168" i="13"/>
  <c r="C166" i="13"/>
  <c r="C164" i="13"/>
  <c r="C162" i="13"/>
  <c r="D157" i="13"/>
  <c r="D150" i="13"/>
  <c r="D146" i="13"/>
  <c r="C145" i="13"/>
  <c r="C136" i="13"/>
  <c r="D116" i="13"/>
  <c r="D94" i="13"/>
  <c r="D206" i="13"/>
  <c r="D201" i="13"/>
  <c r="D190" i="13"/>
  <c r="D185" i="13"/>
  <c r="D174" i="13"/>
  <c r="D169" i="13"/>
  <c r="D158" i="13"/>
  <c r="D153" i="13"/>
  <c r="C140" i="13"/>
  <c r="C133" i="13"/>
  <c r="D128" i="13"/>
  <c r="B122" i="13"/>
  <c r="B94" i="13"/>
  <c r="D91" i="13"/>
  <c r="C208" i="13"/>
  <c r="C206" i="13"/>
  <c r="D202" i="13"/>
  <c r="C201" i="13"/>
  <c r="D197" i="13"/>
  <c r="C192" i="13"/>
  <c r="C190" i="13"/>
  <c r="D186" i="13"/>
  <c r="C185" i="13"/>
  <c r="D181" i="13"/>
  <c r="C176" i="13"/>
  <c r="C174" i="13"/>
  <c r="D170" i="13"/>
  <c r="C169" i="13"/>
  <c r="D165" i="13"/>
  <c r="C160" i="13"/>
  <c r="C158" i="13"/>
  <c r="D154" i="13"/>
  <c r="C153" i="13"/>
  <c r="D149" i="13"/>
  <c r="C144" i="13"/>
  <c r="D141" i="13"/>
  <c r="D134" i="13"/>
  <c r="B130" i="13"/>
  <c r="D124" i="13"/>
  <c r="D104" i="13"/>
  <c r="B98" i="13"/>
  <c r="D95" i="13"/>
  <c r="D142" i="13"/>
  <c r="D137" i="13"/>
  <c r="C142" i="13"/>
  <c r="D138" i="13"/>
  <c r="C137" i="13"/>
  <c r="D133" i="13"/>
  <c r="B126" i="13"/>
  <c r="B118" i="13"/>
  <c r="B110" i="13"/>
  <c r="B102" i="13"/>
  <c r="B97" i="13"/>
  <c r="B93" i="13"/>
  <c r="D175" i="13"/>
  <c r="D163" i="13"/>
  <c r="D143" i="13"/>
  <c r="D139" i="13"/>
  <c r="D135" i="13"/>
  <c r="D131" i="13"/>
  <c r="D127" i="13"/>
  <c r="D123" i="13"/>
  <c r="D119" i="13"/>
  <c r="D115" i="13"/>
  <c r="D111" i="13"/>
  <c r="D107" i="13"/>
  <c r="D103" i="13"/>
  <c r="D99" i="13"/>
  <c r="D96" i="13"/>
  <c r="B95" i="13"/>
  <c r="D92" i="13"/>
  <c r="B91" i="13"/>
  <c r="D207" i="13"/>
  <c r="D203" i="13"/>
  <c r="D199" i="13"/>
  <c r="D195" i="13"/>
  <c r="D191" i="13"/>
  <c r="D187" i="13"/>
  <c r="D183" i="13"/>
  <c r="D179" i="13"/>
  <c r="D171" i="13"/>
  <c r="D167" i="13"/>
  <c r="D159" i="13"/>
  <c r="D155" i="13"/>
  <c r="D151" i="13"/>
  <c r="D147" i="13"/>
  <c r="D208" i="13"/>
  <c r="C207" i="13"/>
  <c r="D204" i="13"/>
  <c r="C203" i="13"/>
  <c r="D200" i="13"/>
  <c r="C199" i="13"/>
  <c r="D196" i="13"/>
  <c r="C195" i="13"/>
  <c r="D192" i="13"/>
  <c r="C191" i="13"/>
  <c r="D188" i="13"/>
  <c r="C187" i="13"/>
  <c r="D184" i="13"/>
  <c r="C183" i="13"/>
  <c r="D180" i="13"/>
  <c r="C179" i="13"/>
  <c r="D176" i="13"/>
  <c r="C175" i="13"/>
  <c r="D172" i="13"/>
  <c r="C171" i="13"/>
  <c r="D168" i="13"/>
  <c r="C167" i="13"/>
  <c r="D164" i="13"/>
  <c r="C163" i="13"/>
  <c r="D160" i="13"/>
  <c r="C159" i="13"/>
  <c r="D156" i="13"/>
  <c r="C155" i="13"/>
  <c r="D152" i="13"/>
  <c r="C151" i="13"/>
  <c r="D148" i="13"/>
  <c r="C147" i="13"/>
  <c r="D144" i="13"/>
  <c r="C143" i="13"/>
  <c r="D140" i="13"/>
  <c r="C139" i="13"/>
  <c r="D136" i="13"/>
  <c r="C135" i="13"/>
  <c r="D132" i="13"/>
  <c r="B131" i="13"/>
  <c r="B127" i="13"/>
  <c r="B123" i="13"/>
  <c r="B119" i="13"/>
  <c r="B115" i="13"/>
  <c r="B111" i="13"/>
  <c r="B107" i="13"/>
  <c r="B103" i="13"/>
  <c r="B99" i="13"/>
  <c r="D97" i="13"/>
  <c r="B96" i="13"/>
  <c r="D93" i="13"/>
  <c r="B92" i="13"/>
  <c r="C88" i="13"/>
  <c r="D88" i="13"/>
  <c r="B88" i="13"/>
  <c r="C80" i="13"/>
  <c r="D80" i="13"/>
  <c r="B80" i="13"/>
  <c r="C72" i="13"/>
  <c r="D72" i="13"/>
  <c r="B72" i="13"/>
  <c r="C64" i="13"/>
  <c r="D64" i="13"/>
  <c r="B64" i="13"/>
  <c r="C56" i="13"/>
  <c r="D56" i="13"/>
  <c r="B56" i="13"/>
  <c r="C48" i="13"/>
  <c r="D48" i="13"/>
  <c r="B48" i="13"/>
  <c r="C40" i="13"/>
  <c r="D40" i="13"/>
  <c r="B40" i="13"/>
  <c r="C32" i="13"/>
  <c r="D32" i="13"/>
  <c r="B32" i="13"/>
  <c r="C24" i="13"/>
  <c r="D24" i="13"/>
  <c r="B24" i="13"/>
  <c r="C12" i="13"/>
  <c r="D12" i="13"/>
  <c r="B12" i="13"/>
  <c r="C16" i="13"/>
  <c r="D16" i="13"/>
  <c r="B16" i="13"/>
  <c r="C84" i="13"/>
  <c r="D84" i="13"/>
  <c r="B84" i="13"/>
  <c r="C76" i="13"/>
  <c r="D76" i="13"/>
  <c r="B76" i="13"/>
  <c r="C68" i="13"/>
  <c r="D68" i="13"/>
  <c r="B68" i="13"/>
  <c r="C60" i="13"/>
  <c r="D60" i="13"/>
  <c r="B60" i="13"/>
  <c r="C52" i="13"/>
  <c r="D52" i="13"/>
  <c r="B52" i="13"/>
  <c r="C44" i="13"/>
  <c r="D44" i="13"/>
  <c r="B44" i="13"/>
  <c r="C36" i="13"/>
  <c r="D36" i="13"/>
  <c r="B36" i="13"/>
  <c r="C28" i="13"/>
  <c r="D28" i="13"/>
  <c r="B28" i="13"/>
  <c r="C20" i="13"/>
  <c r="D20" i="13"/>
  <c r="B20" i="13"/>
  <c r="C8" i="13"/>
  <c r="D8" i="13"/>
  <c r="B8" i="13"/>
  <c r="C129" i="13"/>
  <c r="B129" i="13"/>
  <c r="D129" i="13"/>
  <c r="C125" i="13"/>
  <c r="B125" i="13"/>
  <c r="D125" i="13"/>
  <c r="C121" i="13"/>
  <c r="B121" i="13"/>
  <c r="D121" i="13"/>
  <c r="C117" i="13"/>
  <c r="B117" i="13"/>
  <c r="D117" i="13"/>
  <c r="C113" i="13"/>
  <c r="B113" i="13"/>
  <c r="D113" i="13"/>
  <c r="C109" i="13"/>
  <c r="B109" i="13"/>
  <c r="D109" i="13"/>
  <c r="C105" i="13"/>
  <c r="B105" i="13"/>
  <c r="D105" i="13"/>
  <c r="C101" i="13"/>
  <c r="B101" i="13"/>
  <c r="D101" i="13"/>
  <c r="C87" i="13"/>
  <c r="D87" i="13"/>
  <c r="B87" i="13"/>
  <c r="C83" i="13"/>
  <c r="D83" i="13"/>
  <c r="B83" i="13"/>
  <c r="C79" i="13"/>
  <c r="D79" i="13"/>
  <c r="B79" i="13"/>
  <c r="C75" i="13"/>
  <c r="D75" i="13"/>
  <c r="B75" i="13"/>
  <c r="C71" i="13"/>
  <c r="D71" i="13"/>
  <c r="B71" i="13"/>
  <c r="C67" i="13"/>
  <c r="D67" i="13"/>
  <c r="B67" i="13"/>
  <c r="C63" i="13"/>
  <c r="D63" i="13"/>
  <c r="B63" i="13"/>
  <c r="C59" i="13"/>
  <c r="D59" i="13"/>
  <c r="B59" i="13"/>
  <c r="C55" i="13"/>
  <c r="D55" i="13"/>
  <c r="B55" i="13"/>
  <c r="C51" i="13"/>
  <c r="D51" i="13"/>
  <c r="B51" i="13"/>
  <c r="C47" i="13"/>
  <c r="D47" i="13"/>
  <c r="B47" i="13"/>
  <c r="C43" i="13"/>
  <c r="D43" i="13"/>
  <c r="B43" i="13"/>
  <c r="C39" i="13"/>
  <c r="D39" i="13"/>
  <c r="B39" i="13"/>
  <c r="C35" i="13"/>
  <c r="D35" i="13"/>
  <c r="B35" i="13"/>
  <c r="B128" i="13"/>
  <c r="B124" i="13"/>
  <c r="B120" i="13"/>
  <c r="B116" i="13"/>
  <c r="B112" i="13"/>
  <c r="B108" i="13"/>
  <c r="B104" i="13"/>
  <c r="B100" i="13"/>
  <c r="C86" i="13"/>
  <c r="D86" i="13"/>
  <c r="B86" i="13"/>
  <c r="C82" i="13"/>
  <c r="D82" i="13"/>
  <c r="B82" i="13"/>
  <c r="C78" i="13"/>
  <c r="D78" i="13"/>
  <c r="B78" i="13"/>
  <c r="C74" i="13"/>
  <c r="D74" i="13"/>
  <c r="B74" i="13"/>
  <c r="C70" i="13"/>
  <c r="D70" i="13"/>
  <c r="B70" i="13"/>
  <c r="C66" i="13"/>
  <c r="D66" i="13"/>
  <c r="B66" i="13"/>
  <c r="C62" i="13"/>
  <c r="D62" i="13"/>
  <c r="B62" i="13"/>
  <c r="C58" i="13"/>
  <c r="D58" i="13"/>
  <c r="B58" i="13"/>
  <c r="C54" i="13"/>
  <c r="D54" i="13"/>
  <c r="B54" i="13"/>
  <c r="C50" i="13"/>
  <c r="D50" i="13"/>
  <c r="B50" i="13"/>
  <c r="C46" i="13"/>
  <c r="D46" i="13"/>
  <c r="B46" i="13"/>
  <c r="C42" i="13"/>
  <c r="D42" i="13"/>
  <c r="B42" i="13"/>
  <c r="C38" i="13"/>
  <c r="D38" i="13"/>
  <c r="B38" i="13"/>
  <c r="C34" i="13"/>
  <c r="D34" i="13"/>
  <c r="B34" i="13"/>
  <c r="C30" i="13"/>
  <c r="D30" i="13"/>
  <c r="B30" i="13"/>
  <c r="C26" i="13"/>
  <c r="D26" i="13"/>
  <c r="B26" i="13"/>
  <c r="C22" i="13"/>
  <c r="D22" i="13"/>
  <c r="B22" i="13"/>
  <c r="C18" i="13"/>
  <c r="D18" i="13"/>
  <c r="B18" i="13"/>
  <c r="C14" i="13"/>
  <c r="D14" i="13"/>
  <c r="B14" i="13"/>
  <c r="C10" i="13"/>
  <c r="D10" i="13"/>
  <c r="B10" i="13"/>
  <c r="C6" i="13"/>
  <c r="D6" i="13"/>
  <c r="B6" i="13"/>
  <c r="D130" i="13"/>
  <c r="D126" i="13"/>
  <c r="D122" i="13"/>
  <c r="D118" i="13"/>
  <c r="D114" i="13"/>
  <c r="D110" i="13"/>
  <c r="D106" i="13"/>
  <c r="D102" i="13"/>
  <c r="D98" i="13"/>
  <c r="C89" i="13"/>
  <c r="B89" i="13"/>
  <c r="C85" i="13"/>
  <c r="D85" i="13"/>
  <c r="B85" i="13"/>
  <c r="C81" i="13"/>
  <c r="D81" i="13"/>
  <c r="B81" i="13"/>
  <c r="C77" i="13"/>
  <c r="D77" i="13"/>
  <c r="B77" i="13"/>
  <c r="C73" i="13"/>
  <c r="D73" i="13"/>
  <c r="B73" i="13"/>
  <c r="C69" i="13"/>
  <c r="D69" i="13"/>
  <c r="B69" i="13"/>
  <c r="C65" i="13"/>
  <c r="D65" i="13"/>
  <c r="B65" i="13"/>
  <c r="C61" i="13"/>
  <c r="D61" i="13"/>
  <c r="B61" i="13"/>
  <c r="C57" i="13"/>
  <c r="D57" i="13"/>
  <c r="B57" i="13"/>
  <c r="C53" i="13"/>
  <c r="D53" i="13"/>
  <c r="B53" i="13"/>
  <c r="C49" i="13"/>
  <c r="D49" i="13"/>
  <c r="B49" i="13"/>
  <c r="C45" i="13"/>
  <c r="D45" i="13"/>
  <c r="B45" i="13"/>
  <c r="C41" i="13"/>
  <c r="D41" i="13"/>
  <c r="B41" i="13"/>
  <c r="C37" i="13"/>
  <c r="D37" i="13"/>
  <c r="B37" i="13"/>
  <c r="C33" i="13"/>
  <c r="D33" i="13"/>
  <c r="B33" i="13"/>
  <c r="C31" i="13"/>
  <c r="D31" i="13"/>
  <c r="C29" i="13"/>
  <c r="D29" i="13"/>
  <c r="C27" i="13"/>
  <c r="D27" i="13"/>
  <c r="C25" i="13"/>
  <c r="D25" i="13"/>
  <c r="C23" i="13"/>
  <c r="D23" i="13"/>
  <c r="C21" i="13"/>
  <c r="D21" i="13"/>
  <c r="C19" i="13"/>
  <c r="D19" i="13"/>
  <c r="C17" i="13"/>
  <c r="D17" i="13"/>
  <c r="C15" i="13"/>
  <c r="D15" i="13"/>
  <c r="C13" i="13"/>
  <c r="D13" i="13"/>
  <c r="C11" i="13"/>
  <c r="D11" i="13"/>
  <c r="C9" i="13"/>
  <c r="D9" i="13"/>
  <c r="C7" i="13"/>
  <c r="D7" i="1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D198" i="12" s="1"/>
  <c r="A199" i="12"/>
  <c r="F199" i="12" s="1"/>
  <c r="A200" i="12"/>
  <c r="A201" i="12"/>
  <c r="A202" i="12"/>
  <c r="A203" i="12"/>
  <c r="A204" i="12"/>
  <c r="A205" i="12"/>
  <c r="B205" i="12" s="1"/>
  <c r="A206" i="12"/>
  <c r="A207" i="12"/>
  <c r="A208" i="12"/>
  <c r="A209" i="12"/>
  <c r="A210" i="12"/>
  <c r="D189" i="11"/>
  <c r="F190" i="11"/>
  <c r="D191" i="11"/>
  <c r="L193" i="11"/>
  <c r="N194" i="11"/>
  <c r="H195" i="11"/>
  <c r="D197" i="11"/>
  <c r="F198" i="11"/>
  <c r="D199" i="11"/>
  <c r="F200" i="11"/>
  <c r="F201" i="11"/>
  <c r="H202" i="11"/>
  <c r="C203" i="11"/>
  <c r="C205" i="11"/>
  <c r="D206" i="11"/>
  <c r="C207" i="11"/>
  <c r="C209" i="11"/>
  <c r="H210" i="11"/>
  <c r="C211" i="11"/>
  <c r="O190" i="10"/>
  <c r="E191" i="10"/>
  <c r="G192" i="10"/>
  <c r="E193" i="10"/>
  <c r="G194" i="10"/>
  <c r="M195" i="10"/>
  <c r="O196" i="10"/>
  <c r="I197" i="10"/>
  <c r="O198" i="10"/>
  <c r="E199" i="10"/>
  <c r="G200" i="10"/>
  <c r="E201" i="10"/>
  <c r="G202" i="10"/>
  <c r="M203" i="10"/>
  <c r="O204" i="10"/>
  <c r="I205" i="10"/>
  <c r="O206" i="10"/>
  <c r="E207" i="10"/>
  <c r="E209" i="10"/>
  <c r="G210" i="10"/>
  <c r="D211" i="10"/>
  <c r="I212" i="10"/>
  <c r="B145" i="14"/>
  <c r="C189" i="14"/>
  <c r="B190" i="14"/>
  <c r="E191" i="14"/>
  <c r="E193" i="14"/>
  <c r="D194" i="14"/>
  <c r="C195" i="14"/>
  <c r="C197" i="14"/>
  <c r="B198" i="14"/>
  <c r="E199" i="14"/>
  <c r="D202" i="14"/>
  <c r="C203" i="14"/>
  <c r="F60" i="18"/>
  <c r="F12" i="18"/>
  <c r="F85" i="18"/>
  <c r="F193" i="18"/>
  <c r="K211" i="6"/>
  <c r="H190" i="7"/>
  <c r="N191" i="7"/>
  <c r="H192" i="7"/>
  <c r="F195" i="7"/>
  <c r="L196" i="7"/>
  <c r="J197" i="7"/>
  <c r="H198" i="7"/>
  <c r="N199" i="7"/>
  <c r="D200" i="7"/>
  <c r="D202" i="7"/>
  <c r="F203" i="7"/>
  <c r="L204" i="7"/>
  <c r="J205" i="7"/>
  <c r="H206" i="7"/>
  <c r="J207" i="7"/>
  <c r="F208" i="7"/>
  <c r="E209" i="7"/>
  <c r="F210" i="7"/>
  <c r="B211" i="7"/>
  <c r="D212" i="7"/>
  <c r="C189" i="3"/>
  <c r="G190" i="3"/>
  <c r="I196" i="3"/>
  <c r="C197" i="3"/>
  <c r="I200" i="3"/>
  <c r="L202" i="3"/>
  <c r="B208" i="3"/>
  <c r="B210" i="3" l="1"/>
  <c r="M210" i="3"/>
  <c r="I210" i="3"/>
  <c r="Q210" i="3"/>
  <c r="L210" i="3"/>
  <c r="D210" i="3"/>
  <c r="P210" i="3"/>
  <c r="G210" i="3"/>
  <c r="J210" i="3"/>
  <c r="C210" i="3"/>
  <c r="E210" i="3" s="1"/>
  <c r="F210" i="3"/>
  <c r="O210" i="3"/>
  <c r="N210" i="3"/>
  <c r="O214" i="12"/>
  <c r="M215" i="12"/>
  <c r="N216" i="12"/>
  <c r="L217" i="12"/>
  <c r="M216" i="12"/>
  <c r="M217" i="12"/>
  <c r="N217" i="12"/>
  <c r="M214" i="12"/>
  <c r="O217" i="12"/>
  <c r="L214" i="12"/>
  <c r="O216" i="12"/>
  <c r="O215" i="12"/>
  <c r="N214" i="12"/>
  <c r="L216" i="12"/>
  <c r="L215" i="12"/>
  <c r="N215" i="12"/>
  <c r="N211" i="12"/>
  <c r="I213" i="2"/>
  <c r="C209" i="3"/>
  <c r="E208" i="2"/>
  <c r="N204" i="3"/>
  <c r="B209" i="2"/>
  <c r="C205" i="3"/>
  <c r="C207" i="2"/>
  <c r="I203" i="3"/>
  <c r="M205" i="2"/>
  <c r="C201" i="3"/>
  <c r="Q197" i="2"/>
  <c r="C193" i="3"/>
  <c r="R211" i="2"/>
  <c r="I207" i="3"/>
  <c r="E203" i="2"/>
  <c r="D199" i="3"/>
  <c r="H199" i="2"/>
  <c r="N195" i="3"/>
  <c r="R195" i="2"/>
  <c r="N191" i="3"/>
  <c r="C214" i="2"/>
  <c r="L210" i="2"/>
  <c r="P206" i="3"/>
  <c r="M202" i="2"/>
  <c r="G198" i="3"/>
  <c r="C198" i="2"/>
  <c r="C194" i="3"/>
  <c r="L207" i="7"/>
  <c r="I201" i="10"/>
  <c r="E198" i="14"/>
  <c r="G198" i="14" s="1"/>
  <c r="F209" i="11"/>
  <c r="M211" i="7"/>
  <c r="J200" i="11"/>
  <c r="E211" i="7"/>
  <c r="C194" i="14"/>
  <c r="K194" i="10"/>
  <c r="B207" i="11"/>
  <c r="O212" i="7"/>
  <c r="D192" i="7"/>
  <c r="E190" i="14"/>
  <c r="G190" i="14" s="1"/>
  <c r="C211" i="10"/>
  <c r="F205" i="11"/>
  <c r="G212" i="7"/>
  <c r="K208" i="7"/>
  <c r="C202" i="14"/>
  <c r="F211" i="11"/>
  <c r="B203" i="11"/>
  <c r="C204" i="3"/>
  <c r="C192" i="3"/>
  <c r="J192" i="3"/>
  <c r="F208" i="3"/>
  <c r="J196" i="3"/>
  <c r="K196" i="3" s="1"/>
  <c r="E204" i="14"/>
  <c r="D204" i="14"/>
  <c r="E196" i="14"/>
  <c r="D196" i="14"/>
  <c r="E188" i="14"/>
  <c r="D188" i="14"/>
  <c r="O208" i="3"/>
  <c r="J200" i="3"/>
  <c r="K200" i="3" s="1"/>
  <c r="F192" i="3"/>
  <c r="C208" i="3"/>
  <c r="J208" i="3"/>
  <c r="C196" i="3"/>
  <c r="B196" i="3"/>
  <c r="N196" i="3"/>
  <c r="C200" i="14"/>
  <c r="B200" i="14"/>
  <c r="F200" i="14"/>
  <c r="C192" i="14"/>
  <c r="B192" i="14"/>
  <c r="F192" i="14"/>
  <c r="D202" i="3"/>
  <c r="P202" i="3"/>
  <c r="D190" i="3"/>
  <c r="C190" i="3"/>
  <c r="N208" i="3"/>
  <c r="G202" i="3"/>
  <c r="I199" i="3"/>
  <c r="F196" i="3"/>
  <c r="O192" i="3"/>
  <c r="B192" i="3"/>
  <c r="P190" i="3"/>
  <c r="E208" i="11"/>
  <c r="H208" i="11"/>
  <c r="L208" i="11"/>
  <c r="E204" i="11"/>
  <c r="H204" i="11"/>
  <c r="L204" i="11"/>
  <c r="N196" i="11"/>
  <c r="B196" i="11"/>
  <c r="F192" i="11"/>
  <c r="J192" i="11"/>
  <c r="D204" i="11"/>
  <c r="C200" i="3"/>
  <c r="F200" i="3"/>
  <c r="O200" i="3"/>
  <c r="O204" i="3"/>
  <c r="N200" i="3"/>
  <c r="I192" i="3"/>
  <c r="I208" i="3"/>
  <c r="C202" i="3"/>
  <c r="B200" i="3"/>
  <c r="O196" i="3"/>
  <c r="N192" i="3"/>
  <c r="L190" i="3"/>
  <c r="C210" i="7"/>
  <c r="J210" i="7"/>
  <c r="N210" i="7"/>
  <c r="B210" i="7"/>
  <c r="D194" i="7"/>
  <c r="H194" i="7"/>
  <c r="H194" i="12" s="1"/>
  <c r="H202" i="7"/>
  <c r="H202" i="12" s="1"/>
  <c r="D208" i="11"/>
  <c r="N212" i="7"/>
  <c r="F212" i="7"/>
  <c r="L211" i="7"/>
  <c r="D211" i="7"/>
  <c r="J208" i="7"/>
  <c r="B207" i="7"/>
  <c r="H200" i="7"/>
  <c r="H200" i="12" s="1"/>
  <c r="J195" i="7"/>
  <c r="B191" i="7"/>
  <c r="O211" i="10"/>
  <c r="M210" i="10"/>
  <c r="C206" i="10"/>
  <c r="I193" i="10"/>
  <c r="B211" i="11"/>
  <c r="B209" i="11"/>
  <c r="N207" i="11"/>
  <c r="H206" i="11"/>
  <c r="B205" i="11"/>
  <c r="N203" i="11"/>
  <c r="N201" i="11"/>
  <c r="H199" i="11"/>
  <c r="K212" i="7"/>
  <c r="C212" i="7"/>
  <c r="I211" i="7"/>
  <c r="O208" i="7"/>
  <c r="G208" i="7"/>
  <c r="F203" i="14"/>
  <c r="F195" i="14"/>
  <c r="K211" i="10"/>
  <c r="H210" i="10"/>
  <c r="C198" i="10"/>
  <c r="N211" i="11"/>
  <c r="N209" i="11"/>
  <c r="J207" i="11"/>
  <c r="N205" i="11"/>
  <c r="J203" i="11"/>
  <c r="J201" i="11"/>
  <c r="J212" i="7"/>
  <c r="B212" i="7"/>
  <c r="H211" i="7"/>
  <c r="N208" i="7"/>
  <c r="J203" i="7"/>
  <c r="B199" i="7"/>
  <c r="B203" i="14"/>
  <c r="D199" i="14"/>
  <c r="B195" i="14"/>
  <c r="D191" i="14"/>
  <c r="G211" i="10"/>
  <c r="I209" i="10"/>
  <c r="K202" i="10"/>
  <c r="C190" i="10"/>
  <c r="J211" i="11"/>
  <c r="J209" i="11"/>
  <c r="F207" i="11"/>
  <c r="J205" i="11"/>
  <c r="F203" i="11"/>
  <c r="H191" i="11"/>
  <c r="J189" i="3"/>
  <c r="F189" i="3"/>
  <c r="C201" i="7"/>
  <c r="G201" i="7"/>
  <c r="K201" i="7"/>
  <c r="J201" i="12" s="1"/>
  <c r="O201" i="7"/>
  <c r="D201" i="7"/>
  <c r="H201" i="7"/>
  <c r="H201" i="12" s="1"/>
  <c r="L201" i="7"/>
  <c r="K201" i="12" s="1"/>
  <c r="E201" i="7"/>
  <c r="I201" i="7"/>
  <c r="I201" i="12" s="1"/>
  <c r="M201" i="7"/>
  <c r="C193" i="7"/>
  <c r="G193" i="7"/>
  <c r="K193" i="7"/>
  <c r="J193" i="12" s="1"/>
  <c r="O193" i="7"/>
  <c r="D193" i="7"/>
  <c r="H193" i="7"/>
  <c r="H193" i="12" s="1"/>
  <c r="L193" i="7"/>
  <c r="K193" i="12" s="1"/>
  <c r="E193" i="7"/>
  <c r="I193" i="7"/>
  <c r="I193" i="12" s="1"/>
  <c r="M193" i="7"/>
  <c r="L209" i="7"/>
  <c r="K209" i="12" s="1"/>
  <c r="H209" i="7"/>
  <c r="H209" i="12" s="1"/>
  <c r="D209" i="7"/>
  <c r="N205" i="7"/>
  <c r="Q208" i="3"/>
  <c r="M208" i="3"/>
  <c r="D208" i="3"/>
  <c r="Q204" i="3"/>
  <c r="M204" i="3"/>
  <c r="D204" i="3"/>
  <c r="L203" i="3"/>
  <c r="G203" i="3"/>
  <c r="C203" i="3"/>
  <c r="O202" i="3"/>
  <c r="J202" i="3"/>
  <c r="F202" i="3"/>
  <c r="B202" i="3"/>
  <c r="Q200" i="3"/>
  <c r="M200" i="3"/>
  <c r="D200" i="3"/>
  <c r="P199" i="3"/>
  <c r="L199" i="3"/>
  <c r="G199" i="3"/>
  <c r="N197" i="3"/>
  <c r="I197" i="3"/>
  <c r="Q196" i="3"/>
  <c r="M196" i="3"/>
  <c r="D196" i="3"/>
  <c r="Q192" i="3"/>
  <c r="M192" i="3"/>
  <c r="D192" i="3"/>
  <c r="L191" i="3"/>
  <c r="G191" i="3"/>
  <c r="C191" i="3"/>
  <c r="O190" i="3"/>
  <c r="J190" i="3"/>
  <c r="F190" i="3"/>
  <c r="H190" i="3" s="1"/>
  <c r="B190" i="3"/>
  <c r="N189" i="3"/>
  <c r="I189" i="3"/>
  <c r="E208" i="7"/>
  <c r="C208" i="7"/>
  <c r="E204" i="7"/>
  <c r="I204" i="7"/>
  <c r="I204" i="12" s="1"/>
  <c r="M204" i="7"/>
  <c r="B204" i="7"/>
  <c r="F204" i="7"/>
  <c r="J204" i="7"/>
  <c r="N204" i="7"/>
  <c r="C204" i="7"/>
  <c r="G204" i="7"/>
  <c r="K204" i="7"/>
  <c r="J204" i="12" s="1"/>
  <c r="O204" i="7"/>
  <c r="E200" i="7"/>
  <c r="I200" i="7"/>
  <c r="I200" i="12" s="1"/>
  <c r="M200" i="7"/>
  <c r="B200" i="7"/>
  <c r="F200" i="7"/>
  <c r="J200" i="7"/>
  <c r="N200" i="7"/>
  <c r="C200" i="7"/>
  <c r="G200" i="7"/>
  <c r="K200" i="7"/>
  <c r="J200" i="12" s="1"/>
  <c r="O200" i="7"/>
  <c r="E196" i="7"/>
  <c r="I196" i="7"/>
  <c r="I196" i="12" s="1"/>
  <c r="M196" i="7"/>
  <c r="B196" i="7"/>
  <c r="F196" i="7"/>
  <c r="J196" i="7"/>
  <c r="N196" i="7"/>
  <c r="C196" i="7"/>
  <c r="G196" i="7"/>
  <c r="K196" i="7"/>
  <c r="J196" i="12" s="1"/>
  <c r="O196" i="7"/>
  <c r="E192" i="7"/>
  <c r="I192" i="7"/>
  <c r="I192" i="12" s="1"/>
  <c r="M192" i="7"/>
  <c r="B192" i="7"/>
  <c r="F192" i="7"/>
  <c r="J192" i="7"/>
  <c r="N192" i="7"/>
  <c r="C192" i="7"/>
  <c r="G192" i="7"/>
  <c r="K192" i="7"/>
  <c r="J192" i="12" s="1"/>
  <c r="O192" i="7"/>
  <c r="M212" i="7"/>
  <c r="I212" i="7"/>
  <c r="E212" i="7"/>
  <c r="O211" i="7"/>
  <c r="K211" i="7"/>
  <c r="G211" i="7"/>
  <c r="C211" i="7"/>
  <c r="M210" i="7"/>
  <c r="I210" i="7"/>
  <c r="E210" i="7"/>
  <c r="O209" i="7"/>
  <c r="K209" i="7"/>
  <c r="J209" i="12" s="1"/>
  <c r="G209" i="7"/>
  <c r="C209" i="7"/>
  <c r="M208" i="7"/>
  <c r="I208" i="7"/>
  <c r="I208" i="12" s="1"/>
  <c r="D208" i="7"/>
  <c r="L206" i="7"/>
  <c r="K206" i="12" s="1"/>
  <c r="H204" i="7"/>
  <c r="H204" i="12" s="1"/>
  <c r="B201" i="7"/>
  <c r="L198" i="7"/>
  <c r="K198" i="12" s="1"/>
  <c r="H196" i="7"/>
  <c r="H196" i="12" s="1"/>
  <c r="B193" i="7"/>
  <c r="L190" i="7"/>
  <c r="K190" i="12" s="1"/>
  <c r="M212" i="10"/>
  <c r="O197" i="3"/>
  <c r="J197" i="3"/>
  <c r="F197" i="3"/>
  <c r="B197" i="3"/>
  <c r="O189" i="3"/>
  <c r="B189" i="3"/>
  <c r="C205" i="7"/>
  <c r="G205" i="7"/>
  <c r="K205" i="7"/>
  <c r="J205" i="12" s="1"/>
  <c r="O205" i="7"/>
  <c r="D205" i="7"/>
  <c r="H205" i="7"/>
  <c r="H205" i="12" s="1"/>
  <c r="L205" i="7"/>
  <c r="K205" i="12" s="1"/>
  <c r="E205" i="7"/>
  <c r="I205" i="7"/>
  <c r="I205" i="12" s="1"/>
  <c r="M205" i="7"/>
  <c r="C197" i="7"/>
  <c r="G197" i="7"/>
  <c r="K197" i="7"/>
  <c r="J197" i="12" s="1"/>
  <c r="O197" i="7"/>
  <c r="D197" i="7"/>
  <c r="H197" i="7"/>
  <c r="H197" i="12" s="1"/>
  <c r="L197" i="7"/>
  <c r="K197" i="12" s="1"/>
  <c r="E197" i="7"/>
  <c r="I197" i="7"/>
  <c r="I197" i="12" s="1"/>
  <c r="M197" i="7"/>
  <c r="F201" i="7"/>
  <c r="N197" i="7"/>
  <c r="F193" i="7"/>
  <c r="P208" i="3"/>
  <c r="L208" i="3"/>
  <c r="G208" i="3"/>
  <c r="P204" i="3"/>
  <c r="L204" i="3"/>
  <c r="G204" i="3"/>
  <c r="O203" i="3"/>
  <c r="J203" i="3"/>
  <c r="K203" i="3" s="1"/>
  <c r="F203" i="3"/>
  <c r="N202" i="3"/>
  <c r="I202" i="3"/>
  <c r="P200" i="3"/>
  <c r="L200" i="3"/>
  <c r="G200" i="3"/>
  <c r="O199" i="3"/>
  <c r="J199" i="3"/>
  <c r="F199" i="3"/>
  <c r="Q197" i="3"/>
  <c r="M197" i="3"/>
  <c r="D197" i="3"/>
  <c r="E197" i="3" s="1"/>
  <c r="P196" i="3"/>
  <c r="L196" i="3"/>
  <c r="G196" i="3"/>
  <c r="I194" i="3"/>
  <c r="P192" i="3"/>
  <c r="L192" i="3"/>
  <c r="G192" i="3"/>
  <c r="O191" i="3"/>
  <c r="J191" i="3"/>
  <c r="F191" i="3"/>
  <c r="N190" i="3"/>
  <c r="I190" i="3"/>
  <c r="Q189" i="3"/>
  <c r="M189" i="3"/>
  <c r="D189" i="3"/>
  <c r="E189" i="3" s="1"/>
  <c r="C207" i="7"/>
  <c r="G207" i="7"/>
  <c r="K207" i="7"/>
  <c r="J207" i="12" s="1"/>
  <c r="O207" i="7"/>
  <c r="D207" i="7"/>
  <c r="E207" i="7"/>
  <c r="I207" i="7"/>
  <c r="I207" i="12" s="1"/>
  <c r="M207" i="7"/>
  <c r="C203" i="7"/>
  <c r="G203" i="7"/>
  <c r="K203" i="7"/>
  <c r="J203" i="12" s="1"/>
  <c r="O203" i="7"/>
  <c r="D203" i="7"/>
  <c r="H203" i="7"/>
  <c r="H203" i="12" s="1"/>
  <c r="L203" i="7"/>
  <c r="K203" i="12" s="1"/>
  <c r="E203" i="7"/>
  <c r="I203" i="7"/>
  <c r="I203" i="12" s="1"/>
  <c r="M203" i="7"/>
  <c r="C199" i="7"/>
  <c r="G199" i="7"/>
  <c r="K199" i="7"/>
  <c r="J199" i="12" s="1"/>
  <c r="O199" i="7"/>
  <c r="D199" i="7"/>
  <c r="H199" i="7"/>
  <c r="H199" i="12" s="1"/>
  <c r="L199" i="7"/>
  <c r="K199" i="12" s="1"/>
  <c r="E199" i="7"/>
  <c r="I199" i="7"/>
  <c r="I199" i="12" s="1"/>
  <c r="M199" i="7"/>
  <c r="C195" i="7"/>
  <c r="G195" i="7"/>
  <c r="K195" i="7"/>
  <c r="J195" i="12" s="1"/>
  <c r="O195" i="7"/>
  <c r="D195" i="7"/>
  <c r="H195" i="7"/>
  <c r="H195" i="12" s="1"/>
  <c r="L195" i="7"/>
  <c r="K195" i="12" s="1"/>
  <c r="E195" i="7"/>
  <c r="I195" i="7"/>
  <c r="I195" i="12" s="1"/>
  <c r="M195" i="7"/>
  <c r="C191" i="7"/>
  <c r="G191" i="7"/>
  <c r="K191" i="7"/>
  <c r="J191" i="12" s="1"/>
  <c r="O191" i="7"/>
  <c r="D191" i="7"/>
  <c r="H191" i="7"/>
  <c r="H191" i="12" s="1"/>
  <c r="L191" i="7"/>
  <c r="K191" i="12" s="1"/>
  <c r="E191" i="7"/>
  <c r="I191" i="7"/>
  <c r="I191" i="12" s="1"/>
  <c r="M191" i="7"/>
  <c r="L212" i="7"/>
  <c r="H212" i="7"/>
  <c r="N211" i="7"/>
  <c r="J211" i="7"/>
  <c r="F211" i="7"/>
  <c r="L210" i="7"/>
  <c r="K210" i="12" s="1"/>
  <c r="H210" i="7"/>
  <c r="H210" i="12" s="1"/>
  <c r="D210" i="7"/>
  <c r="N209" i="7"/>
  <c r="J209" i="7"/>
  <c r="F209" i="7"/>
  <c r="B209" i="7"/>
  <c r="L208" i="7"/>
  <c r="H208" i="7"/>
  <c r="H208" i="12" s="1"/>
  <c r="B208" i="7"/>
  <c r="H207" i="7"/>
  <c r="F205" i="7"/>
  <c r="D204" i="7"/>
  <c r="B203" i="7"/>
  <c r="N201" i="7"/>
  <c r="L200" i="7"/>
  <c r="K200" i="12" s="1"/>
  <c r="J199" i="7"/>
  <c r="F197" i="7"/>
  <c r="D196" i="7"/>
  <c r="B195" i="7"/>
  <c r="N193" i="7"/>
  <c r="L192" i="7"/>
  <c r="K192" i="12" s="1"/>
  <c r="J191" i="7"/>
  <c r="Q202" i="3"/>
  <c r="M202" i="3"/>
  <c r="P197" i="3"/>
  <c r="L197" i="3"/>
  <c r="G197" i="3"/>
  <c r="Q194" i="3"/>
  <c r="G193" i="3"/>
  <c r="Q190" i="3"/>
  <c r="M190" i="3"/>
  <c r="P189" i="3"/>
  <c r="L189" i="3"/>
  <c r="G189" i="3"/>
  <c r="E206" i="7"/>
  <c r="I206" i="7"/>
  <c r="I206" i="12" s="1"/>
  <c r="M206" i="7"/>
  <c r="B206" i="7"/>
  <c r="F206" i="7"/>
  <c r="J206" i="7"/>
  <c r="N206" i="7"/>
  <c r="C206" i="7"/>
  <c r="G206" i="7"/>
  <c r="K206" i="7"/>
  <c r="J206" i="12" s="1"/>
  <c r="O206" i="7"/>
  <c r="E202" i="7"/>
  <c r="I202" i="7"/>
  <c r="I202" i="12" s="1"/>
  <c r="M202" i="7"/>
  <c r="B202" i="7"/>
  <c r="F202" i="7"/>
  <c r="J202" i="7"/>
  <c r="N202" i="7"/>
  <c r="C202" i="7"/>
  <c r="G202" i="7"/>
  <c r="K202" i="7"/>
  <c r="J202" i="12" s="1"/>
  <c r="O202" i="7"/>
  <c r="E198" i="7"/>
  <c r="I198" i="7"/>
  <c r="I198" i="12" s="1"/>
  <c r="M198" i="7"/>
  <c r="B198" i="7"/>
  <c r="F198" i="7"/>
  <c r="J198" i="7"/>
  <c r="N198" i="7"/>
  <c r="C198" i="7"/>
  <c r="G198" i="7"/>
  <c r="K198" i="7"/>
  <c r="J198" i="12" s="1"/>
  <c r="O198" i="7"/>
  <c r="E194" i="7"/>
  <c r="I194" i="7"/>
  <c r="I194" i="12" s="1"/>
  <c r="M194" i="7"/>
  <c r="B194" i="7"/>
  <c r="F194" i="7"/>
  <c r="J194" i="7"/>
  <c r="N194" i="7"/>
  <c r="C194" i="7"/>
  <c r="G194" i="7"/>
  <c r="K194" i="7"/>
  <c r="J194" i="12" s="1"/>
  <c r="O194" i="7"/>
  <c r="E190" i="7"/>
  <c r="I190" i="7"/>
  <c r="I190" i="12" s="1"/>
  <c r="M190" i="7"/>
  <c r="B190" i="7"/>
  <c r="F190" i="7"/>
  <c r="J190" i="7"/>
  <c r="N190" i="7"/>
  <c r="C190" i="7"/>
  <c r="G190" i="7"/>
  <c r="K190" i="7"/>
  <c r="J190" i="12" s="1"/>
  <c r="O190" i="7"/>
  <c r="O210" i="7"/>
  <c r="K210" i="7"/>
  <c r="J210" i="12" s="1"/>
  <c r="G210" i="7"/>
  <c r="M209" i="7"/>
  <c r="I209" i="7"/>
  <c r="N207" i="7"/>
  <c r="F207" i="7"/>
  <c r="D206" i="7"/>
  <c r="B205" i="7"/>
  <c r="N203" i="7"/>
  <c r="L202" i="7"/>
  <c r="K202" i="12" s="1"/>
  <c r="J201" i="7"/>
  <c r="F199" i="7"/>
  <c r="D198" i="7"/>
  <c r="B197" i="7"/>
  <c r="N195" i="7"/>
  <c r="L194" i="7"/>
  <c r="K194" i="12" s="1"/>
  <c r="J193" i="7"/>
  <c r="F191" i="7"/>
  <c r="D190" i="7"/>
  <c r="B201" i="14"/>
  <c r="F201" i="14"/>
  <c r="C201" i="14"/>
  <c r="D201" i="14"/>
  <c r="D197" i="14"/>
  <c r="E197" i="14"/>
  <c r="B197" i="14"/>
  <c r="F197" i="14"/>
  <c r="B193" i="14"/>
  <c r="G193" i="14" s="1"/>
  <c r="F193" i="14"/>
  <c r="C193" i="14"/>
  <c r="D193" i="14"/>
  <c r="D189" i="14"/>
  <c r="E189" i="14"/>
  <c r="B189" i="14"/>
  <c r="F189" i="14"/>
  <c r="E201" i="14"/>
  <c r="B212" i="10"/>
  <c r="F212" i="10"/>
  <c r="J212" i="10"/>
  <c r="N212" i="10"/>
  <c r="C212" i="10"/>
  <c r="G212" i="10"/>
  <c r="K212" i="10"/>
  <c r="O212" i="10"/>
  <c r="D212" i="10"/>
  <c r="H212" i="10"/>
  <c r="L212" i="10"/>
  <c r="D208" i="10"/>
  <c r="H208" i="10"/>
  <c r="L208" i="10"/>
  <c r="E208" i="10"/>
  <c r="I208" i="10"/>
  <c r="M208" i="10"/>
  <c r="B208" i="10"/>
  <c r="F208" i="10"/>
  <c r="J208" i="10"/>
  <c r="N208" i="10"/>
  <c r="K208" i="10"/>
  <c r="O208" i="10"/>
  <c r="C208" i="10"/>
  <c r="D204" i="10"/>
  <c r="H204" i="10"/>
  <c r="L204" i="10"/>
  <c r="E204" i="10"/>
  <c r="I204" i="10"/>
  <c r="M204" i="10"/>
  <c r="B204" i="10"/>
  <c r="F204" i="10"/>
  <c r="J204" i="10"/>
  <c r="N204" i="10"/>
  <c r="C204" i="10"/>
  <c r="G204" i="10"/>
  <c r="K204" i="10"/>
  <c r="D200" i="10"/>
  <c r="H200" i="10"/>
  <c r="L200" i="10"/>
  <c r="E200" i="10"/>
  <c r="I200" i="10"/>
  <c r="M200" i="10"/>
  <c r="B200" i="10"/>
  <c r="F200" i="10"/>
  <c r="J200" i="10"/>
  <c r="N200" i="10"/>
  <c r="K200" i="10"/>
  <c r="O200" i="10"/>
  <c r="C200" i="10"/>
  <c r="D196" i="10"/>
  <c r="H196" i="10"/>
  <c r="L196" i="10"/>
  <c r="E196" i="10"/>
  <c r="I196" i="10"/>
  <c r="M196" i="10"/>
  <c r="B196" i="10"/>
  <c r="F196" i="10"/>
  <c r="J196" i="10"/>
  <c r="N196" i="10"/>
  <c r="C196" i="10"/>
  <c r="G196" i="10"/>
  <c r="K196" i="10"/>
  <c r="D192" i="10"/>
  <c r="H192" i="10"/>
  <c r="L192" i="10"/>
  <c r="E192" i="10"/>
  <c r="I192" i="10"/>
  <c r="M192" i="10"/>
  <c r="B192" i="10"/>
  <c r="F192" i="10"/>
  <c r="J192" i="10"/>
  <c r="N192" i="10"/>
  <c r="K192" i="10"/>
  <c r="O192" i="10"/>
  <c r="C192" i="10"/>
  <c r="E212" i="10"/>
  <c r="G208" i="10"/>
  <c r="C204" i="14"/>
  <c r="E203" i="14"/>
  <c r="F202" i="14"/>
  <c r="B202" i="14"/>
  <c r="E200" i="14"/>
  <c r="C199" i="14"/>
  <c r="D198" i="14"/>
  <c r="C196" i="14"/>
  <c r="E195" i="14"/>
  <c r="F194" i="14"/>
  <c r="B194" i="14"/>
  <c r="E192" i="14"/>
  <c r="C191" i="14"/>
  <c r="D190" i="14"/>
  <c r="C188" i="14"/>
  <c r="B207" i="10"/>
  <c r="F207" i="10"/>
  <c r="J207" i="10"/>
  <c r="N207" i="10"/>
  <c r="C207" i="10"/>
  <c r="G207" i="10"/>
  <c r="K207" i="10"/>
  <c r="O207" i="10"/>
  <c r="D207" i="10"/>
  <c r="H207" i="10"/>
  <c r="L207" i="10"/>
  <c r="B203" i="10"/>
  <c r="F203" i="10"/>
  <c r="J203" i="10"/>
  <c r="N203" i="10"/>
  <c r="C203" i="10"/>
  <c r="G203" i="10"/>
  <c r="K203" i="10"/>
  <c r="O203" i="10"/>
  <c r="D203" i="10"/>
  <c r="H203" i="10"/>
  <c r="L203" i="10"/>
  <c r="B199" i="10"/>
  <c r="F199" i="10"/>
  <c r="J199" i="10"/>
  <c r="N199" i="10"/>
  <c r="C199" i="10"/>
  <c r="G199" i="10"/>
  <c r="K199" i="10"/>
  <c r="O199" i="10"/>
  <c r="D199" i="10"/>
  <c r="H199" i="10"/>
  <c r="L199" i="10"/>
  <c r="B195" i="10"/>
  <c r="F195" i="10"/>
  <c r="J195" i="10"/>
  <c r="N195" i="10"/>
  <c r="C195" i="10"/>
  <c r="G195" i="10"/>
  <c r="K195" i="10"/>
  <c r="O195" i="10"/>
  <c r="D195" i="10"/>
  <c r="H195" i="10"/>
  <c r="L195" i="10"/>
  <c r="B191" i="10"/>
  <c r="F191" i="10"/>
  <c r="J191" i="10"/>
  <c r="N191" i="10"/>
  <c r="C191" i="10"/>
  <c r="G191" i="10"/>
  <c r="K191" i="10"/>
  <c r="O191" i="10"/>
  <c r="D191" i="10"/>
  <c r="H191" i="10"/>
  <c r="L191" i="10"/>
  <c r="N211" i="10"/>
  <c r="J211" i="10"/>
  <c r="F211" i="10"/>
  <c r="B211" i="10"/>
  <c r="L210" i="10"/>
  <c r="M205" i="10"/>
  <c r="I203" i="10"/>
  <c r="M197" i="10"/>
  <c r="I195" i="10"/>
  <c r="L210" i="11"/>
  <c r="L202" i="11"/>
  <c r="F204" i="14"/>
  <c r="B204" i="14"/>
  <c r="D203" i="14"/>
  <c r="E202" i="14"/>
  <c r="D200" i="14"/>
  <c r="F199" i="14"/>
  <c r="B199" i="14"/>
  <c r="G199" i="14" s="1"/>
  <c r="C198" i="14"/>
  <c r="F196" i="14"/>
  <c r="B196" i="14"/>
  <c r="D195" i="14"/>
  <c r="E194" i="14"/>
  <c r="D192" i="14"/>
  <c r="F191" i="14"/>
  <c r="B191" i="14"/>
  <c r="G191" i="14" s="1"/>
  <c r="C190" i="14"/>
  <c r="F188" i="14"/>
  <c r="B188" i="14"/>
  <c r="D210" i="10"/>
  <c r="E210" i="10"/>
  <c r="I210" i="10"/>
  <c r="B210" i="10"/>
  <c r="F210" i="10"/>
  <c r="D206" i="10"/>
  <c r="H206" i="10"/>
  <c r="L206" i="10"/>
  <c r="E206" i="10"/>
  <c r="I206" i="10"/>
  <c r="M206" i="10"/>
  <c r="B206" i="10"/>
  <c r="F206" i="10"/>
  <c r="J206" i="10"/>
  <c r="N206" i="10"/>
  <c r="D202" i="10"/>
  <c r="H202" i="10"/>
  <c r="L202" i="10"/>
  <c r="E202" i="10"/>
  <c r="I202" i="10"/>
  <c r="M202" i="10"/>
  <c r="B202" i="10"/>
  <c r="F202" i="10"/>
  <c r="J202" i="10"/>
  <c r="N202" i="10"/>
  <c r="D198" i="10"/>
  <c r="H198" i="10"/>
  <c r="L198" i="10"/>
  <c r="E198" i="10"/>
  <c r="I198" i="10"/>
  <c r="M198" i="10"/>
  <c r="B198" i="10"/>
  <c r="F198" i="10"/>
  <c r="J198" i="10"/>
  <c r="N198" i="10"/>
  <c r="D194" i="10"/>
  <c r="H194" i="10"/>
  <c r="L194" i="10"/>
  <c r="E194" i="10"/>
  <c r="I194" i="10"/>
  <c r="M194" i="10"/>
  <c r="B194" i="10"/>
  <c r="F194" i="10"/>
  <c r="J194" i="10"/>
  <c r="N194" i="10"/>
  <c r="D190" i="10"/>
  <c r="H190" i="10"/>
  <c r="L190" i="10"/>
  <c r="E190" i="10"/>
  <c r="I190" i="10"/>
  <c r="M190" i="10"/>
  <c r="B190" i="10"/>
  <c r="F190" i="10"/>
  <c r="J190" i="10"/>
  <c r="N190" i="10"/>
  <c r="M211" i="10"/>
  <c r="I211" i="10"/>
  <c r="E211" i="10"/>
  <c r="O210" i="10"/>
  <c r="K210" i="10"/>
  <c r="C210" i="10"/>
  <c r="M207" i="10"/>
  <c r="K206" i="10"/>
  <c r="E203" i="10"/>
  <c r="C202" i="10"/>
  <c r="M199" i="10"/>
  <c r="K198" i="10"/>
  <c r="E195" i="10"/>
  <c r="C194" i="10"/>
  <c r="M191" i="10"/>
  <c r="K190" i="10"/>
  <c r="F198" i="14"/>
  <c r="F190" i="14"/>
  <c r="B209" i="10"/>
  <c r="F209" i="10"/>
  <c r="J209" i="10"/>
  <c r="N209" i="10"/>
  <c r="C209" i="10"/>
  <c r="G209" i="10"/>
  <c r="K209" i="10"/>
  <c r="O209" i="10"/>
  <c r="D209" i="10"/>
  <c r="H209" i="10"/>
  <c r="L209" i="10"/>
  <c r="B205" i="10"/>
  <c r="F205" i="10"/>
  <c r="J205" i="10"/>
  <c r="N205" i="10"/>
  <c r="C205" i="10"/>
  <c r="G205" i="10"/>
  <c r="K205" i="10"/>
  <c r="O205" i="10"/>
  <c r="D205" i="10"/>
  <c r="H205" i="10"/>
  <c r="L205" i="10"/>
  <c r="B201" i="10"/>
  <c r="F201" i="10"/>
  <c r="J201" i="10"/>
  <c r="N201" i="10"/>
  <c r="C201" i="10"/>
  <c r="G201" i="10"/>
  <c r="K201" i="10"/>
  <c r="O201" i="10"/>
  <c r="D201" i="10"/>
  <c r="H201" i="10"/>
  <c r="L201" i="10"/>
  <c r="B197" i="10"/>
  <c r="F197" i="10"/>
  <c r="J197" i="10"/>
  <c r="N197" i="10"/>
  <c r="C197" i="10"/>
  <c r="G197" i="10"/>
  <c r="K197" i="10"/>
  <c r="O197" i="10"/>
  <c r="D197" i="10"/>
  <c r="H197" i="10"/>
  <c r="L197" i="10"/>
  <c r="B193" i="10"/>
  <c r="F193" i="10"/>
  <c r="J193" i="10"/>
  <c r="N193" i="10"/>
  <c r="C193" i="10"/>
  <c r="G193" i="10"/>
  <c r="K193" i="10"/>
  <c r="O193" i="10"/>
  <c r="D193" i="10"/>
  <c r="H193" i="10"/>
  <c r="L193" i="10"/>
  <c r="L211" i="10"/>
  <c r="H211" i="10"/>
  <c r="N210" i="10"/>
  <c r="J210" i="10"/>
  <c r="M209" i="10"/>
  <c r="I207" i="10"/>
  <c r="G206" i="10"/>
  <c r="E205" i="10"/>
  <c r="O202" i="10"/>
  <c r="M201" i="10"/>
  <c r="I199" i="10"/>
  <c r="G198" i="10"/>
  <c r="E197" i="10"/>
  <c r="O194" i="10"/>
  <c r="M193" i="10"/>
  <c r="I191" i="10"/>
  <c r="G190" i="10"/>
  <c r="E210" i="11"/>
  <c r="I210" i="11"/>
  <c r="M210" i="11"/>
  <c r="B210" i="11"/>
  <c r="F210" i="11"/>
  <c r="J210" i="11"/>
  <c r="N210" i="11"/>
  <c r="C210" i="11"/>
  <c r="G210" i="11"/>
  <c r="K210" i="11"/>
  <c r="O210" i="11"/>
  <c r="E206" i="11"/>
  <c r="I206" i="11"/>
  <c r="M206" i="11"/>
  <c r="B206" i="11"/>
  <c r="F206" i="11"/>
  <c r="J206" i="11"/>
  <c r="N206" i="11"/>
  <c r="C206" i="11"/>
  <c r="G206" i="11"/>
  <c r="K206" i="11"/>
  <c r="O206" i="11"/>
  <c r="E202" i="11"/>
  <c r="I202" i="11"/>
  <c r="M202" i="11"/>
  <c r="B202" i="11"/>
  <c r="F202" i="11"/>
  <c r="J202" i="11"/>
  <c r="N202" i="11"/>
  <c r="C202" i="11"/>
  <c r="G202" i="11"/>
  <c r="K202" i="11"/>
  <c r="O202" i="11"/>
  <c r="C198" i="11"/>
  <c r="G198" i="11"/>
  <c r="K198" i="11"/>
  <c r="O198" i="11"/>
  <c r="D198" i="11"/>
  <c r="H198" i="11"/>
  <c r="L198" i="11"/>
  <c r="E198" i="11"/>
  <c r="I198" i="11"/>
  <c r="M198" i="11"/>
  <c r="J198" i="11"/>
  <c r="N198" i="11"/>
  <c r="B198" i="11"/>
  <c r="C194" i="11"/>
  <c r="G194" i="11"/>
  <c r="K194" i="11"/>
  <c r="O194" i="11"/>
  <c r="D194" i="11"/>
  <c r="H194" i="11"/>
  <c r="L194" i="11"/>
  <c r="E194" i="11"/>
  <c r="I194" i="11"/>
  <c r="M194" i="11"/>
  <c r="B194" i="11"/>
  <c r="F194" i="11"/>
  <c r="J194" i="11"/>
  <c r="C190" i="11"/>
  <c r="G190" i="11"/>
  <c r="K190" i="11"/>
  <c r="O190" i="11"/>
  <c r="D190" i="11"/>
  <c r="H190" i="11"/>
  <c r="L190" i="11"/>
  <c r="E190" i="11"/>
  <c r="I190" i="11"/>
  <c r="M190" i="11"/>
  <c r="J190" i="11"/>
  <c r="N190" i="11"/>
  <c r="B190" i="11"/>
  <c r="C209" i="12"/>
  <c r="G209" i="12"/>
  <c r="D209" i="12"/>
  <c r="E209" i="12"/>
  <c r="I209" i="12"/>
  <c r="B209" i="12"/>
  <c r="F209" i="12"/>
  <c r="C205" i="12"/>
  <c r="G205" i="12"/>
  <c r="D205" i="12"/>
  <c r="E205" i="12"/>
  <c r="F205" i="12"/>
  <c r="C201" i="12"/>
  <c r="G201" i="12"/>
  <c r="D201" i="12"/>
  <c r="E201" i="12"/>
  <c r="B201" i="12"/>
  <c r="F201" i="12"/>
  <c r="B197" i="12"/>
  <c r="F197" i="12"/>
  <c r="C197" i="12"/>
  <c r="D197" i="12"/>
  <c r="G197" i="12"/>
  <c r="E197" i="12"/>
  <c r="B193" i="12"/>
  <c r="F193" i="12"/>
  <c r="C193" i="12"/>
  <c r="G193" i="12"/>
  <c r="D193" i="12"/>
  <c r="E193" i="12"/>
  <c r="B189" i="12"/>
  <c r="F189" i="12"/>
  <c r="C189" i="12"/>
  <c r="G189" i="12"/>
  <c r="D189" i="12"/>
  <c r="E189" i="12"/>
  <c r="F207" i="13"/>
  <c r="G207" i="13"/>
  <c r="E207" i="13"/>
  <c r="F203" i="13"/>
  <c r="G203" i="13"/>
  <c r="E203" i="13"/>
  <c r="F199" i="13"/>
  <c r="G199" i="13"/>
  <c r="E199" i="13"/>
  <c r="F195" i="13"/>
  <c r="G195" i="13"/>
  <c r="E195" i="13"/>
  <c r="F191" i="13"/>
  <c r="G191" i="13"/>
  <c r="E191" i="13"/>
  <c r="F187" i="13"/>
  <c r="G187" i="13"/>
  <c r="E187" i="13"/>
  <c r="D210" i="11"/>
  <c r="L206" i="11"/>
  <c r="D202" i="11"/>
  <c r="E201" i="11"/>
  <c r="C201" i="11"/>
  <c r="E197" i="11"/>
  <c r="I197" i="11"/>
  <c r="M197" i="11"/>
  <c r="B197" i="11"/>
  <c r="F197" i="11"/>
  <c r="J197" i="11"/>
  <c r="N197" i="11"/>
  <c r="C197" i="11"/>
  <c r="G197" i="11"/>
  <c r="K197" i="11"/>
  <c r="O197" i="11"/>
  <c r="E193" i="11"/>
  <c r="I193" i="11"/>
  <c r="M193" i="11"/>
  <c r="B193" i="11"/>
  <c r="F193" i="11"/>
  <c r="J193" i="11"/>
  <c r="N193" i="11"/>
  <c r="C193" i="11"/>
  <c r="G193" i="11"/>
  <c r="K193" i="11"/>
  <c r="O193" i="11"/>
  <c r="E189" i="11"/>
  <c r="I189" i="11"/>
  <c r="M189" i="11"/>
  <c r="B189" i="11"/>
  <c r="F189" i="11"/>
  <c r="J189" i="11"/>
  <c r="N189" i="11"/>
  <c r="C189" i="11"/>
  <c r="G189" i="11"/>
  <c r="K189" i="11"/>
  <c r="O189" i="11"/>
  <c r="E208" i="12"/>
  <c r="B208" i="12"/>
  <c r="F208" i="12"/>
  <c r="J208" i="12"/>
  <c r="C208" i="12"/>
  <c r="G208" i="12"/>
  <c r="K208" i="12"/>
  <c r="D208" i="12"/>
  <c r="E204" i="12"/>
  <c r="B204" i="12"/>
  <c r="F204" i="12"/>
  <c r="C204" i="12"/>
  <c r="G204" i="12"/>
  <c r="K204" i="12"/>
  <c r="D204" i="12"/>
  <c r="E200" i="12"/>
  <c r="B200" i="12"/>
  <c r="F200" i="12"/>
  <c r="C200" i="12"/>
  <c r="G200" i="12"/>
  <c r="D200" i="12"/>
  <c r="D196" i="12"/>
  <c r="E196" i="12"/>
  <c r="B196" i="12"/>
  <c r="F196" i="12"/>
  <c r="G196" i="12"/>
  <c r="K196" i="12"/>
  <c r="D192" i="12"/>
  <c r="H192" i="12"/>
  <c r="E192" i="12"/>
  <c r="B192" i="12"/>
  <c r="F192" i="12"/>
  <c r="C192" i="12"/>
  <c r="G192" i="12"/>
  <c r="D188" i="12"/>
  <c r="E188" i="12"/>
  <c r="B188" i="12"/>
  <c r="F188" i="12"/>
  <c r="G188" i="12"/>
  <c r="C188" i="12"/>
  <c r="E210" i="13"/>
  <c r="F210" i="13"/>
  <c r="G210" i="13"/>
  <c r="E206" i="13"/>
  <c r="F206" i="13"/>
  <c r="G206" i="13"/>
  <c r="E202" i="13"/>
  <c r="F202" i="13"/>
  <c r="G202" i="13"/>
  <c r="E198" i="13"/>
  <c r="F198" i="13"/>
  <c r="G198" i="13"/>
  <c r="E194" i="13"/>
  <c r="F194" i="13"/>
  <c r="G194" i="13"/>
  <c r="E190" i="13"/>
  <c r="F190" i="13"/>
  <c r="G190" i="13"/>
  <c r="M211" i="11"/>
  <c r="I211" i="11"/>
  <c r="E211" i="11"/>
  <c r="M209" i="11"/>
  <c r="I209" i="11"/>
  <c r="E209" i="11"/>
  <c r="O208" i="11"/>
  <c r="K208" i="11"/>
  <c r="G208" i="11"/>
  <c r="C208" i="11"/>
  <c r="M207" i="11"/>
  <c r="I207" i="11"/>
  <c r="E207" i="11"/>
  <c r="M205" i="11"/>
  <c r="I205" i="11"/>
  <c r="E205" i="11"/>
  <c r="O204" i="11"/>
  <c r="K204" i="11"/>
  <c r="G204" i="11"/>
  <c r="C204" i="11"/>
  <c r="M203" i="11"/>
  <c r="I203" i="11"/>
  <c r="E203" i="11"/>
  <c r="M201" i="11"/>
  <c r="I201" i="11"/>
  <c r="D201" i="11"/>
  <c r="L195" i="11"/>
  <c r="H193" i="11"/>
  <c r="C200" i="11"/>
  <c r="G200" i="11"/>
  <c r="K200" i="11"/>
  <c r="O200" i="11"/>
  <c r="D200" i="11"/>
  <c r="H200" i="11"/>
  <c r="L200" i="11"/>
  <c r="E200" i="11"/>
  <c r="I200" i="11"/>
  <c r="M200" i="11"/>
  <c r="C196" i="11"/>
  <c r="G196" i="11"/>
  <c r="K196" i="11"/>
  <c r="O196" i="11"/>
  <c r="D196" i="11"/>
  <c r="H196" i="11"/>
  <c r="L196" i="11"/>
  <c r="E196" i="11"/>
  <c r="I196" i="11"/>
  <c r="M196" i="11"/>
  <c r="C192" i="11"/>
  <c r="G192" i="11"/>
  <c r="K192" i="11"/>
  <c r="O192" i="11"/>
  <c r="D192" i="11"/>
  <c r="H192" i="11"/>
  <c r="L192" i="11"/>
  <c r="E192" i="11"/>
  <c r="I192" i="11"/>
  <c r="M192" i="11"/>
  <c r="C207" i="12"/>
  <c r="G207" i="12"/>
  <c r="K207" i="12"/>
  <c r="D207" i="12"/>
  <c r="H207" i="12"/>
  <c r="E207" i="12"/>
  <c r="B207" i="12"/>
  <c r="C203" i="12"/>
  <c r="G203" i="12"/>
  <c r="D203" i="12"/>
  <c r="E203" i="12"/>
  <c r="B203" i="12"/>
  <c r="F203" i="12"/>
  <c r="C199" i="12"/>
  <c r="G199" i="12"/>
  <c r="D199" i="12"/>
  <c r="E199" i="12"/>
  <c r="B199" i="12"/>
  <c r="B195" i="12"/>
  <c r="F195" i="12"/>
  <c r="C195" i="12"/>
  <c r="G195" i="12"/>
  <c r="D195" i="12"/>
  <c r="E195" i="12"/>
  <c r="B191" i="12"/>
  <c r="F191" i="12"/>
  <c r="C191" i="12"/>
  <c r="G191" i="12"/>
  <c r="D191" i="12"/>
  <c r="E191" i="12"/>
  <c r="F209" i="13"/>
  <c r="G209" i="13"/>
  <c r="E209" i="13"/>
  <c r="F205" i="13"/>
  <c r="G205" i="13"/>
  <c r="E205" i="13"/>
  <c r="F201" i="13"/>
  <c r="G201" i="13"/>
  <c r="E201" i="13"/>
  <c r="F197" i="13"/>
  <c r="G197" i="13"/>
  <c r="F193" i="13"/>
  <c r="G193" i="13"/>
  <c r="E193" i="13"/>
  <c r="F189" i="13"/>
  <c r="G189" i="13"/>
  <c r="E189" i="13"/>
  <c r="L211" i="11"/>
  <c r="H211" i="11"/>
  <c r="D211" i="11"/>
  <c r="L209" i="11"/>
  <c r="H209" i="11"/>
  <c r="D209" i="11"/>
  <c r="N208" i="11"/>
  <c r="J208" i="11"/>
  <c r="F208" i="11"/>
  <c r="B208" i="11"/>
  <c r="L207" i="11"/>
  <c r="H207" i="11"/>
  <c r="D207" i="11"/>
  <c r="L205" i="11"/>
  <c r="H205" i="11"/>
  <c r="D205" i="11"/>
  <c r="N204" i="11"/>
  <c r="J204" i="11"/>
  <c r="F204" i="11"/>
  <c r="B204" i="11"/>
  <c r="L203" i="11"/>
  <c r="H203" i="11"/>
  <c r="D203" i="11"/>
  <c r="L201" i="11"/>
  <c r="H201" i="11"/>
  <c r="B201" i="11"/>
  <c r="B200" i="11"/>
  <c r="L197" i="11"/>
  <c r="J196" i="11"/>
  <c r="D193" i="11"/>
  <c r="B192" i="11"/>
  <c r="L189" i="11"/>
  <c r="F207" i="12"/>
  <c r="E199" i="11"/>
  <c r="I199" i="11"/>
  <c r="M199" i="11"/>
  <c r="B199" i="11"/>
  <c r="F199" i="11"/>
  <c r="J199" i="11"/>
  <c r="N199" i="11"/>
  <c r="C199" i="11"/>
  <c r="G199" i="11"/>
  <c r="K199" i="11"/>
  <c r="O199" i="11"/>
  <c r="E195" i="11"/>
  <c r="I195" i="11"/>
  <c r="M195" i="11"/>
  <c r="B195" i="11"/>
  <c r="F195" i="11"/>
  <c r="J195" i="11"/>
  <c r="N195" i="11"/>
  <c r="C195" i="11"/>
  <c r="G195" i="11"/>
  <c r="K195" i="11"/>
  <c r="O195" i="11"/>
  <c r="E191" i="11"/>
  <c r="I191" i="11"/>
  <c r="M191" i="11"/>
  <c r="B191" i="11"/>
  <c r="F191" i="11"/>
  <c r="J191" i="11"/>
  <c r="N191" i="11"/>
  <c r="C191" i="11"/>
  <c r="G191" i="11"/>
  <c r="K191" i="11"/>
  <c r="O191" i="11"/>
  <c r="E210" i="12"/>
  <c r="I210" i="12"/>
  <c r="B210" i="12"/>
  <c r="F210" i="12"/>
  <c r="C210" i="12"/>
  <c r="G210" i="12"/>
  <c r="D210" i="12"/>
  <c r="E206" i="12"/>
  <c r="B206" i="12"/>
  <c r="F206" i="12"/>
  <c r="C206" i="12"/>
  <c r="G206" i="12"/>
  <c r="H206" i="12"/>
  <c r="E202" i="12"/>
  <c r="B202" i="12"/>
  <c r="F202" i="12"/>
  <c r="C202" i="12"/>
  <c r="G202" i="12"/>
  <c r="D202" i="12"/>
  <c r="E198" i="12"/>
  <c r="B198" i="12"/>
  <c r="F198" i="12"/>
  <c r="C198" i="12"/>
  <c r="G198" i="12"/>
  <c r="H198" i="12"/>
  <c r="D194" i="12"/>
  <c r="E194" i="12"/>
  <c r="B194" i="12"/>
  <c r="F194" i="12"/>
  <c r="C194" i="12"/>
  <c r="G194" i="12"/>
  <c r="D190" i="12"/>
  <c r="H190" i="12"/>
  <c r="E190" i="12"/>
  <c r="B190" i="12"/>
  <c r="F190" i="12"/>
  <c r="C190" i="12"/>
  <c r="G190" i="12"/>
  <c r="E208" i="13"/>
  <c r="F208" i="13"/>
  <c r="G208" i="13"/>
  <c r="E204" i="13"/>
  <c r="F204" i="13"/>
  <c r="G204" i="13"/>
  <c r="E200" i="13"/>
  <c r="F200" i="13"/>
  <c r="G200" i="13"/>
  <c r="E196" i="13"/>
  <c r="F196" i="13"/>
  <c r="G196" i="13"/>
  <c r="E192" i="13"/>
  <c r="F192" i="13"/>
  <c r="G192" i="13"/>
  <c r="E188" i="13"/>
  <c r="F188" i="13"/>
  <c r="G188" i="13"/>
  <c r="O211" i="11"/>
  <c r="K211" i="11"/>
  <c r="G211" i="11"/>
  <c r="O209" i="11"/>
  <c r="K209" i="11"/>
  <c r="G209" i="11"/>
  <c r="M208" i="11"/>
  <c r="I208" i="11"/>
  <c r="O207" i="11"/>
  <c r="K207" i="11"/>
  <c r="G207" i="11"/>
  <c r="O205" i="11"/>
  <c r="K205" i="11"/>
  <c r="G205" i="11"/>
  <c r="M204" i="11"/>
  <c r="I204" i="11"/>
  <c r="O203" i="11"/>
  <c r="K203" i="11"/>
  <c r="G203" i="11"/>
  <c r="O201" i="11"/>
  <c r="K201" i="11"/>
  <c r="G201" i="11"/>
  <c r="N200" i="11"/>
  <c r="L199" i="11"/>
  <c r="H197" i="11"/>
  <c r="F196" i="11"/>
  <c r="D195" i="11"/>
  <c r="N192" i="11"/>
  <c r="L191" i="11"/>
  <c r="H189" i="11"/>
  <c r="D206" i="12"/>
  <c r="C196" i="12"/>
  <c r="E197" i="13"/>
  <c r="E209" i="6"/>
  <c r="I209" i="6"/>
  <c r="M209" i="12" s="1"/>
  <c r="M209" i="6"/>
  <c r="B209" i="6"/>
  <c r="F209" i="6"/>
  <c r="J209" i="6"/>
  <c r="N209" i="6"/>
  <c r="C209" i="6"/>
  <c r="G209" i="6"/>
  <c r="K209" i="6"/>
  <c r="N209" i="12" s="1"/>
  <c r="O209" i="6"/>
  <c r="D209" i="6"/>
  <c r="H209" i="6"/>
  <c r="L209" i="12" s="1"/>
  <c r="L209" i="6"/>
  <c r="O209" i="12" s="1"/>
  <c r="E205" i="6"/>
  <c r="I205" i="6"/>
  <c r="M205" i="12" s="1"/>
  <c r="M205" i="6"/>
  <c r="B205" i="6"/>
  <c r="F205" i="6"/>
  <c r="J205" i="6"/>
  <c r="N205" i="6"/>
  <c r="C205" i="6"/>
  <c r="G205" i="6"/>
  <c r="K205" i="6"/>
  <c r="N205" i="12" s="1"/>
  <c r="O205" i="6"/>
  <c r="D205" i="6"/>
  <c r="H205" i="6"/>
  <c r="L205" i="12" s="1"/>
  <c r="L205" i="6"/>
  <c r="O205" i="12" s="1"/>
  <c r="E201" i="6"/>
  <c r="I201" i="6"/>
  <c r="M201" i="12" s="1"/>
  <c r="M201" i="6"/>
  <c r="B201" i="6"/>
  <c r="F201" i="6"/>
  <c r="J201" i="6"/>
  <c r="N201" i="6"/>
  <c r="C201" i="6"/>
  <c r="G201" i="6"/>
  <c r="K201" i="6"/>
  <c r="N201" i="12" s="1"/>
  <c r="O201" i="6"/>
  <c r="D201" i="6"/>
  <c r="H201" i="6"/>
  <c r="L201" i="12" s="1"/>
  <c r="L201" i="6"/>
  <c r="O201" i="12" s="1"/>
  <c r="E197" i="6"/>
  <c r="I197" i="6"/>
  <c r="M197" i="12" s="1"/>
  <c r="M197" i="6"/>
  <c r="B197" i="6"/>
  <c r="F197" i="6"/>
  <c r="J197" i="6"/>
  <c r="N197" i="6"/>
  <c r="C197" i="6"/>
  <c r="G197" i="6"/>
  <c r="K197" i="6"/>
  <c r="N197" i="12" s="1"/>
  <c r="O197" i="6"/>
  <c r="D197" i="6"/>
  <c r="H197" i="6"/>
  <c r="L197" i="12" s="1"/>
  <c r="L197" i="6"/>
  <c r="O197" i="12" s="1"/>
  <c r="E193" i="6"/>
  <c r="I193" i="6"/>
  <c r="M193" i="12" s="1"/>
  <c r="M193" i="6"/>
  <c r="B193" i="6"/>
  <c r="F193" i="6"/>
  <c r="J193" i="6"/>
  <c r="N193" i="6"/>
  <c r="C193" i="6"/>
  <c r="G193" i="6"/>
  <c r="K193" i="6"/>
  <c r="N193" i="12" s="1"/>
  <c r="O193" i="6"/>
  <c r="D193" i="6"/>
  <c r="H193" i="6"/>
  <c r="L193" i="12" s="1"/>
  <c r="L193" i="6"/>
  <c r="O193" i="12" s="1"/>
  <c r="E189" i="6"/>
  <c r="I189" i="6"/>
  <c r="M189" i="12" s="1"/>
  <c r="M189" i="6"/>
  <c r="B189" i="6"/>
  <c r="F189" i="6"/>
  <c r="J189" i="6"/>
  <c r="N189" i="6"/>
  <c r="C189" i="6"/>
  <c r="G189" i="6"/>
  <c r="K189" i="6"/>
  <c r="N189" i="12" s="1"/>
  <c r="O189" i="6"/>
  <c r="D189" i="6"/>
  <c r="H189" i="6"/>
  <c r="L189" i="12" s="1"/>
  <c r="L189" i="6"/>
  <c r="O189" i="12" s="1"/>
  <c r="O213" i="12"/>
  <c r="L213" i="12"/>
  <c r="L211" i="6"/>
  <c r="O211" i="12" s="1"/>
  <c r="C208" i="6"/>
  <c r="G208" i="6"/>
  <c r="K208" i="6"/>
  <c r="N208" i="12" s="1"/>
  <c r="O208" i="6"/>
  <c r="D208" i="6"/>
  <c r="H208" i="6"/>
  <c r="L208" i="12" s="1"/>
  <c r="L208" i="6"/>
  <c r="O208" i="12" s="1"/>
  <c r="E208" i="6"/>
  <c r="I208" i="6"/>
  <c r="M208" i="12" s="1"/>
  <c r="M208" i="6"/>
  <c r="B208" i="6"/>
  <c r="F208" i="6"/>
  <c r="J208" i="6"/>
  <c r="N208" i="6"/>
  <c r="C204" i="6"/>
  <c r="G204" i="6"/>
  <c r="K204" i="6"/>
  <c r="N204" i="12" s="1"/>
  <c r="O204" i="6"/>
  <c r="D204" i="6"/>
  <c r="H204" i="6"/>
  <c r="L204" i="12" s="1"/>
  <c r="L204" i="6"/>
  <c r="O204" i="12" s="1"/>
  <c r="E204" i="6"/>
  <c r="I204" i="6"/>
  <c r="M204" i="12" s="1"/>
  <c r="M204" i="6"/>
  <c r="B204" i="6"/>
  <c r="F204" i="6"/>
  <c r="J204" i="6"/>
  <c r="N204" i="6"/>
  <c r="C200" i="6"/>
  <c r="G200" i="6"/>
  <c r="K200" i="6"/>
  <c r="N200" i="12" s="1"/>
  <c r="O200" i="6"/>
  <c r="D200" i="6"/>
  <c r="H200" i="6"/>
  <c r="L200" i="12" s="1"/>
  <c r="L200" i="6"/>
  <c r="O200" i="12" s="1"/>
  <c r="E200" i="6"/>
  <c r="I200" i="6"/>
  <c r="M200" i="12" s="1"/>
  <c r="M200" i="6"/>
  <c r="B200" i="6"/>
  <c r="F200" i="6"/>
  <c r="J200" i="6"/>
  <c r="N200" i="6"/>
  <c r="C196" i="6"/>
  <c r="G196" i="6"/>
  <c r="K196" i="6"/>
  <c r="N196" i="12" s="1"/>
  <c r="O196" i="6"/>
  <c r="D196" i="6"/>
  <c r="H196" i="6"/>
  <c r="L196" i="12" s="1"/>
  <c r="L196" i="6"/>
  <c r="O196" i="12" s="1"/>
  <c r="E196" i="6"/>
  <c r="I196" i="6"/>
  <c r="M196" i="12" s="1"/>
  <c r="M196" i="6"/>
  <c r="B196" i="6"/>
  <c r="F196" i="6"/>
  <c r="J196" i="6"/>
  <c r="N196" i="6"/>
  <c r="C192" i="6"/>
  <c r="G192" i="6"/>
  <c r="K192" i="6"/>
  <c r="N192" i="12" s="1"/>
  <c r="O192" i="6"/>
  <c r="D192" i="6"/>
  <c r="H192" i="6"/>
  <c r="L192" i="12" s="1"/>
  <c r="L192" i="6"/>
  <c r="O192" i="12" s="1"/>
  <c r="E192" i="6"/>
  <c r="I192" i="6"/>
  <c r="M192" i="12" s="1"/>
  <c r="M192" i="6"/>
  <c r="B192" i="6"/>
  <c r="F192" i="6"/>
  <c r="J192" i="6"/>
  <c r="N192" i="6"/>
  <c r="C188" i="6"/>
  <c r="G188" i="6"/>
  <c r="K188" i="6"/>
  <c r="N188" i="12" s="1"/>
  <c r="O188" i="6"/>
  <c r="D188" i="6"/>
  <c r="H188" i="6"/>
  <c r="L188" i="12" s="1"/>
  <c r="L188" i="6"/>
  <c r="O188" i="12" s="1"/>
  <c r="E188" i="6"/>
  <c r="I188" i="6"/>
  <c r="M188" i="12" s="1"/>
  <c r="M188" i="6"/>
  <c r="B188" i="6"/>
  <c r="F188" i="6"/>
  <c r="J188" i="6"/>
  <c r="N188" i="6"/>
  <c r="N213" i="12"/>
  <c r="M212" i="12"/>
  <c r="O211" i="6"/>
  <c r="E211" i="6"/>
  <c r="B211" i="6"/>
  <c r="F211" i="6"/>
  <c r="C211" i="6"/>
  <c r="G211" i="6"/>
  <c r="D211" i="6"/>
  <c r="H211" i="6"/>
  <c r="L211" i="12" s="1"/>
  <c r="E207" i="6"/>
  <c r="I207" i="6"/>
  <c r="M207" i="12" s="1"/>
  <c r="M207" i="6"/>
  <c r="B207" i="6"/>
  <c r="F207" i="6"/>
  <c r="J207" i="6"/>
  <c r="N207" i="6"/>
  <c r="C207" i="6"/>
  <c r="G207" i="6"/>
  <c r="K207" i="6"/>
  <c r="N207" i="12" s="1"/>
  <c r="O207" i="6"/>
  <c r="D207" i="6"/>
  <c r="H207" i="6"/>
  <c r="L207" i="12" s="1"/>
  <c r="L207" i="6"/>
  <c r="O207" i="12" s="1"/>
  <c r="E203" i="6"/>
  <c r="I203" i="6"/>
  <c r="M203" i="12" s="1"/>
  <c r="M203" i="6"/>
  <c r="B203" i="6"/>
  <c r="F203" i="6"/>
  <c r="J203" i="6"/>
  <c r="N203" i="6"/>
  <c r="C203" i="6"/>
  <c r="G203" i="6"/>
  <c r="K203" i="6"/>
  <c r="N203" i="12" s="1"/>
  <c r="O203" i="6"/>
  <c r="D203" i="6"/>
  <c r="H203" i="6"/>
  <c r="L203" i="12" s="1"/>
  <c r="L203" i="6"/>
  <c r="O203" i="12" s="1"/>
  <c r="E199" i="6"/>
  <c r="I199" i="6"/>
  <c r="M199" i="12" s="1"/>
  <c r="M199" i="6"/>
  <c r="B199" i="6"/>
  <c r="F199" i="6"/>
  <c r="J199" i="6"/>
  <c r="N199" i="6"/>
  <c r="C199" i="6"/>
  <c r="G199" i="6"/>
  <c r="K199" i="6"/>
  <c r="N199" i="12" s="1"/>
  <c r="O199" i="6"/>
  <c r="D199" i="6"/>
  <c r="H199" i="6"/>
  <c r="L199" i="12" s="1"/>
  <c r="L199" i="6"/>
  <c r="O199" i="12" s="1"/>
  <c r="E195" i="6"/>
  <c r="I195" i="6"/>
  <c r="M195" i="12" s="1"/>
  <c r="M195" i="6"/>
  <c r="B195" i="6"/>
  <c r="F195" i="6"/>
  <c r="J195" i="6"/>
  <c r="N195" i="6"/>
  <c r="C195" i="6"/>
  <c r="G195" i="6"/>
  <c r="K195" i="6"/>
  <c r="N195" i="12" s="1"/>
  <c r="O195" i="6"/>
  <c r="D195" i="6"/>
  <c r="H195" i="6"/>
  <c r="L195" i="12" s="1"/>
  <c r="L195" i="6"/>
  <c r="O195" i="12" s="1"/>
  <c r="E191" i="6"/>
  <c r="I191" i="6"/>
  <c r="M191" i="12" s="1"/>
  <c r="M191" i="6"/>
  <c r="B191" i="6"/>
  <c r="F191" i="6"/>
  <c r="J191" i="6"/>
  <c r="N191" i="6"/>
  <c r="C191" i="6"/>
  <c r="G191" i="6"/>
  <c r="K191" i="6"/>
  <c r="N191" i="12" s="1"/>
  <c r="O191" i="6"/>
  <c r="D191" i="6"/>
  <c r="H191" i="6"/>
  <c r="L191" i="12" s="1"/>
  <c r="L191" i="6"/>
  <c r="O191" i="12" s="1"/>
  <c r="O212" i="12"/>
  <c r="L212" i="12"/>
  <c r="N211" i="6"/>
  <c r="J211" i="6"/>
  <c r="C210" i="6"/>
  <c r="G210" i="6"/>
  <c r="K210" i="6"/>
  <c r="N210" i="12" s="1"/>
  <c r="O210" i="6"/>
  <c r="D210" i="6"/>
  <c r="H210" i="6"/>
  <c r="L210" i="12" s="1"/>
  <c r="L210" i="6"/>
  <c r="O210" i="12" s="1"/>
  <c r="E210" i="6"/>
  <c r="I210" i="6"/>
  <c r="M210" i="12" s="1"/>
  <c r="M210" i="6"/>
  <c r="B210" i="6"/>
  <c r="F210" i="6"/>
  <c r="J210" i="6"/>
  <c r="N210" i="6"/>
  <c r="C206" i="6"/>
  <c r="G206" i="6"/>
  <c r="K206" i="6"/>
  <c r="N206" i="12" s="1"/>
  <c r="O206" i="6"/>
  <c r="D206" i="6"/>
  <c r="H206" i="6"/>
  <c r="L206" i="12" s="1"/>
  <c r="L206" i="6"/>
  <c r="O206" i="12" s="1"/>
  <c r="E206" i="6"/>
  <c r="I206" i="6"/>
  <c r="M206" i="12" s="1"/>
  <c r="M206" i="6"/>
  <c r="B206" i="6"/>
  <c r="F206" i="6"/>
  <c r="J206" i="6"/>
  <c r="N206" i="6"/>
  <c r="C202" i="6"/>
  <c r="G202" i="6"/>
  <c r="K202" i="6"/>
  <c r="N202" i="12" s="1"/>
  <c r="O202" i="6"/>
  <c r="D202" i="6"/>
  <c r="H202" i="6"/>
  <c r="L202" i="12" s="1"/>
  <c r="L202" i="6"/>
  <c r="O202" i="12" s="1"/>
  <c r="E202" i="6"/>
  <c r="I202" i="6"/>
  <c r="M202" i="12" s="1"/>
  <c r="M202" i="6"/>
  <c r="B202" i="6"/>
  <c r="F202" i="6"/>
  <c r="J202" i="6"/>
  <c r="N202" i="6"/>
  <c r="C198" i="6"/>
  <c r="G198" i="6"/>
  <c r="K198" i="6"/>
  <c r="N198" i="12" s="1"/>
  <c r="O198" i="6"/>
  <c r="D198" i="6"/>
  <c r="H198" i="6"/>
  <c r="L198" i="12" s="1"/>
  <c r="L198" i="6"/>
  <c r="O198" i="12" s="1"/>
  <c r="E198" i="6"/>
  <c r="I198" i="6"/>
  <c r="M198" i="12" s="1"/>
  <c r="M198" i="6"/>
  <c r="B198" i="6"/>
  <c r="F198" i="6"/>
  <c r="J198" i="6"/>
  <c r="N198" i="6"/>
  <c r="C194" i="6"/>
  <c r="G194" i="6"/>
  <c r="K194" i="6"/>
  <c r="N194" i="12" s="1"/>
  <c r="O194" i="6"/>
  <c r="D194" i="6"/>
  <c r="H194" i="6"/>
  <c r="L194" i="12" s="1"/>
  <c r="L194" i="6"/>
  <c r="O194" i="12" s="1"/>
  <c r="E194" i="6"/>
  <c r="I194" i="6"/>
  <c r="M194" i="12" s="1"/>
  <c r="M194" i="6"/>
  <c r="B194" i="6"/>
  <c r="F194" i="6"/>
  <c r="J194" i="6"/>
  <c r="N194" i="6"/>
  <c r="C190" i="6"/>
  <c r="G190" i="6"/>
  <c r="K190" i="6"/>
  <c r="N190" i="12" s="1"/>
  <c r="O190" i="6"/>
  <c r="D190" i="6"/>
  <c r="H190" i="6"/>
  <c r="L190" i="12" s="1"/>
  <c r="L190" i="6"/>
  <c r="O190" i="12" s="1"/>
  <c r="E190" i="6"/>
  <c r="I190" i="6"/>
  <c r="M190" i="12" s="1"/>
  <c r="M190" i="6"/>
  <c r="B190" i="6"/>
  <c r="F190" i="6"/>
  <c r="J190" i="6"/>
  <c r="N190" i="6"/>
  <c r="M213" i="12"/>
  <c r="N212" i="12"/>
  <c r="M211" i="6"/>
  <c r="I211" i="6"/>
  <c r="M211" i="12" s="1"/>
  <c r="Q213" i="2"/>
  <c r="D205" i="2"/>
  <c r="I197" i="2"/>
  <c r="H208" i="2"/>
  <c r="C212" i="2"/>
  <c r="R212" i="2"/>
  <c r="I204" i="2"/>
  <c r="L204" i="2"/>
  <c r="M200" i="2"/>
  <c r="P200" i="2"/>
  <c r="C196" i="2"/>
  <c r="D196" i="2"/>
  <c r="R196" i="2"/>
  <c r="B200" i="2"/>
  <c r="D212" i="2"/>
  <c r="E211" i="2"/>
  <c r="P207" i="2"/>
  <c r="L199" i="2"/>
  <c r="S209" i="2"/>
  <c r="H207" i="2"/>
  <c r="R203" i="2"/>
  <c r="C199" i="2"/>
  <c r="E195" i="2"/>
  <c r="D206" i="2"/>
  <c r="L206" i="2"/>
  <c r="R206" i="2"/>
  <c r="E206" i="2"/>
  <c r="M206" i="2"/>
  <c r="S206" i="2"/>
  <c r="B194" i="2"/>
  <c r="H194" i="2"/>
  <c r="P194" i="2"/>
  <c r="C194" i="2"/>
  <c r="I194" i="2"/>
  <c r="Q194" i="2"/>
  <c r="C206" i="2"/>
  <c r="S202" i="2"/>
  <c r="E213" i="2"/>
  <c r="R213" i="2"/>
  <c r="B213" i="2"/>
  <c r="S213" i="2"/>
  <c r="C209" i="2"/>
  <c r="H209" i="2"/>
  <c r="L209" i="2"/>
  <c r="P209" i="2"/>
  <c r="D209" i="2"/>
  <c r="I209" i="2"/>
  <c r="M209" i="2"/>
  <c r="Q209" i="2"/>
  <c r="E205" i="2"/>
  <c r="R205" i="2"/>
  <c r="B205" i="2"/>
  <c r="S205" i="2"/>
  <c r="C201" i="2"/>
  <c r="H201" i="2"/>
  <c r="L201" i="2"/>
  <c r="P201" i="2"/>
  <c r="D201" i="2"/>
  <c r="I201" i="2"/>
  <c r="M201" i="2"/>
  <c r="Q201" i="2"/>
  <c r="E197" i="2"/>
  <c r="R197" i="2"/>
  <c r="B197" i="2"/>
  <c r="S197" i="2"/>
  <c r="H214" i="2"/>
  <c r="P213" i="2"/>
  <c r="H213" i="2"/>
  <c r="Q212" i="2"/>
  <c r="M211" i="2"/>
  <c r="D211" i="2"/>
  <c r="R209" i="2"/>
  <c r="S208" i="2"/>
  <c r="P206" i="2"/>
  <c r="B206" i="2"/>
  <c r="L205" i="2"/>
  <c r="C205" i="2"/>
  <c r="Q203" i="2"/>
  <c r="I203" i="2"/>
  <c r="R202" i="2"/>
  <c r="D202" i="2"/>
  <c r="E201" i="2"/>
  <c r="S199" i="2"/>
  <c r="B199" i="2"/>
  <c r="H198" i="2"/>
  <c r="P197" i="2"/>
  <c r="H197" i="2"/>
  <c r="Q196" i="2"/>
  <c r="M195" i="2"/>
  <c r="D195" i="2"/>
  <c r="L194" i="2"/>
  <c r="B210" i="2"/>
  <c r="H210" i="2"/>
  <c r="P210" i="2"/>
  <c r="C210" i="2"/>
  <c r="I210" i="2"/>
  <c r="Q210" i="2"/>
  <c r="Q206" i="2"/>
  <c r="E212" i="2"/>
  <c r="M212" i="2"/>
  <c r="S212" i="2"/>
  <c r="B212" i="2"/>
  <c r="H212" i="2"/>
  <c r="P212" i="2"/>
  <c r="C208" i="2"/>
  <c r="I208" i="2"/>
  <c r="Q208" i="2"/>
  <c r="D208" i="2"/>
  <c r="L208" i="2"/>
  <c r="R208" i="2"/>
  <c r="E204" i="2"/>
  <c r="M204" i="2"/>
  <c r="S204" i="2"/>
  <c r="B204" i="2"/>
  <c r="H204" i="2"/>
  <c r="P204" i="2"/>
  <c r="C200" i="2"/>
  <c r="I200" i="2"/>
  <c r="Q200" i="2"/>
  <c r="D200" i="2"/>
  <c r="L200" i="2"/>
  <c r="R200" i="2"/>
  <c r="E196" i="2"/>
  <c r="M196" i="2"/>
  <c r="S196" i="2"/>
  <c r="B196" i="2"/>
  <c r="H196" i="2"/>
  <c r="P196" i="2"/>
  <c r="Q214" i="2"/>
  <c r="M213" i="2"/>
  <c r="D213" i="2"/>
  <c r="L212" i="2"/>
  <c r="S210" i="2"/>
  <c r="E210" i="2"/>
  <c r="P208" i="2"/>
  <c r="B208" i="2"/>
  <c r="L207" i="2"/>
  <c r="I206" i="2"/>
  <c r="Q205" i="2"/>
  <c r="I205" i="2"/>
  <c r="R204" i="2"/>
  <c r="D204" i="2"/>
  <c r="S201" i="2"/>
  <c r="B201" i="2"/>
  <c r="H200" i="2"/>
  <c r="P199" i="2"/>
  <c r="Q198" i="2"/>
  <c r="M197" i="2"/>
  <c r="D197" i="2"/>
  <c r="L196" i="2"/>
  <c r="S194" i="2"/>
  <c r="E194" i="2"/>
  <c r="D214" i="2"/>
  <c r="L214" i="2"/>
  <c r="R214" i="2"/>
  <c r="E214" i="2"/>
  <c r="M214" i="2"/>
  <c r="S214" i="2"/>
  <c r="B202" i="2"/>
  <c r="H202" i="2"/>
  <c r="P202" i="2"/>
  <c r="C202" i="2"/>
  <c r="I202" i="2"/>
  <c r="Q202" i="2"/>
  <c r="D198" i="2"/>
  <c r="L198" i="2"/>
  <c r="R198" i="2"/>
  <c r="E198" i="2"/>
  <c r="M198" i="2"/>
  <c r="S198" i="2"/>
  <c r="I214" i="2"/>
  <c r="M210" i="2"/>
  <c r="E202" i="2"/>
  <c r="I198" i="2"/>
  <c r="M194" i="2"/>
  <c r="B211" i="2"/>
  <c r="S211" i="2"/>
  <c r="C211" i="2"/>
  <c r="H211" i="2"/>
  <c r="L211" i="2"/>
  <c r="P211" i="2"/>
  <c r="D207" i="2"/>
  <c r="I207" i="2"/>
  <c r="M207" i="2"/>
  <c r="Q207" i="2"/>
  <c r="E207" i="2"/>
  <c r="R207" i="2"/>
  <c r="B203" i="2"/>
  <c r="S203" i="2"/>
  <c r="C203" i="2"/>
  <c r="H203" i="2"/>
  <c r="L203" i="2"/>
  <c r="P203" i="2"/>
  <c r="D199" i="2"/>
  <c r="I199" i="2"/>
  <c r="M199" i="2"/>
  <c r="Q199" i="2"/>
  <c r="E199" i="2"/>
  <c r="R199" i="2"/>
  <c r="B195" i="2"/>
  <c r="S195" i="2"/>
  <c r="C195" i="2"/>
  <c r="H195" i="2"/>
  <c r="L195" i="2"/>
  <c r="P195" i="2"/>
  <c r="P214" i="2"/>
  <c r="B214" i="2"/>
  <c r="L213" i="2"/>
  <c r="C213" i="2"/>
  <c r="I212" i="2"/>
  <c r="Q211" i="2"/>
  <c r="I211" i="2"/>
  <c r="R210" i="2"/>
  <c r="D210" i="2"/>
  <c r="E209" i="2"/>
  <c r="M208" i="2"/>
  <c r="S207" i="2"/>
  <c r="B207" i="2"/>
  <c r="H206" i="2"/>
  <c r="P205" i="2"/>
  <c r="H205" i="2"/>
  <c r="Q204" i="2"/>
  <c r="C204" i="2"/>
  <c r="M203" i="2"/>
  <c r="D203" i="2"/>
  <c r="G203" i="2" s="1"/>
  <c r="L202" i="2"/>
  <c r="N202" i="2" s="1"/>
  <c r="O202" i="2" s="1"/>
  <c r="R201" i="2"/>
  <c r="S200" i="2"/>
  <c r="E200" i="2"/>
  <c r="P198" i="2"/>
  <c r="B198" i="2"/>
  <c r="L197" i="2"/>
  <c r="C197" i="2"/>
  <c r="I196" i="2"/>
  <c r="Q195" i="2"/>
  <c r="I195" i="2"/>
  <c r="R194" i="2"/>
  <c r="D194" i="2"/>
  <c r="N205" i="2" l="1"/>
  <c r="O205" i="2" s="1"/>
  <c r="J213" i="2"/>
  <c r="K213" i="2" s="1"/>
  <c r="M198" i="3"/>
  <c r="L198" i="3"/>
  <c r="Q203" i="3"/>
  <c r="B203" i="3"/>
  <c r="Q198" i="3"/>
  <c r="F198" i="3"/>
  <c r="H198" i="3" s="1"/>
  <c r="N198" i="3"/>
  <c r="K210" i="3"/>
  <c r="B201" i="3"/>
  <c r="N196" i="2"/>
  <c r="O196" i="2" s="1"/>
  <c r="Q201" i="3"/>
  <c r="F209" i="3"/>
  <c r="P205" i="3"/>
  <c r="J207" i="3"/>
  <c r="K207" i="3" s="1"/>
  <c r="D209" i="3"/>
  <c r="E209" i="3" s="1"/>
  <c r="O205" i="3"/>
  <c r="G201" i="3"/>
  <c r="G209" i="3"/>
  <c r="D205" i="3"/>
  <c r="E205" i="3" s="1"/>
  <c r="M209" i="3"/>
  <c r="F201" i="3"/>
  <c r="H201" i="3" s="1"/>
  <c r="O209" i="3"/>
  <c r="L195" i="3"/>
  <c r="N205" i="3"/>
  <c r="I209" i="3"/>
  <c r="J201" i="3"/>
  <c r="H210" i="3"/>
  <c r="L201" i="3"/>
  <c r="G205" i="3"/>
  <c r="L209" i="3"/>
  <c r="D201" i="3"/>
  <c r="E201" i="3" s="1"/>
  <c r="M205" i="3"/>
  <c r="Q209" i="3"/>
  <c r="O201" i="3"/>
  <c r="I201" i="3"/>
  <c r="N209" i="3"/>
  <c r="F205" i="3"/>
  <c r="H205" i="3" s="1"/>
  <c r="F198" i="2"/>
  <c r="N210" i="2"/>
  <c r="O210" i="2" s="1"/>
  <c r="P201" i="3"/>
  <c r="L205" i="3"/>
  <c r="P209" i="3"/>
  <c r="M201" i="3"/>
  <c r="Q205" i="3"/>
  <c r="B209" i="3"/>
  <c r="J209" i="3"/>
  <c r="E202" i="3"/>
  <c r="F205" i="2"/>
  <c r="L193" i="3"/>
  <c r="N194" i="3"/>
  <c r="I193" i="3"/>
  <c r="F206" i="3"/>
  <c r="B195" i="3"/>
  <c r="P193" i="3"/>
  <c r="M206" i="3"/>
  <c r="O195" i="3"/>
  <c r="I206" i="3"/>
  <c r="B194" i="3"/>
  <c r="O206" i="3"/>
  <c r="D195" i="3"/>
  <c r="N207" i="3"/>
  <c r="J197" i="2"/>
  <c r="K197" i="2" s="1"/>
  <c r="M194" i="3"/>
  <c r="Q206" i="3"/>
  <c r="D193" i="3"/>
  <c r="E193" i="3" s="1"/>
  <c r="N206" i="3"/>
  <c r="O193" i="3"/>
  <c r="J194" i="3"/>
  <c r="K194" i="3" s="1"/>
  <c r="P207" i="3"/>
  <c r="L206" i="3"/>
  <c r="D206" i="3"/>
  <c r="M191" i="3"/>
  <c r="F194" i="3"/>
  <c r="B206" i="3"/>
  <c r="B205" i="3"/>
  <c r="B204" i="3"/>
  <c r="J204" i="3"/>
  <c r="D194" i="3"/>
  <c r="E194" i="3" s="1"/>
  <c r="C206" i="3"/>
  <c r="I191" i="3"/>
  <c r="K191" i="3" s="1"/>
  <c r="B191" i="3"/>
  <c r="N203" i="3"/>
  <c r="I204" i="3"/>
  <c r="Q199" i="3"/>
  <c r="D203" i="3"/>
  <c r="E203" i="3" s="1"/>
  <c r="P191" i="3"/>
  <c r="O194" i="3"/>
  <c r="C199" i="3"/>
  <c r="E199" i="3" s="1"/>
  <c r="N201" i="3"/>
  <c r="P203" i="3"/>
  <c r="I205" i="3"/>
  <c r="J206" i="3"/>
  <c r="J205" i="3"/>
  <c r="P194" i="3"/>
  <c r="F204" i="3"/>
  <c r="H204" i="3" s="1"/>
  <c r="M195" i="3"/>
  <c r="Q191" i="3"/>
  <c r="M199" i="3"/>
  <c r="P198" i="3"/>
  <c r="G206" i="3"/>
  <c r="M203" i="3"/>
  <c r="G194" i="3"/>
  <c r="N199" i="3"/>
  <c r="D191" i="3"/>
  <c r="E191" i="3" s="1"/>
  <c r="B199" i="3"/>
  <c r="L194" i="3"/>
  <c r="J199" i="2"/>
  <c r="K199" i="2" s="1"/>
  <c r="F214" i="2"/>
  <c r="O207" i="3"/>
  <c r="B193" i="3"/>
  <c r="N193" i="3"/>
  <c r="P195" i="3"/>
  <c r="J198" i="3"/>
  <c r="C207" i="3"/>
  <c r="D198" i="3"/>
  <c r="Q207" i="3"/>
  <c r="Q195" i="3"/>
  <c r="M193" i="3"/>
  <c r="F195" i="3"/>
  <c r="F193" i="3"/>
  <c r="H193" i="3" s="1"/>
  <c r="C195" i="3"/>
  <c r="O198" i="3"/>
  <c r="G207" i="3"/>
  <c r="C198" i="3"/>
  <c r="D207" i="3"/>
  <c r="Q193" i="3"/>
  <c r="J195" i="3"/>
  <c r="I198" i="3"/>
  <c r="F207" i="3"/>
  <c r="J193" i="3"/>
  <c r="G195" i="3"/>
  <c r="B198" i="3"/>
  <c r="L207" i="3"/>
  <c r="I195" i="3"/>
  <c r="B207" i="3"/>
  <c r="M207" i="3"/>
  <c r="H191" i="3"/>
  <c r="H199" i="3"/>
  <c r="J207" i="2"/>
  <c r="K207" i="2" s="1"/>
  <c r="N199" i="2"/>
  <c r="O199" i="2" s="1"/>
  <c r="H203" i="3"/>
  <c r="F213" i="2"/>
  <c r="F195" i="2"/>
  <c r="F200" i="2"/>
  <c r="E190" i="3"/>
  <c r="F208" i="2"/>
  <c r="J204" i="2"/>
  <c r="K204" i="2" s="1"/>
  <c r="K208" i="3"/>
  <c r="K192" i="3"/>
  <c r="N206" i="2"/>
  <c r="O206" i="2" s="1"/>
  <c r="G200" i="14"/>
  <c r="H200" i="3"/>
  <c r="F211" i="2"/>
  <c r="G197" i="2"/>
  <c r="J200" i="2"/>
  <c r="K200" i="2" s="1"/>
  <c r="H208" i="3"/>
  <c r="H202" i="3"/>
  <c r="K190" i="3"/>
  <c r="H196" i="3"/>
  <c r="E204" i="3"/>
  <c r="G188" i="14"/>
  <c r="G204" i="14"/>
  <c r="H192" i="3"/>
  <c r="G195" i="14"/>
  <c r="E196" i="3"/>
  <c r="G192" i="14"/>
  <c r="E200" i="3"/>
  <c r="K199" i="3"/>
  <c r="K202" i="3"/>
  <c r="J208" i="2"/>
  <c r="K208" i="2" s="1"/>
  <c r="G196" i="14"/>
  <c r="G203" i="14"/>
  <c r="G201" i="14"/>
  <c r="E192" i="3"/>
  <c r="E208" i="3"/>
  <c r="K189" i="3"/>
  <c r="K197" i="3"/>
  <c r="H189" i="3"/>
  <c r="F210" i="2"/>
  <c r="J203" i="2"/>
  <c r="K203" i="2" s="1"/>
  <c r="G213" i="2"/>
  <c r="N200" i="2"/>
  <c r="O200" i="2" s="1"/>
  <c r="G206" i="2"/>
  <c r="G202" i="14"/>
  <c r="G189" i="14"/>
  <c r="G197" i="14"/>
  <c r="H197" i="3"/>
  <c r="J210" i="2"/>
  <c r="K210" i="2" s="1"/>
  <c r="G202" i="2"/>
  <c r="F212" i="2"/>
  <c r="G205" i="2"/>
  <c r="G194" i="14"/>
  <c r="F194" i="2"/>
  <c r="J205" i="2"/>
  <c r="K205" i="2" s="1"/>
  <c r="F199" i="2"/>
  <c r="N207" i="2"/>
  <c r="O207" i="2" s="1"/>
  <c r="G198" i="2"/>
  <c r="G212" i="2"/>
  <c r="N197" i="2"/>
  <c r="O197" i="2" s="1"/>
  <c r="G195" i="2"/>
  <c r="F196" i="2"/>
  <c r="G214" i="2"/>
  <c r="F197" i="2"/>
  <c r="G207" i="2"/>
  <c r="J202" i="2"/>
  <c r="K202" i="2" s="1"/>
  <c r="G194" i="2"/>
  <c r="G211" i="2"/>
  <c r="J198" i="2"/>
  <c r="K198" i="2" s="1"/>
  <c r="G196" i="2"/>
  <c r="G210" i="2"/>
  <c r="N195" i="2"/>
  <c r="O195" i="2" s="1"/>
  <c r="N198" i="2"/>
  <c r="O198" i="2" s="1"/>
  <c r="N214" i="2"/>
  <c r="O214" i="2" s="1"/>
  <c r="F204" i="2"/>
  <c r="N204" i="2"/>
  <c r="O204" i="2" s="1"/>
  <c r="J196" i="2"/>
  <c r="K196" i="2" s="1"/>
  <c r="J212" i="2"/>
  <c r="K212" i="2" s="1"/>
  <c r="F202" i="2"/>
  <c r="N201" i="2"/>
  <c r="O201" i="2" s="1"/>
  <c r="N209" i="2"/>
  <c r="O209" i="2" s="1"/>
  <c r="G199" i="2"/>
  <c r="N213" i="2"/>
  <c r="O213" i="2" s="1"/>
  <c r="J206" i="2"/>
  <c r="K206" i="2" s="1"/>
  <c r="N203" i="2"/>
  <c r="O203" i="2" s="1"/>
  <c r="N211" i="2"/>
  <c r="O211" i="2" s="1"/>
  <c r="N212" i="2"/>
  <c r="O212" i="2" s="1"/>
  <c r="J201" i="2"/>
  <c r="K201" i="2" s="1"/>
  <c r="J209" i="2"/>
  <c r="K209" i="2" s="1"/>
  <c r="F206" i="2"/>
  <c r="F203" i="2"/>
  <c r="J214" i="2"/>
  <c r="K214" i="2" s="1"/>
  <c r="G204" i="2"/>
  <c r="G200" i="2"/>
  <c r="G208" i="2"/>
  <c r="J195" i="2"/>
  <c r="K195" i="2" s="1"/>
  <c r="J211" i="2"/>
  <c r="K211" i="2" s="1"/>
  <c r="N208" i="2"/>
  <c r="O208" i="2" s="1"/>
  <c r="N194" i="2"/>
  <c r="O194" i="2" s="1"/>
  <c r="G201" i="2"/>
  <c r="F201" i="2"/>
  <c r="G209" i="2"/>
  <c r="F209" i="2"/>
  <c r="J194" i="2"/>
  <c r="K194" i="2" s="1"/>
  <c r="F207" i="2"/>
  <c r="F179" i="18"/>
  <c r="K206" i="3" l="1"/>
  <c r="K209" i="3"/>
  <c r="H194" i="3"/>
  <c r="K201" i="3"/>
  <c r="H209" i="3"/>
  <c r="K204" i="3"/>
  <c r="H206" i="3"/>
  <c r="K198" i="3"/>
  <c r="K195" i="3"/>
  <c r="K193" i="3"/>
  <c r="E195" i="3"/>
  <c r="E198" i="3"/>
  <c r="H195" i="3"/>
  <c r="E207" i="3"/>
  <c r="K205" i="3"/>
  <c r="H207" i="3"/>
  <c r="E206" i="3"/>
  <c r="F160" i="18"/>
  <c r="F45" i="18"/>
  <c r="F54" i="18"/>
  <c r="F200" i="18"/>
  <c r="F81" i="18"/>
  <c r="F206" i="18"/>
  <c r="F191" i="18"/>
  <c r="F71" i="18"/>
  <c r="F21" i="18"/>
  <c r="F147" i="18"/>
  <c r="F178" i="18"/>
  <c r="F208" i="18"/>
  <c r="F38" i="18"/>
  <c r="F31" i="18"/>
  <c r="F130" i="18"/>
  <c r="F28" i="18"/>
  <c r="F182" i="18"/>
  <c r="F189" i="18"/>
  <c r="F170" i="18"/>
  <c r="F150" i="18"/>
  <c r="F187" i="18"/>
  <c r="F44" i="18"/>
  <c r="F62" i="18"/>
  <c r="F76" i="18"/>
  <c r="F56" i="18"/>
  <c r="F57" i="18"/>
  <c r="F146" i="18"/>
  <c r="F59" i="18"/>
  <c r="F90" i="18"/>
  <c r="F77" i="18"/>
  <c r="F51" i="18"/>
  <c r="F115" i="18"/>
  <c r="F199" i="18"/>
  <c r="F14" i="18"/>
  <c r="F16" i="18"/>
  <c r="F207" i="18"/>
  <c r="F201" i="18"/>
  <c r="F190" i="18"/>
  <c r="F30" i="18"/>
  <c r="F110" i="18"/>
  <c r="F11" i="18"/>
  <c r="F69" i="18"/>
  <c r="F159" i="18"/>
  <c r="F186" i="18"/>
  <c r="F13" i="18"/>
  <c r="F50" i="18"/>
  <c r="F82" i="18"/>
  <c r="F144" i="18"/>
  <c r="F119" i="18"/>
  <c r="F120" i="18"/>
  <c r="F43" i="18"/>
  <c r="F127" i="18"/>
  <c r="F151" i="18"/>
  <c r="F94" i="18"/>
  <c r="F142" i="18"/>
  <c r="F88" i="18"/>
  <c r="F167" i="18"/>
  <c r="F83" i="18"/>
  <c r="F205" i="18"/>
  <c r="F148" i="18"/>
  <c r="F122" i="18"/>
  <c r="F84" i="18"/>
  <c r="F7" i="18"/>
  <c r="F168" i="18"/>
  <c r="F24" i="18"/>
  <c r="F194" i="18"/>
  <c r="F37" i="18"/>
  <c r="F139" i="18"/>
  <c r="F202" i="18"/>
  <c r="F33" i="18"/>
  <c r="F171" i="18"/>
  <c r="F129" i="18"/>
  <c r="F180" i="18"/>
  <c r="F156" i="18"/>
  <c r="F172" i="18"/>
  <c r="F15" i="18"/>
  <c r="F97" i="18"/>
  <c r="F22" i="18"/>
  <c r="F5" i="18"/>
  <c r="F154" i="18"/>
  <c r="F46" i="18"/>
  <c r="F63" i="18"/>
  <c r="F53" i="18"/>
  <c r="F75" i="18"/>
  <c r="F174" i="18"/>
  <c r="F93" i="18"/>
  <c r="F86" i="18"/>
  <c r="F103" i="18"/>
  <c r="F39" i="18"/>
  <c r="F134" i="18"/>
  <c r="F149" i="18"/>
  <c r="F58" i="18"/>
  <c r="F106" i="18"/>
  <c r="F192" i="18"/>
  <c r="F8" i="18"/>
  <c r="F133" i="18"/>
  <c r="F204" i="18"/>
  <c r="F118" i="18"/>
  <c r="F55" i="18"/>
  <c r="F32" i="18"/>
  <c r="F89" i="18"/>
  <c r="F107" i="18"/>
  <c r="F196" i="18"/>
  <c r="F72" i="18"/>
  <c r="F52" i="18"/>
  <c r="F64" i="18"/>
  <c r="F61" i="18"/>
  <c r="F211" i="18"/>
  <c r="F210" i="18"/>
  <c r="F105" i="18"/>
  <c r="F111" i="18"/>
  <c r="F26" i="18"/>
  <c r="F181" i="18"/>
  <c r="F47" i="18"/>
  <c r="F34" i="18"/>
  <c r="F184" i="18"/>
  <c r="F161" i="18"/>
  <c r="F209" i="18"/>
  <c r="F136" i="18"/>
  <c r="F155" i="18"/>
  <c r="F91" i="18"/>
  <c r="F183" i="18"/>
  <c r="F188" i="18"/>
  <c r="F25" i="18"/>
  <c r="F23" i="18"/>
  <c r="F65" i="18"/>
  <c r="F40" i="18"/>
  <c r="F113" i="18"/>
  <c r="F109" i="18"/>
  <c r="F70" i="18"/>
  <c r="F164" i="18"/>
  <c r="F6" i="18"/>
  <c r="F108" i="18"/>
  <c r="F163" i="18"/>
  <c r="F123" i="18"/>
  <c r="F48" i="18"/>
  <c r="F74" i="18"/>
  <c r="F67" i="18"/>
  <c r="F73" i="18"/>
  <c r="F128" i="18"/>
  <c r="F112" i="18"/>
  <c r="F10" i="18"/>
  <c r="F126" i="18"/>
  <c r="F17" i="18"/>
  <c r="F173" i="18"/>
  <c r="F198" i="18"/>
  <c r="F35" i="18"/>
  <c r="F20" i="18"/>
  <c r="F213" i="18"/>
  <c r="F141" i="18"/>
  <c r="F152" i="18"/>
  <c r="F158" i="18"/>
  <c r="F121" i="18"/>
  <c r="F166" i="18"/>
  <c r="F162" i="18"/>
  <c r="F157" i="18"/>
  <c r="F79" i="18"/>
  <c r="F36" i="18"/>
  <c r="F100" i="18"/>
  <c r="F98" i="18"/>
  <c r="F131" i="18"/>
  <c r="F104" i="18"/>
  <c r="F99" i="18"/>
  <c r="F101" i="18"/>
  <c r="F165" i="18"/>
  <c r="F27" i="18"/>
  <c r="F153" i="18"/>
  <c r="F116" i="18"/>
  <c r="F68" i="18"/>
  <c r="F135" i="18"/>
  <c r="F92" i="18"/>
  <c r="F95" i="18"/>
  <c r="F175" i="18"/>
  <c r="F78" i="18"/>
  <c r="F66" i="18"/>
  <c r="F212" i="18"/>
  <c r="F125" i="18"/>
  <c r="F96" i="18"/>
  <c r="F138" i="18"/>
  <c r="F18" i="18"/>
  <c r="F195" i="18"/>
  <c r="F203" i="18"/>
  <c r="F42" i="18"/>
  <c r="F185" i="18"/>
  <c r="F143" i="18"/>
  <c r="F29" i="18"/>
  <c r="F169" i="18"/>
  <c r="F177" i="18"/>
  <c r="F137" i="18"/>
  <c r="E92"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87" i="18"/>
  <c r="E156" i="18"/>
  <c r="E159" i="18"/>
  <c r="E31" i="18"/>
  <c r="E96" i="18"/>
  <c r="E84" i="18"/>
  <c r="E27" i="18"/>
  <c r="E127" i="18"/>
  <c r="E80" i="18"/>
  <c r="E167" i="18"/>
  <c r="E33" i="18"/>
  <c r="E66" i="18"/>
  <c r="E202" i="18"/>
  <c r="E152" i="18"/>
  <c r="E149" i="18"/>
  <c r="E189" i="18"/>
  <c r="E177" i="18"/>
  <c r="E181" i="18"/>
  <c r="E68" i="18"/>
  <c r="E30" i="18"/>
  <c r="E160" i="18"/>
  <c r="E153" i="18"/>
  <c r="E158" i="18"/>
  <c r="E128" i="18"/>
  <c r="E196" i="18"/>
  <c r="E100" i="18"/>
  <c r="E124" i="18"/>
  <c r="E148" i="18"/>
  <c r="E34" i="18"/>
  <c r="E81" i="18"/>
  <c r="E86" i="18"/>
  <c r="E91" i="18"/>
  <c r="E94" i="18"/>
  <c r="E134" i="18"/>
  <c r="E137" i="18"/>
  <c r="E111" i="18"/>
  <c r="E142" i="18"/>
  <c r="E89" i="18"/>
  <c r="E16" i="18"/>
  <c r="E165" i="18"/>
  <c r="E110" i="18"/>
  <c r="E11" i="18"/>
  <c r="E69" i="18"/>
  <c r="E168" i="18"/>
  <c r="E186" i="18"/>
  <c r="E95" i="18"/>
  <c r="E61" i="18"/>
  <c r="E104" i="18"/>
  <c r="E204" i="18"/>
  <c r="E32" i="18"/>
  <c r="E5" i="18"/>
  <c r="E64" i="18"/>
  <c r="E52" i="18"/>
  <c r="E79" i="18"/>
  <c r="E146" i="18"/>
  <c r="E154" i="18"/>
  <c r="E116" i="18"/>
  <c r="E53" i="18"/>
  <c r="E22" i="18"/>
  <c r="E203" i="18"/>
  <c r="E108" i="18"/>
  <c r="E119" i="18"/>
  <c r="E43" i="18"/>
  <c r="E70" i="18"/>
  <c r="E56" i="18"/>
  <c r="E10" i="18"/>
  <c r="E99" i="18"/>
  <c r="E206" i="18"/>
  <c r="E78" i="18"/>
  <c r="E175" i="18"/>
  <c r="E170" i="18"/>
  <c r="E107" i="18"/>
  <c r="E172" i="18"/>
  <c r="E122" i="18"/>
  <c r="E51" i="18"/>
  <c r="E185" i="18"/>
  <c r="E151" i="18"/>
  <c r="E106" i="18"/>
  <c r="E147" i="18"/>
  <c r="E76" i="18"/>
  <c r="E26" i="18"/>
  <c r="E77" i="18"/>
  <c r="E14" i="18"/>
  <c r="E17" i="18"/>
  <c r="E133" i="18"/>
  <c r="E7" i="18"/>
  <c r="E75" i="18"/>
  <c r="E169" i="18"/>
  <c r="E37" i="18"/>
  <c r="E88" i="18"/>
  <c r="E23" i="18"/>
  <c r="E192" i="18"/>
  <c r="E65" i="18"/>
  <c r="E125" i="18"/>
  <c r="E90" i="18"/>
  <c r="E199" i="18"/>
  <c r="E93" i="18"/>
  <c r="E54" i="18"/>
  <c r="E35" i="18"/>
  <c r="E155" i="18"/>
  <c r="E24" i="18"/>
  <c r="E157" i="18"/>
  <c r="E115" i="18"/>
  <c r="E121" i="18"/>
  <c r="E28" i="18"/>
  <c r="E13" i="18"/>
  <c r="E210" i="18"/>
  <c r="E194" i="18"/>
  <c r="E174" i="18"/>
  <c r="E213" i="18"/>
  <c r="E105" i="18"/>
  <c r="E200" i="18"/>
  <c r="E135" i="18"/>
  <c r="E139" i="18"/>
  <c r="E62" i="18"/>
  <c r="E18" i="18"/>
  <c r="E39" i="18"/>
  <c r="E209" i="18"/>
  <c r="E208" i="18"/>
  <c r="E126" i="18"/>
  <c r="E72" i="18"/>
  <c r="E42" i="18"/>
  <c r="E118" i="18"/>
  <c r="E141" i="18"/>
  <c r="E15" i="18"/>
  <c r="E63" i="18"/>
  <c r="E49" i="18"/>
  <c r="F49" i="18"/>
  <c r="E103" i="18"/>
  <c r="E45" i="18"/>
  <c r="E47" i="18"/>
  <c r="E129" i="18"/>
  <c r="E143" i="18"/>
  <c r="E178" i="18"/>
  <c r="E171" i="18"/>
  <c r="E25" i="18"/>
  <c r="E164" i="18"/>
  <c r="E67" i="18"/>
  <c r="E136" i="18"/>
  <c r="E183" i="18"/>
  <c r="E48" i="18"/>
  <c r="E205" i="18"/>
  <c r="E83" i="18"/>
  <c r="E188" i="18"/>
  <c r="E73" i="18"/>
  <c r="E58" i="18"/>
  <c r="E97" i="18"/>
  <c r="E109" i="18"/>
  <c r="E40" i="18"/>
  <c r="E113" i="18"/>
  <c r="E180" i="18"/>
  <c r="E55" i="18"/>
  <c r="E57" i="18"/>
  <c r="E173" i="18"/>
  <c r="E182" i="18"/>
  <c r="E195" i="18"/>
  <c r="E36" i="18"/>
  <c r="E82" i="18"/>
  <c r="E29" i="18"/>
  <c r="E190" i="18"/>
  <c r="E20" i="18"/>
  <c r="E6" i="18"/>
  <c r="E130" i="18"/>
  <c r="E8" i="18"/>
  <c r="E201" i="18"/>
  <c r="E123" i="18"/>
  <c r="E21" i="18"/>
  <c r="E191" i="18"/>
  <c r="E150" i="18"/>
  <c r="E163" i="18"/>
  <c r="E59" i="18"/>
  <c r="E38" i="18"/>
  <c r="E74" i="18"/>
  <c r="E207" i="18"/>
  <c r="E71" i="18"/>
  <c r="E162" i="18"/>
  <c r="E120" i="18"/>
  <c r="E166" i="18"/>
  <c r="E184" i="18"/>
  <c r="E46" i="18"/>
  <c r="E101" i="18"/>
  <c r="E212" i="18"/>
  <c r="E198" i="18"/>
  <c r="E50" i="18"/>
  <c r="E102" i="18"/>
  <c r="C7" i="14"/>
  <c r="B8" i="14"/>
  <c r="B9" i="14"/>
  <c r="C10" i="14"/>
  <c r="C11" i="14"/>
  <c r="B12" i="14"/>
  <c r="D13" i="14"/>
  <c r="C14" i="14"/>
  <c r="C15" i="14"/>
  <c r="B16" i="14"/>
  <c r="D17" i="14"/>
  <c r="C18" i="14"/>
  <c r="C19" i="14"/>
  <c r="B20" i="14"/>
  <c r="D21" i="14"/>
  <c r="C23" i="14"/>
  <c r="C24" i="14"/>
  <c r="D25" i="14"/>
  <c r="C26" i="14"/>
  <c r="C27" i="14"/>
  <c r="C28" i="14"/>
  <c r="C29" i="14"/>
  <c r="E30" i="14"/>
  <c r="C31" i="14"/>
  <c r="C32" i="14"/>
  <c r="C33" i="14"/>
  <c r="C34" i="14"/>
  <c r="C35" i="14"/>
  <c r="D37" i="14"/>
  <c r="C39" i="14"/>
  <c r="C40" i="14"/>
  <c r="B41" i="14"/>
  <c r="C42" i="14"/>
  <c r="F43" i="14"/>
  <c r="E44" i="14"/>
  <c r="E46" i="14"/>
  <c r="F47" i="14"/>
  <c r="D48" i="14"/>
  <c r="C49" i="14"/>
  <c r="E50" i="14"/>
  <c r="C51" i="14"/>
  <c r="D52" i="14"/>
  <c r="D53" i="14"/>
  <c r="C54" i="14"/>
  <c r="C55" i="14"/>
  <c r="D56" i="14"/>
  <c r="D57" i="14"/>
  <c r="C59" i="14"/>
  <c r="D60" i="14"/>
  <c r="C61" i="14"/>
  <c r="C62" i="14"/>
  <c r="C63" i="14"/>
  <c r="C65" i="14"/>
  <c r="C66" i="14"/>
  <c r="C67" i="14"/>
  <c r="C69" i="14"/>
  <c r="C70" i="14"/>
  <c r="C71" i="14"/>
  <c r="C73" i="14"/>
  <c r="C74" i="14"/>
  <c r="C75" i="14"/>
  <c r="C77" i="14"/>
  <c r="C78" i="14"/>
  <c r="C79" i="14"/>
  <c r="E81" i="14"/>
  <c r="E82" i="14"/>
  <c r="F83" i="14"/>
  <c r="B84" i="14"/>
  <c r="E85" i="14"/>
  <c r="C86" i="14"/>
  <c r="C87" i="14"/>
  <c r="C88" i="14"/>
  <c r="D89" i="14"/>
  <c r="C91" i="14"/>
  <c r="C92" i="14"/>
  <c r="D93" i="14"/>
  <c r="C94" i="14"/>
  <c r="C95" i="14"/>
  <c r="C96" i="14"/>
  <c r="D97" i="14"/>
  <c r="C98" i="14"/>
  <c r="C99" i="14"/>
  <c r="C100" i="14"/>
  <c r="E101" i="14"/>
  <c r="C102" i="14"/>
  <c r="C103" i="14"/>
  <c r="C104" i="14"/>
  <c r="D105" i="14"/>
  <c r="C107" i="14"/>
  <c r="C108" i="14"/>
  <c r="B109" i="14"/>
  <c r="C111" i="14"/>
  <c r="C112" i="14"/>
  <c r="D113" i="14"/>
  <c r="C114" i="14"/>
  <c r="C115" i="14"/>
  <c r="C117" i="14"/>
  <c r="C118" i="14"/>
  <c r="C119" i="14"/>
  <c r="C120" i="14"/>
  <c r="C123" i="14"/>
  <c r="C124" i="14"/>
  <c r="C125" i="14"/>
  <c r="C126" i="14"/>
  <c r="C127" i="14"/>
  <c r="B129" i="14"/>
  <c r="C130" i="14"/>
  <c r="D131" i="14"/>
  <c r="C133" i="14"/>
  <c r="D135" i="14"/>
  <c r="D136" i="14"/>
  <c r="C137" i="14"/>
  <c r="C138" i="14"/>
  <c r="C139" i="14"/>
  <c r="C140" i="14"/>
  <c r="C141" i="14"/>
  <c r="C142" i="14"/>
  <c r="E143" i="14"/>
  <c r="F144" i="14"/>
  <c r="D148" i="14"/>
  <c r="D149" i="14"/>
  <c r="F151" i="14"/>
  <c r="D152" i="14"/>
  <c r="C153" i="14"/>
  <c r="D156" i="14"/>
  <c r="C157" i="14"/>
  <c r="C158" i="14"/>
  <c r="B159" i="14"/>
  <c r="D160" i="14"/>
  <c r="D161" i="14"/>
  <c r="B165" i="14"/>
  <c r="D167" i="14"/>
  <c r="F168" i="14"/>
  <c r="C169" i="14"/>
  <c r="C171" i="14"/>
  <c r="C172" i="14"/>
  <c r="E173" i="14"/>
  <c r="E174" i="14"/>
  <c r="E175" i="14"/>
  <c r="E176" i="14"/>
  <c r="E177" i="14"/>
  <c r="C178" i="14"/>
  <c r="C180" i="14"/>
  <c r="E182" i="14"/>
  <c r="B183" i="14"/>
  <c r="C184" i="14"/>
  <c r="F185" i="14"/>
  <c r="C186" i="14"/>
  <c r="B187" i="14"/>
  <c r="E19" i="13"/>
  <c r="E20" i="13"/>
  <c r="E21" i="13"/>
  <c r="F35" i="13"/>
  <c r="E37" i="13"/>
  <c r="F43" i="13"/>
  <c r="E49" i="13"/>
  <c r="E54" i="13"/>
  <c r="G58" i="13"/>
  <c r="F59" i="13"/>
  <c r="E61" i="13"/>
  <c r="F63" i="13"/>
  <c r="F64" i="13"/>
  <c r="G72" i="13"/>
  <c r="E73" i="13"/>
  <c r="G74" i="13"/>
  <c r="F76" i="13"/>
  <c r="F77" i="13"/>
  <c r="E78" i="13"/>
  <c r="E89" i="13"/>
  <c r="E93" i="13"/>
  <c r="F102" i="13"/>
  <c r="F106" i="13"/>
  <c r="E114" i="13"/>
  <c r="G123" i="13"/>
  <c r="F128" i="13"/>
  <c r="E133" i="13"/>
  <c r="F141" i="13"/>
  <c r="E142" i="13"/>
  <c r="E147" i="13"/>
  <c r="F148" i="13"/>
  <c r="E152" i="13"/>
  <c r="F153" i="13"/>
  <c r="E163" i="13"/>
  <c r="F164" i="13"/>
  <c r="F165" i="13"/>
  <c r="E170" i="13"/>
  <c r="G171" i="13"/>
  <c r="F172" i="13"/>
  <c r="G173" i="13"/>
  <c r="E174" i="13"/>
  <c r="G177" i="13"/>
  <c r="E180" i="13"/>
  <c r="F184" i="13"/>
  <c r="E186" i="13"/>
  <c r="D7" i="12"/>
  <c r="C8" i="12"/>
  <c r="G10" i="12"/>
  <c r="D11" i="12"/>
  <c r="F13" i="12"/>
  <c r="F15" i="12"/>
  <c r="C16" i="12"/>
  <c r="C17" i="12"/>
  <c r="F19" i="12"/>
  <c r="C20" i="12"/>
  <c r="D21" i="12"/>
  <c r="G22" i="12"/>
  <c r="C24" i="12"/>
  <c r="E25" i="12"/>
  <c r="C27" i="12"/>
  <c r="F29" i="12"/>
  <c r="C30" i="12"/>
  <c r="C31" i="12"/>
  <c r="C32" i="12"/>
  <c r="G34" i="12"/>
  <c r="B36" i="12"/>
  <c r="D38" i="12"/>
  <c r="E39" i="12"/>
  <c r="C40" i="12"/>
  <c r="B43" i="12"/>
  <c r="B45" i="12"/>
  <c r="E46" i="12"/>
  <c r="D47" i="12"/>
  <c r="B49" i="12"/>
  <c r="G50" i="12"/>
  <c r="D51" i="12"/>
  <c r="F52" i="12"/>
  <c r="B53" i="12"/>
  <c r="D54" i="12"/>
  <c r="B55" i="12"/>
  <c r="C57" i="12"/>
  <c r="D59" i="12"/>
  <c r="B61" i="12"/>
  <c r="D63" i="12"/>
  <c r="B64" i="12"/>
  <c r="C65" i="12"/>
  <c r="D66" i="12"/>
  <c r="F67" i="12"/>
  <c r="C68" i="12"/>
  <c r="C69" i="12"/>
  <c r="D70" i="12"/>
  <c r="E71" i="12"/>
  <c r="D72" i="12"/>
  <c r="F73" i="12"/>
  <c r="B74" i="12"/>
  <c r="F76" i="12"/>
  <c r="B77" i="12"/>
  <c r="C78" i="12"/>
  <c r="E79" i="12"/>
  <c r="C82" i="12"/>
  <c r="F83" i="12"/>
  <c r="D85" i="12"/>
  <c r="C86" i="12"/>
  <c r="C87" i="12"/>
  <c r="B90" i="12"/>
  <c r="F91" i="12"/>
  <c r="E94" i="12"/>
  <c r="C95" i="12"/>
  <c r="E96" i="12"/>
  <c r="G98" i="12"/>
  <c r="C99" i="12"/>
  <c r="C100" i="12"/>
  <c r="C102" i="12"/>
  <c r="C104" i="12"/>
  <c r="E105" i="12"/>
  <c r="C106" i="12"/>
  <c r="C107" i="12"/>
  <c r="C108" i="12"/>
  <c r="C109" i="12"/>
  <c r="E110" i="12"/>
  <c r="C111" i="12"/>
  <c r="C112" i="12"/>
  <c r="D113" i="12"/>
  <c r="E114" i="12"/>
  <c r="C115" i="12"/>
  <c r="C116" i="12"/>
  <c r="F117" i="12"/>
  <c r="E118" i="12"/>
  <c r="E119" i="12"/>
  <c r="C120" i="12"/>
  <c r="D121" i="12"/>
  <c r="B122" i="12"/>
  <c r="C123" i="12"/>
  <c r="F125" i="12"/>
  <c r="B126" i="12"/>
  <c r="C127" i="12"/>
  <c r="E128" i="12"/>
  <c r="D129" i="12"/>
  <c r="G130" i="12"/>
  <c r="C132" i="12"/>
  <c r="F134" i="12"/>
  <c r="F135" i="12"/>
  <c r="D136" i="12"/>
  <c r="F137" i="12"/>
  <c r="B138" i="12"/>
  <c r="F141" i="12"/>
  <c r="D143" i="12"/>
  <c r="E144" i="12"/>
  <c r="E147" i="12"/>
  <c r="E148" i="12"/>
  <c r="C149" i="12"/>
  <c r="C151" i="12"/>
  <c r="E152" i="12"/>
  <c r="G153" i="12"/>
  <c r="E154" i="12"/>
  <c r="C156" i="12"/>
  <c r="F157" i="12"/>
  <c r="E158" i="12"/>
  <c r="E159" i="12"/>
  <c r="E162" i="12"/>
  <c r="C164" i="12"/>
  <c r="E165" i="12"/>
  <c r="C166" i="12"/>
  <c r="D167" i="12"/>
  <c r="C168" i="12"/>
  <c r="G169" i="12"/>
  <c r="G170" i="12"/>
  <c r="E171" i="12"/>
  <c r="C172" i="12"/>
  <c r="D173" i="12"/>
  <c r="E174" i="12"/>
  <c r="D177" i="12"/>
  <c r="G178" i="12"/>
  <c r="E179" i="12"/>
  <c r="E182" i="12"/>
  <c r="E187" i="12"/>
  <c r="E7" i="11"/>
  <c r="L8" i="11"/>
  <c r="L10" i="11"/>
  <c r="F12" i="11"/>
  <c r="E15" i="11"/>
  <c r="C17" i="11"/>
  <c r="E18" i="11"/>
  <c r="H19" i="11"/>
  <c r="L20" i="11"/>
  <c r="C21" i="11"/>
  <c r="C22" i="11"/>
  <c r="C23" i="11"/>
  <c r="E24" i="11"/>
  <c r="I25" i="11"/>
  <c r="G27" i="11"/>
  <c r="L28" i="11"/>
  <c r="B29" i="11"/>
  <c r="D31" i="11"/>
  <c r="B32" i="11"/>
  <c r="K33" i="11"/>
  <c r="B34" i="11"/>
  <c r="C35" i="11"/>
  <c r="N36" i="11"/>
  <c r="C38" i="11"/>
  <c r="C39" i="11"/>
  <c r="B40" i="11"/>
  <c r="B41" i="11"/>
  <c r="C42" i="11"/>
  <c r="D43" i="11"/>
  <c r="B44" i="11"/>
  <c r="B45" i="11"/>
  <c r="B46" i="11"/>
  <c r="C48" i="11"/>
  <c r="F50" i="11"/>
  <c r="B51" i="11"/>
  <c r="I52" i="11"/>
  <c r="D53" i="11"/>
  <c r="E54" i="11"/>
  <c r="B55" i="11"/>
  <c r="D57" i="11"/>
  <c r="C58" i="11"/>
  <c r="C60" i="11"/>
  <c r="K61" i="11"/>
  <c r="F62" i="11"/>
  <c r="E63" i="11"/>
  <c r="B64" i="11"/>
  <c r="I65" i="11"/>
  <c r="E66" i="11"/>
  <c r="E67" i="11"/>
  <c r="C68" i="11"/>
  <c r="I69" i="11"/>
  <c r="E70" i="11"/>
  <c r="C71" i="11"/>
  <c r="C72" i="11"/>
  <c r="G73" i="11"/>
  <c r="E74" i="11"/>
  <c r="C75" i="11"/>
  <c r="C76" i="11"/>
  <c r="E77" i="11"/>
  <c r="C80" i="11"/>
  <c r="K81" i="11"/>
  <c r="C82" i="11"/>
  <c r="C83" i="11"/>
  <c r="C84" i="11"/>
  <c r="I85" i="11"/>
  <c r="E86" i="11"/>
  <c r="D88" i="11"/>
  <c r="G89" i="11"/>
  <c r="E90" i="11"/>
  <c r="C91" i="11"/>
  <c r="D92" i="11"/>
  <c r="K93" i="11"/>
  <c r="B94" i="11"/>
  <c r="E95" i="11"/>
  <c r="F96" i="11"/>
  <c r="N97" i="11"/>
  <c r="E98" i="11"/>
  <c r="C99" i="11"/>
  <c r="E100" i="11"/>
  <c r="F101" i="11"/>
  <c r="G102" i="11"/>
  <c r="D103" i="11"/>
  <c r="L104" i="11"/>
  <c r="F105" i="11"/>
  <c r="D106" i="11"/>
  <c r="D107" i="11"/>
  <c r="I108" i="11"/>
  <c r="K109" i="11"/>
  <c r="L110" i="11"/>
  <c r="E111" i="11"/>
  <c r="F112" i="11"/>
  <c r="C113" i="11"/>
  <c r="E114" i="11"/>
  <c r="G115" i="11"/>
  <c r="B116" i="11"/>
  <c r="C117" i="11"/>
  <c r="E118" i="11"/>
  <c r="H119" i="11"/>
  <c r="G121" i="11"/>
  <c r="B122" i="11"/>
  <c r="C123" i="11"/>
  <c r="B124" i="11"/>
  <c r="B125" i="11"/>
  <c r="B126" i="11"/>
  <c r="E127" i="11"/>
  <c r="F128" i="11"/>
  <c r="C129" i="11"/>
  <c r="I130" i="11"/>
  <c r="M131" i="11"/>
  <c r="B132" i="11"/>
  <c r="E133" i="11"/>
  <c r="G134" i="11"/>
  <c r="M135" i="11"/>
  <c r="B136" i="11"/>
  <c r="D137" i="11"/>
  <c r="I138" i="11"/>
  <c r="M139" i="11"/>
  <c r="F140" i="11"/>
  <c r="E141" i="11"/>
  <c r="C142" i="11"/>
  <c r="E143" i="11"/>
  <c r="B144" i="11"/>
  <c r="D145" i="11"/>
  <c r="C146" i="11"/>
  <c r="B147" i="11"/>
  <c r="B148" i="11"/>
  <c r="E150" i="11"/>
  <c r="L151" i="11"/>
  <c r="B152" i="11"/>
  <c r="D153" i="11"/>
  <c r="C154" i="11"/>
  <c r="B155" i="11"/>
  <c r="B156" i="11"/>
  <c r="F157" i="11"/>
  <c r="L159" i="11"/>
  <c r="B160" i="11"/>
  <c r="I162" i="11"/>
  <c r="H163" i="11"/>
  <c r="B164" i="11"/>
  <c r="K165" i="11"/>
  <c r="I166" i="11"/>
  <c r="E167" i="11"/>
  <c r="B168" i="11"/>
  <c r="D169" i="11"/>
  <c r="I170" i="11"/>
  <c r="H171" i="11"/>
  <c r="E172" i="11"/>
  <c r="F173" i="11"/>
  <c r="E174" i="11"/>
  <c r="D175" i="11"/>
  <c r="E176" i="11"/>
  <c r="K177" i="11"/>
  <c r="D179" i="11"/>
  <c r="E180" i="11"/>
  <c r="K181" i="11"/>
  <c r="I182" i="11"/>
  <c r="H183" i="11"/>
  <c r="E184" i="11"/>
  <c r="C186" i="11"/>
  <c r="E187" i="11"/>
  <c r="B188" i="11"/>
  <c r="D7" i="10"/>
  <c r="B8" i="10"/>
  <c r="E9" i="10"/>
  <c r="B10" i="10"/>
  <c r="C11" i="10"/>
  <c r="G12" i="10"/>
  <c r="D13" i="10"/>
  <c r="B14" i="10"/>
  <c r="B15" i="10"/>
  <c r="G16" i="10"/>
  <c r="B17" i="10"/>
  <c r="F18" i="10"/>
  <c r="E19" i="10"/>
  <c r="C20" i="10"/>
  <c r="F21" i="10"/>
  <c r="B22" i="10"/>
  <c r="D24" i="10"/>
  <c r="C25" i="10"/>
  <c r="B26" i="10"/>
  <c r="E29" i="10"/>
  <c r="B30" i="10"/>
  <c r="E31" i="10"/>
  <c r="F32" i="10"/>
  <c r="E33" i="10"/>
  <c r="B34" i="10"/>
  <c r="C37" i="10"/>
  <c r="B38" i="10"/>
  <c r="E39" i="10"/>
  <c r="D40" i="10"/>
  <c r="B41" i="10"/>
  <c r="B42" i="10"/>
  <c r="D44" i="10"/>
  <c r="D45" i="10"/>
  <c r="B46" i="10"/>
  <c r="N48" i="10"/>
  <c r="B49" i="10"/>
  <c r="B50" i="10"/>
  <c r="D52" i="10"/>
  <c r="B53" i="10"/>
  <c r="E54" i="10"/>
  <c r="E55" i="10"/>
  <c r="D56" i="10"/>
  <c r="B57" i="10"/>
  <c r="C60" i="10"/>
  <c r="B61" i="10"/>
  <c r="B62" i="10"/>
  <c r="E63" i="10"/>
  <c r="B65" i="10"/>
  <c r="D68" i="10"/>
  <c r="D69" i="10"/>
  <c r="B70" i="10"/>
  <c r="E71" i="10"/>
  <c r="D72" i="10"/>
  <c r="K76" i="10"/>
  <c r="C77" i="10"/>
  <c r="E79" i="10"/>
  <c r="D80" i="10"/>
  <c r="I81" i="10"/>
  <c r="E82" i="10"/>
  <c r="C84" i="10"/>
  <c r="C85" i="10"/>
  <c r="B86" i="10"/>
  <c r="E87" i="10"/>
  <c r="D88" i="10"/>
  <c r="C89" i="10"/>
  <c r="I90" i="10"/>
  <c r="B93" i="10"/>
  <c r="B94" i="10"/>
  <c r="D96" i="10"/>
  <c r="I97" i="10"/>
  <c r="L98" i="10"/>
  <c r="B100" i="10"/>
  <c r="I101" i="10"/>
  <c r="E103" i="10"/>
  <c r="E104" i="10"/>
  <c r="E106" i="10"/>
  <c r="C108" i="10"/>
  <c r="C109" i="10"/>
  <c r="B110" i="10"/>
  <c r="C113" i="10"/>
  <c r="B114" i="10"/>
  <c r="E117" i="10"/>
  <c r="B119" i="10"/>
  <c r="D120" i="10"/>
  <c r="C121" i="10"/>
  <c r="H122" i="10"/>
  <c r="I123" i="10"/>
  <c r="C125" i="10"/>
  <c r="H126" i="10"/>
  <c r="I127" i="10"/>
  <c r="I128" i="10"/>
  <c r="I129" i="10"/>
  <c r="D132" i="10"/>
  <c r="B133" i="10"/>
  <c r="E134" i="10"/>
  <c r="B136" i="10"/>
  <c r="L137" i="10"/>
  <c r="D138" i="10"/>
  <c r="E141" i="10"/>
  <c r="D142" i="10"/>
  <c r="E143" i="10"/>
  <c r="C144" i="10"/>
  <c r="C145" i="10"/>
  <c r="L151" i="10"/>
  <c r="B153" i="10"/>
  <c r="D154" i="10"/>
  <c r="F155" i="10"/>
  <c r="C156" i="10"/>
  <c r="D157" i="10"/>
  <c r="E158" i="10"/>
  <c r="L159" i="10"/>
  <c r="B161" i="10"/>
  <c r="C164" i="10"/>
  <c r="L166" i="10"/>
  <c r="D167" i="10"/>
  <c r="C169" i="10"/>
  <c r="D171" i="10"/>
  <c r="C172" i="10"/>
  <c r="E174" i="10"/>
  <c r="B176" i="10"/>
  <c r="L178" i="10"/>
  <c r="M179" i="10"/>
  <c r="C180" i="10"/>
  <c r="I181" i="10"/>
  <c r="H182" i="10"/>
  <c r="M184" i="10"/>
  <c r="C185" i="10"/>
  <c r="L186" i="10"/>
  <c r="F187" i="10"/>
  <c r="I189" i="10"/>
  <c r="D7" i="8"/>
  <c r="F8" i="8"/>
  <c r="G9" i="8"/>
  <c r="F14" i="8"/>
  <c r="I16" i="8"/>
  <c r="D17" i="8"/>
  <c r="C18" i="8"/>
  <c r="D19" i="8"/>
  <c r="C20" i="8"/>
  <c r="D21" i="8"/>
  <c r="C22" i="8"/>
  <c r="D23" i="8"/>
  <c r="F24" i="8"/>
  <c r="G25" i="8"/>
  <c r="C26" i="8"/>
  <c r="D27" i="8"/>
  <c r="G30" i="8"/>
  <c r="D31" i="8"/>
  <c r="I32" i="8"/>
  <c r="D33" i="8"/>
  <c r="C34" i="8"/>
  <c r="D35" i="8"/>
  <c r="G37" i="8"/>
  <c r="C38" i="8"/>
  <c r="D39" i="8"/>
  <c r="C40" i="8"/>
  <c r="D41" i="8"/>
  <c r="F44" i="8"/>
  <c r="G47" i="8"/>
  <c r="C48" i="8"/>
  <c r="D49" i="8"/>
  <c r="C50" i="8"/>
  <c r="D51" i="8"/>
  <c r="F52" i="8"/>
  <c r="C7" i="7"/>
  <c r="C8" i="6"/>
  <c r="E9" i="6"/>
  <c r="G10" i="6"/>
  <c r="B11" i="6"/>
  <c r="E12" i="7"/>
  <c r="I13" i="6"/>
  <c r="C16" i="6"/>
  <c r="B17" i="6"/>
  <c r="I20" i="7"/>
  <c r="D21" i="6"/>
  <c r="D22" i="6"/>
  <c r="I23" i="6"/>
  <c r="E24" i="6"/>
  <c r="D25" i="6"/>
  <c r="G26" i="6"/>
  <c r="B27" i="7"/>
  <c r="F29" i="6"/>
  <c r="M30" i="6"/>
  <c r="B31" i="7"/>
  <c r="L32" i="6"/>
  <c r="B33" i="6"/>
  <c r="C34" i="6"/>
  <c r="C35" i="6"/>
  <c r="G36" i="6"/>
  <c r="L37" i="6"/>
  <c r="B38" i="6"/>
  <c r="C39" i="6"/>
  <c r="L40" i="6"/>
  <c r="H41" i="7"/>
  <c r="B42" i="7"/>
  <c r="C43" i="6"/>
  <c r="L44" i="6"/>
  <c r="D45" i="6"/>
  <c r="I46" i="6"/>
  <c r="D47" i="6"/>
  <c r="I48" i="6"/>
  <c r="L49" i="6"/>
  <c r="K50" i="6"/>
  <c r="K51" i="6"/>
  <c r="E52" i="6"/>
  <c r="I53" i="6"/>
  <c r="B55" i="6"/>
  <c r="O56" i="6"/>
  <c r="F57" i="6"/>
  <c r="K58" i="6"/>
  <c r="F59" i="6"/>
  <c r="E60" i="6"/>
  <c r="L61" i="6"/>
  <c r="C64" i="7"/>
  <c r="E65" i="6"/>
  <c r="E67" i="6"/>
  <c r="K68" i="6"/>
  <c r="F69" i="6"/>
  <c r="I70" i="6"/>
  <c r="C71" i="7"/>
  <c r="L72" i="7"/>
  <c r="J73" i="6"/>
  <c r="I74" i="6"/>
  <c r="E75" i="6"/>
  <c r="D77" i="6"/>
  <c r="I78" i="6"/>
  <c r="F79" i="7"/>
  <c r="C80" i="6"/>
  <c r="L81" i="7"/>
  <c r="I82" i="6"/>
  <c r="C84" i="6"/>
  <c r="F85" i="6"/>
  <c r="I86" i="6"/>
  <c r="L87" i="6"/>
  <c r="C88" i="6"/>
  <c r="B89" i="6"/>
  <c r="I90" i="6"/>
  <c r="C91" i="6"/>
  <c r="G92" i="6"/>
  <c r="O93" i="7"/>
  <c r="M94" i="6"/>
  <c r="B95" i="7"/>
  <c r="K96" i="6"/>
  <c r="E97" i="6"/>
  <c r="I98" i="6"/>
  <c r="E99" i="6"/>
  <c r="G100" i="6"/>
  <c r="L101" i="6"/>
  <c r="D103" i="6"/>
  <c r="C104" i="6"/>
  <c r="B105" i="6"/>
  <c r="I106" i="6"/>
  <c r="C107" i="6"/>
  <c r="G108" i="6"/>
  <c r="E109" i="6"/>
  <c r="C111" i="6"/>
  <c r="H112" i="7"/>
  <c r="F113" i="6"/>
  <c r="J114" i="6"/>
  <c r="B115" i="6"/>
  <c r="G116" i="6"/>
  <c r="D117" i="6"/>
  <c r="F118" i="6"/>
  <c r="B119" i="6"/>
  <c r="E120" i="6"/>
  <c r="I121" i="6"/>
  <c r="C122" i="6"/>
  <c r="B123" i="6"/>
  <c r="G124" i="6"/>
  <c r="F126" i="6"/>
  <c r="C127" i="6"/>
  <c r="O128" i="6"/>
  <c r="L129" i="6"/>
  <c r="B130" i="6"/>
  <c r="C131" i="6"/>
  <c r="C132" i="6"/>
  <c r="D133" i="6"/>
  <c r="K134" i="6"/>
  <c r="E136" i="6"/>
  <c r="B137" i="6"/>
  <c r="F138" i="7"/>
  <c r="B139" i="6"/>
  <c r="G140" i="6"/>
  <c r="B142" i="6"/>
  <c r="F143" i="7"/>
  <c r="H144" i="6"/>
  <c r="F145" i="6"/>
  <c r="E146" i="6"/>
  <c r="I148" i="6"/>
  <c r="E149" i="6"/>
  <c r="F151" i="6"/>
  <c r="G152" i="7"/>
  <c r="C153" i="6"/>
  <c r="E154" i="6"/>
  <c r="B155" i="6"/>
  <c r="B156" i="6"/>
  <c r="E158" i="6"/>
  <c r="D159" i="6"/>
  <c r="N161" i="6"/>
  <c r="E162" i="6"/>
  <c r="D163" i="6"/>
  <c r="H165" i="6"/>
  <c r="E166" i="6"/>
  <c r="D167" i="6"/>
  <c r="B168" i="6"/>
  <c r="B169" i="6"/>
  <c r="E170" i="6"/>
  <c r="F171" i="6"/>
  <c r="G173" i="6"/>
  <c r="E174" i="6"/>
  <c r="C175" i="6"/>
  <c r="C176" i="6"/>
  <c r="B177" i="6"/>
  <c r="E178" i="6"/>
  <c r="D179" i="6"/>
  <c r="D180" i="6"/>
  <c r="B181" i="6"/>
  <c r="E182" i="6"/>
  <c r="C183" i="6"/>
  <c r="I184" i="6"/>
  <c r="F185" i="7"/>
  <c r="E186" i="6"/>
  <c r="B189" i="7"/>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C7" i="3"/>
  <c r="O8" i="3"/>
  <c r="C9" i="3"/>
  <c r="M10" i="3"/>
  <c r="Q11" i="3"/>
  <c r="G12" i="3"/>
  <c r="B13" i="3"/>
  <c r="I14" i="3"/>
  <c r="D15" i="3"/>
  <c r="B16" i="3"/>
  <c r="Q17" i="3"/>
  <c r="B18" i="3"/>
  <c r="D19" i="3"/>
  <c r="C20" i="3"/>
  <c r="F21" i="3"/>
  <c r="F22" i="3"/>
  <c r="C23" i="3"/>
  <c r="B24" i="3"/>
  <c r="N25" i="3"/>
  <c r="B26" i="3"/>
  <c r="G27" i="3"/>
  <c r="B28" i="3"/>
  <c r="F29" i="3"/>
  <c r="I30" i="3"/>
  <c r="C31" i="3"/>
  <c r="B32" i="3"/>
  <c r="F33" i="3"/>
  <c r="B34" i="3"/>
  <c r="D35" i="3"/>
  <c r="B36" i="3"/>
  <c r="C37" i="3"/>
  <c r="L38" i="3"/>
  <c r="P39" i="3"/>
  <c r="B40" i="3"/>
  <c r="D42" i="3"/>
  <c r="C43" i="3"/>
  <c r="D44" i="3"/>
  <c r="G45" i="3"/>
  <c r="I46" i="3"/>
  <c r="D47" i="3"/>
  <c r="C48" i="3"/>
  <c r="B49" i="3"/>
  <c r="I51" i="3"/>
  <c r="Q52" i="3"/>
  <c r="F53" i="3"/>
  <c r="B54" i="3"/>
  <c r="C56" i="3"/>
  <c r="I57" i="3"/>
  <c r="I58" i="3"/>
  <c r="C59" i="3"/>
  <c r="G60" i="3"/>
  <c r="G61" i="3"/>
  <c r="I62" i="3"/>
  <c r="I63" i="3"/>
  <c r="D64" i="3"/>
  <c r="B65" i="3"/>
  <c r="F66" i="3"/>
  <c r="G67" i="3"/>
  <c r="D68" i="3"/>
  <c r="F69" i="3"/>
  <c r="G71" i="3"/>
  <c r="D72" i="3"/>
  <c r="I73" i="3"/>
  <c r="Q75" i="3"/>
  <c r="O76" i="3"/>
  <c r="F77" i="3"/>
  <c r="C79" i="3"/>
  <c r="L80" i="3"/>
  <c r="Q81" i="3"/>
  <c r="B82" i="3"/>
  <c r="D83" i="3"/>
  <c r="F85" i="3"/>
  <c r="L87" i="3"/>
  <c r="P88" i="3"/>
  <c r="C89" i="3"/>
  <c r="I90" i="3"/>
  <c r="C91" i="3"/>
  <c r="C92" i="3"/>
  <c r="B93" i="3"/>
  <c r="D94" i="3"/>
  <c r="B96" i="3"/>
  <c r="F97" i="3"/>
  <c r="B98" i="3"/>
  <c r="I99" i="3"/>
  <c r="F100" i="3"/>
  <c r="N101" i="3"/>
  <c r="F102" i="3"/>
  <c r="G103" i="3"/>
  <c r="B104" i="3"/>
  <c r="Q105" i="3"/>
  <c r="N106" i="3"/>
  <c r="D108" i="3"/>
  <c r="G109" i="3"/>
  <c r="I110" i="3"/>
  <c r="C111" i="3"/>
  <c r="D112" i="3"/>
  <c r="F113" i="3"/>
  <c r="J114" i="3"/>
  <c r="I115" i="3"/>
  <c r="B116" i="3"/>
  <c r="F117" i="3"/>
  <c r="F118" i="3"/>
  <c r="L119" i="3"/>
  <c r="I120" i="3"/>
  <c r="Q121" i="3"/>
  <c r="B122" i="3"/>
  <c r="D123" i="3"/>
  <c r="M124" i="3"/>
  <c r="J125" i="3"/>
  <c r="F127" i="3"/>
  <c r="Q128" i="3"/>
  <c r="F129" i="3"/>
  <c r="D130" i="3"/>
  <c r="D131" i="3"/>
  <c r="B132" i="3"/>
  <c r="I133" i="3"/>
  <c r="O134" i="3"/>
  <c r="C135" i="3"/>
  <c r="B136" i="3"/>
  <c r="M137" i="3"/>
  <c r="C138" i="3"/>
  <c r="C139" i="3"/>
  <c r="M140" i="3"/>
  <c r="P142" i="3"/>
  <c r="F143" i="3"/>
  <c r="Q144" i="3"/>
  <c r="M146" i="3"/>
  <c r="C147" i="3"/>
  <c r="Q148" i="3"/>
  <c r="O151" i="3"/>
  <c r="I152" i="3"/>
  <c r="M153" i="3"/>
  <c r="D154" i="3"/>
  <c r="J155" i="3"/>
  <c r="B156" i="3"/>
  <c r="I157" i="3"/>
  <c r="G159" i="3"/>
  <c r="I160" i="3"/>
  <c r="I161" i="3"/>
  <c r="D162" i="3"/>
  <c r="D163" i="3"/>
  <c r="I165" i="3"/>
  <c r="G166" i="3"/>
  <c r="N167" i="3"/>
  <c r="I168" i="3"/>
  <c r="I169" i="3"/>
  <c r="G170" i="3"/>
  <c r="B171" i="3"/>
  <c r="Q172" i="3"/>
  <c r="D174" i="3"/>
  <c r="D175" i="3"/>
  <c r="M176" i="3"/>
  <c r="Q177" i="3"/>
  <c r="B178" i="3"/>
  <c r="P179" i="3"/>
  <c r="Q180" i="3"/>
  <c r="I181" i="3"/>
  <c r="C182" i="3"/>
  <c r="B183" i="3"/>
  <c r="I184" i="3"/>
  <c r="I185" i="3"/>
  <c r="G186" i="3"/>
  <c r="C187" i="3"/>
  <c r="G188" i="3"/>
  <c r="C10" i="2"/>
  <c r="B6" i="3" s="1"/>
  <c r="D6" i="5" s="1"/>
  <c r="D10" i="2"/>
  <c r="R10" i="2" s="1"/>
  <c r="Q11" i="2"/>
  <c r="D12" i="2"/>
  <c r="L13" i="2"/>
  <c r="L14" i="2"/>
  <c r="I15" i="2"/>
  <c r="E16" i="2"/>
  <c r="Q17" i="2"/>
  <c r="I18" i="2"/>
  <c r="Q19" i="2"/>
  <c r="C20" i="2"/>
  <c r="L21" i="2"/>
  <c r="Q22" i="2"/>
  <c r="C23" i="2"/>
  <c r="L26" i="2"/>
  <c r="C27" i="2"/>
  <c r="D28" i="2"/>
  <c r="I29" i="2"/>
  <c r="Q31" i="2"/>
  <c r="E32" i="2"/>
  <c r="D33" i="2"/>
  <c r="I34" i="2"/>
  <c r="S35" i="2"/>
  <c r="B36" i="2"/>
  <c r="L37" i="2"/>
  <c r="D38" i="2"/>
  <c r="I4" i="21" s="1"/>
  <c r="C39" i="2"/>
  <c r="Q40" i="2"/>
  <c r="L41" i="2"/>
  <c r="L42" i="2"/>
  <c r="I43" i="2"/>
  <c r="H44" i="2"/>
  <c r="I45" i="2"/>
  <c r="C47" i="2"/>
  <c r="B48" i="2"/>
  <c r="I50" i="2"/>
  <c r="S51" i="2"/>
  <c r="B52" i="2"/>
  <c r="D53" i="2"/>
  <c r="D54" i="2"/>
  <c r="C55" i="2"/>
  <c r="B56" i="2"/>
  <c r="Q57" i="2"/>
  <c r="D58" i="2"/>
  <c r="C59" i="2"/>
  <c r="P60" i="2"/>
  <c r="I61" i="2"/>
  <c r="D62" i="2"/>
  <c r="Q63" i="2"/>
  <c r="B64" i="2"/>
  <c r="D65" i="2"/>
  <c r="Q66" i="2"/>
  <c r="C67" i="2"/>
  <c r="B68" i="2"/>
  <c r="L69" i="2"/>
  <c r="D70" i="2"/>
  <c r="C71" i="2"/>
  <c r="D72" i="2"/>
  <c r="C75" i="2"/>
  <c r="D76" i="2"/>
  <c r="D77" i="2"/>
  <c r="C80" i="2"/>
  <c r="I81" i="2"/>
  <c r="I82" i="2"/>
  <c r="I84" i="2"/>
  <c r="D85" i="2"/>
  <c r="D86" i="2"/>
  <c r="I87" i="2"/>
  <c r="C88" i="2"/>
  <c r="I89" i="2"/>
  <c r="C91" i="2"/>
  <c r="H92" i="2"/>
  <c r="D94" i="2"/>
  <c r="I95" i="2"/>
  <c r="D96" i="2"/>
  <c r="I97" i="2"/>
  <c r="I98" i="2"/>
  <c r="I99" i="2"/>
  <c r="C100" i="2"/>
  <c r="D101" i="2"/>
  <c r="D102" i="2"/>
  <c r="I103" i="2"/>
  <c r="D104" i="2"/>
  <c r="I105" i="2"/>
  <c r="I106" i="2"/>
  <c r="E108" i="2"/>
  <c r="D109" i="2"/>
  <c r="D110" i="2"/>
  <c r="I111" i="2"/>
  <c r="E112" i="2"/>
  <c r="D113" i="2"/>
  <c r="L114" i="2"/>
  <c r="C115" i="2"/>
  <c r="R116" i="2"/>
  <c r="D117" i="2"/>
  <c r="D118" i="2"/>
  <c r="D120" i="2"/>
  <c r="I121" i="2"/>
  <c r="L122" i="2"/>
  <c r="C123" i="2"/>
  <c r="D124" i="2"/>
  <c r="D125" i="2"/>
  <c r="D126" i="2"/>
  <c r="I127" i="2"/>
  <c r="D128" i="2"/>
  <c r="I129" i="2"/>
  <c r="I130" i="2"/>
  <c r="C131" i="2"/>
  <c r="C132" i="2"/>
  <c r="D133" i="2"/>
  <c r="I135" i="2"/>
  <c r="D136" i="2"/>
  <c r="I137" i="2"/>
  <c r="Q138" i="2"/>
  <c r="C139" i="2"/>
  <c r="C140" i="2"/>
  <c r="D141" i="2"/>
  <c r="I143" i="2"/>
  <c r="I144" i="2"/>
  <c r="D145" i="2"/>
  <c r="C146" i="2"/>
  <c r="D147" i="2"/>
  <c r="D148" i="2"/>
  <c r="I149" i="2"/>
  <c r="I150" i="2"/>
  <c r="I151" i="2"/>
  <c r="Q152" i="2"/>
  <c r="C154" i="2"/>
  <c r="H3" i="21" s="1"/>
  <c r="E155" i="2"/>
  <c r="I157" i="2"/>
  <c r="I159" i="2"/>
  <c r="Q160" i="2"/>
  <c r="D161" i="2"/>
  <c r="C162" i="2"/>
  <c r="I165" i="2"/>
  <c r="Q166" i="2"/>
  <c r="I167" i="2"/>
  <c r="Q168" i="2"/>
  <c r="D169" i="2"/>
  <c r="Q170" i="2"/>
  <c r="C171" i="2"/>
  <c r="C172" i="2"/>
  <c r="B173" i="2"/>
  <c r="E174" i="2"/>
  <c r="C175" i="2"/>
  <c r="I176" i="2"/>
  <c r="D177" i="2"/>
  <c r="C178" i="2"/>
  <c r="H179" i="2"/>
  <c r="D181" i="2"/>
  <c r="E182" i="2"/>
  <c r="E184" i="2"/>
  <c r="E185" i="2"/>
  <c r="C186" i="2"/>
  <c r="C187" i="2"/>
  <c r="C188" i="2"/>
  <c r="D189" i="2"/>
  <c r="I190" i="2"/>
  <c r="C191" i="2"/>
  <c r="E192" i="2"/>
  <c r="Q193" i="2"/>
  <c r="G256" i="2"/>
  <c r="C257" i="2"/>
  <c r="D257" i="2"/>
  <c r="F257" i="2"/>
  <c r="G257" i="2"/>
  <c r="C258" i="2"/>
  <c r="D258" i="2"/>
  <c r="F258" i="2"/>
  <c r="G258" i="2"/>
  <c r="C259" i="2"/>
  <c r="D259" i="2"/>
  <c r="F259" i="2"/>
  <c r="G259" i="2"/>
  <c r="C260" i="2"/>
  <c r="D260" i="2"/>
  <c r="F260" i="2"/>
  <c r="G260" i="2"/>
  <c r="L29" i="7" l="1"/>
  <c r="N119" i="7"/>
  <c r="I148" i="7"/>
  <c r="O136" i="7"/>
  <c r="D114" i="7"/>
  <c r="I183" i="7"/>
  <c r="L173" i="7"/>
  <c r="F90" i="7"/>
  <c r="D60" i="7"/>
  <c r="F52" i="7"/>
  <c r="D171" i="7"/>
  <c r="J78" i="7"/>
  <c r="B30" i="7"/>
  <c r="B163" i="7"/>
  <c r="B131" i="7"/>
  <c r="N107" i="7"/>
  <c r="H47" i="7"/>
  <c r="J155" i="7"/>
  <c r="C59" i="7"/>
  <c r="B35" i="7"/>
  <c r="I11" i="7"/>
  <c r="H181" i="7"/>
  <c r="F94" i="7"/>
  <c r="B178" i="7"/>
  <c r="J46" i="7"/>
  <c r="E177" i="7"/>
  <c r="F82" i="7"/>
  <c r="B130" i="7"/>
  <c r="K80" i="7"/>
  <c r="G34" i="7"/>
  <c r="C4" i="21" s="1"/>
  <c r="C256" i="2"/>
  <c r="F256" i="2" s="1"/>
  <c r="F169" i="7"/>
  <c r="B127" i="7"/>
  <c r="O67" i="7"/>
  <c r="H16" i="7"/>
  <c r="F19" i="14"/>
  <c r="G97" i="7"/>
  <c r="L155" i="6"/>
  <c r="J155" i="6"/>
  <c r="E155" i="6"/>
  <c r="D146" i="7"/>
  <c r="G96" i="7"/>
  <c r="F50" i="7"/>
  <c r="B170" i="7"/>
  <c r="E121" i="7"/>
  <c r="F74" i="7"/>
  <c r="E49" i="7"/>
  <c r="B26" i="7"/>
  <c r="I144" i="7"/>
  <c r="K120" i="7"/>
  <c r="G73" i="7"/>
  <c r="K48" i="7"/>
  <c r="K25" i="7"/>
  <c r="E167" i="7"/>
  <c r="E24" i="7"/>
  <c r="I166" i="7"/>
  <c r="G89" i="7"/>
  <c r="C23" i="7"/>
  <c r="M182" i="7"/>
  <c r="N165" i="7"/>
  <c r="C113" i="7"/>
  <c r="C85" i="7"/>
  <c r="D68" i="7"/>
  <c r="E134" i="7"/>
  <c r="O84" i="7"/>
  <c r="B38" i="7"/>
  <c r="C180" i="7"/>
  <c r="C133" i="7"/>
  <c r="B111" i="7"/>
  <c r="O37" i="7"/>
  <c r="K179" i="7"/>
  <c r="J132" i="7"/>
  <c r="B108" i="7"/>
  <c r="C61" i="7"/>
  <c r="D36" i="7"/>
  <c r="K13" i="7"/>
  <c r="G129" i="7"/>
  <c r="C33" i="7"/>
  <c r="E162" i="7"/>
  <c r="J123" i="7"/>
  <c r="I45" i="7"/>
  <c r="I175" i="7"/>
  <c r="L161" i="7"/>
  <c r="C92" i="7"/>
  <c r="C75" i="7"/>
  <c r="B106" i="7"/>
  <c r="C91" i="7"/>
  <c r="K43" i="7"/>
  <c r="C105" i="7"/>
  <c r="H57" i="7"/>
  <c r="C10" i="7"/>
  <c r="E156" i="7"/>
  <c r="O39" i="7"/>
  <c r="I8" i="7"/>
  <c r="L117" i="7"/>
  <c r="C103" i="7"/>
  <c r="F55" i="7"/>
  <c r="L154" i="7"/>
  <c r="D116" i="7"/>
  <c r="B70" i="7"/>
  <c r="F22" i="7"/>
  <c r="E165" i="5"/>
  <c r="C99" i="7"/>
  <c r="L69" i="7"/>
  <c r="E21" i="7"/>
  <c r="L23" i="6"/>
  <c r="O23" i="12" s="1"/>
  <c r="E259" i="2"/>
  <c r="O32" i="3"/>
  <c r="N69" i="3"/>
  <c r="O93" i="5"/>
  <c r="L145" i="10"/>
  <c r="I33" i="10"/>
  <c r="I18" i="8"/>
  <c r="C84" i="14"/>
  <c r="O73" i="5"/>
  <c r="F167" i="12"/>
  <c r="F161" i="14"/>
  <c r="M167" i="6"/>
  <c r="K132" i="10"/>
  <c r="M109" i="6"/>
  <c r="H260"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L77" i="7"/>
  <c r="L53" i="7"/>
  <c r="H167" i="6"/>
  <c r="L109" i="6"/>
  <c r="M8" i="6"/>
  <c r="K120" i="10"/>
  <c r="E110" i="10"/>
  <c r="K113" i="11"/>
  <c r="E78" i="12"/>
  <c r="F13" i="13"/>
  <c r="I161" i="2"/>
  <c r="I36" i="5"/>
  <c r="I151" i="7"/>
  <c r="B88" i="7"/>
  <c r="G65" i="7"/>
  <c r="L51" i="7"/>
  <c r="O56" i="10"/>
  <c r="M146" i="11"/>
  <c r="C170" i="12"/>
  <c r="C161" i="14"/>
  <c r="E70" i="14"/>
  <c r="P140" i="2"/>
  <c r="C56" i="2"/>
  <c r="O176" i="7"/>
  <c r="G149" i="7"/>
  <c r="L98" i="7"/>
  <c r="L86" i="7"/>
  <c r="E16" i="6"/>
  <c r="K93" i="5"/>
  <c r="E188" i="7"/>
  <c r="M165" i="6"/>
  <c r="I96" i="10"/>
  <c r="K74" i="11"/>
  <c r="D125" i="14"/>
  <c r="E193" i="2"/>
  <c r="R147" i="2"/>
  <c r="L32" i="2"/>
  <c r="I171" i="3"/>
  <c r="M37" i="3"/>
  <c r="N163" i="5"/>
  <c r="E186" i="7"/>
  <c r="H118" i="7"/>
  <c r="D109" i="7"/>
  <c r="N35" i="6"/>
  <c r="H258" i="2"/>
  <c r="B56" i="3"/>
  <c r="O165" i="5"/>
  <c r="H158" i="7"/>
  <c r="F71" i="7"/>
  <c r="B9" i="7"/>
  <c r="F131" i="6"/>
  <c r="L120" i="6"/>
  <c r="E103" i="6"/>
  <c r="O80" i="6"/>
  <c r="F104" i="10"/>
  <c r="K84" i="10"/>
  <c r="I62" i="10"/>
  <c r="N72" i="11"/>
  <c r="F87" i="14"/>
  <c r="C44" i="14"/>
  <c r="I40" i="2"/>
  <c r="M178" i="3"/>
  <c r="O12" i="3"/>
  <c r="N165" i="5"/>
  <c r="K128" i="7"/>
  <c r="F111" i="6"/>
  <c r="I84" i="10"/>
  <c r="L72" i="11"/>
  <c r="G173" i="12"/>
  <c r="F47" i="12"/>
  <c r="Q144" i="2"/>
  <c r="L124" i="2"/>
  <c r="L92" i="2"/>
  <c r="Q60" i="2"/>
  <c r="F187" i="3"/>
  <c r="L135" i="3"/>
  <c r="L12" i="3"/>
  <c r="K165" i="5"/>
  <c r="L38" i="10"/>
  <c r="F173" i="12"/>
  <c r="F100" i="7"/>
  <c r="D144" i="2"/>
  <c r="Q16" i="2"/>
  <c r="I64" i="3"/>
  <c r="B12" i="3"/>
  <c r="K101" i="5"/>
  <c r="I139" i="7"/>
  <c r="H126" i="7"/>
  <c r="F153" i="10"/>
  <c r="E173" i="12"/>
  <c r="B52" i="14"/>
  <c r="G19" i="8"/>
  <c r="O163" i="5"/>
  <c r="O109" i="5"/>
  <c r="O83" i="5"/>
  <c r="O65" i="5"/>
  <c r="C18" i="5"/>
  <c r="E18" i="13"/>
  <c r="E13" i="14"/>
  <c r="L123" i="11"/>
  <c r="B173" i="12"/>
  <c r="C163" i="5"/>
  <c r="F80" i="11"/>
  <c r="N60" i="11"/>
  <c r="E177" i="13"/>
  <c r="E154"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G40"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O175" i="12" s="1"/>
  <c r="E168" i="6"/>
  <c r="L107" i="6"/>
  <c r="K104" i="6"/>
  <c r="R104" i="12" s="1"/>
  <c r="I94" i="6"/>
  <c r="Q94" i="12" s="1"/>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E72" i="13"/>
  <c r="E69" i="13"/>
  <c r="G29" i="13"/>
  <c r="F19" i="13"/>
  <c r="G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G170" i="13"/>
  <c r="F124" i="13"/>
  <c r="E98" i="13"/>
  <c r="F80" i="13"/>
  <c r="E13" i="13"/>
  <c r="F15" i="14"/>
  <c r="O151" i="5"/>
  <c r="O133" i="5"/>
  <c r="C123" i="5"/>
  <c r="I114" i="5"/>
  <c r="K107" i="5"/>
  <c r="O97" i="5"/>
  <c r="O89" i="5"/>
  <c r="O81" i="5"/>
  <c r="O75" i="5"/>
  <c r="N69" i="5"/>
  <c r="K63" i="5"/>
  <c r="N44" i="5"/>
  <c r="C34" i="5"/>
  <c r="N23" i="5"/>
  <c r="K166" i="11"/>
  <c r="I94" i="11"/>
  <c r="J92" i="11"/>
  <c r="L88" i="11"/>
  <c r="G53" i="11"/>
  <c r="G74" i="12"/>
  <c r="F96" i="13"/>
  <c r="F90" i="13"/>
  <c r="E141" i="14"/>
  <c r="F99" i="14"/>
  <c r="F93" i="14"/>
  <c r="E78" i="14"/>
  <c r="B71" i="14"/>
  <c r="F69" i="14"/>
  <c r="D62" i="14"/>
  <c r="F60" i="14"/>
  <c r="E41" i="14"/>
  <c r="G41" i="14" s="1"/>
  <c r="B31" i="14"/>
  <c r="F29" i="14"/>
  <c r="D15" i="14"/>
  <c r="C13" i="14"/>
  <c r="I168" i="2"/>
  <c r="C166" i="2"/>
  <c r="D157" i="2"/>
  <c r="C147" i="2"/>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N20" i="3"/>
  <c r="Q12" i="3"/>
  <c r="D12" i="3"/>
  <c r="L171" i="7"/>
  <c r="R191" i="2"/>
  <c r="Q173" i="2"/>
  <c r="L171" i="3"/>
  <c r="D171" i="3"/>
  <c r="G127" i="3"/>
  <c r="Q72" i="3"/>
  <c r="L189" i="7"/>
  <c r="K189" i="12" s="1"/>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P68" i="3"/>
  <c r="L67" i="3"/>
  <c r="Q64" i="3"/>
  <c r="G59" i="3"/>
  <c r="E59" i="5" s="1"/>
  <c r="P47" i="3"/>
  <c r="J28" i="3"/>
  <c r="H189" i="7"/>
  <c r="H189" i="12" s="1"/>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P109" i="12" s="1"/>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E40" i="13"/>
  <c r="E183" i="14"/>
  <c r="G183" i="14" s="1"/>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F129" i="13"/>
  <c r="F112" i="13"/>
  <c r="E108" i="13"/>
  <c r="F81" i="13"/>
  <c r="E70" i="13"/>
  <c r="E65" i="13"/>
  <c r="F51" i="13"/>
  <c r="F37" i="13"/>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F156" i="13"/>
  <c r="F134" i="13"/>
  <c r="F94" i="13"/>
  <c r="F84" i="13"/>
  <c r="G82" i="13"/>
  <c r="E64" i="13"/>
  <c r="G62" i="13"/>
  <c r="G54" i="13"/>
  <c r="F40" i="13"/>
  <c r="E11"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L47" i="3"/>
  <c r="P40" i="3"/>
  <c r="Q39" i="3"/>
  <c r="L165" i="6"/>
  <c r="F165" i="6"/>
  <c r="C161" i="6"/>
  <c r="I161" i="6"/>
  <c r="F161" i="6"/>
  <c r="E112" i="6"/>
  <c r="L112" i="6"/>
  <c r="I112" i="6"/>
  <c r="C95" i="6"/>
  <c r="L95" i="6"/>
  <c r="E73" i="6"/>
  <c r="H73" i="6"/>
  <c r="L73" i="12" s="1"/>
  <c r="B73" i="6"/>
  <c r="L73" i="6"/>
  <c r="I12" i="6"/>
  <c r="Q12" i="12" s="1"/>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L69" i="12" s="1"/>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E185" i="13"/>
  <c r="F182" i="13"/>
  <c r="F178" i="13"/>
  <c r="E138" i="13"/>
  <c r="G126" i="13"/>
  <c r="F118" i="13"/>
  <c r="E102" i="13"/>
  <c r="G102" i="13"/>
  <c r="L183" i="11"/>
  <c r="L163" i="11"/>
  <c r="M154" i="11"/>
  <c r="H144" i="11"/>
  <c r="O134" i="11"/>
  <c r="K129" i="11"/>
  <c r="L127" i="11"/>
  <c r="H64" i="11"/>
  <c r="F34" i="11"/>
  <c r="N32" i="11"/>
  <c r="I32" i="11"/>
  <c r="D32" i="11"/>
  <c r="E178" i="13"/>
  <c r="G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E171" i="13"/>
  <c r="E146" i="13"/>
  <c r="G146" i="13"/>
  <c r="F130" i="13"/>
  <c r="G125" i="13"/>
  <c r="E106" i="13"/>
  <c r="N26" i="5"/>
  <c r="E127" i="12"/>
  <c r="E109" i="12"/>
  <c r="D99" i="12"/>
  <c r="E63" i="12"/>
  <c r="F40" i="12"/>
  <c r="D19" i="12"/>
  <c r="E130" i="13"/>
  <c r="G118" i="13"/>
  <c r="F104" i="13"/>
  <c r="F100" i="13"/>
  <c r="E96" i="13"/>
  <c r="G56" i="13"/>
  <c r="E38" i="13"/>
  <c r="G34" i="13"/>
  <c r="G25" i="13"/>
  <c r="C156" i="14"/>
  <c r="C149" i="14"/>
  <c r="E148" i="14"/>
  <c r="E127" i="14"/>
  <c r="D115" i="14"/>
  <c r="C113" i="14"/>
  <c r="E55" i="14"/>
  <c r="F52" i="14"/>
  <c r="E39" i="14"/>
  <c r="E37" i="14"/>
  <c r="D33" i="14"/>
  <c r="F31" i="14"/>
  <c r="D29" i="14"/>
  <c r="F11" i="14"/>
  <c r="E9" i="14"/>
  <c r="G9" i="14" s="1"/>
  <c r="F116" i="13"/>
  <c r="E112" i="13"/>
  <c r="E100" i="13"/>
  <c r="G94" i="13"/>
  <c r="F92" i="13"/>
  <c r="G86" i="13"/>
  <c r="E83" i="13"/>
  <c r="G80" i="13"/>
  <c r="F73" i="13"/>
  <c r="G69" i="13"/>
  <c r="E56" i="13"/>
  <c r="G50"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G189" i="2" s="1"/>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I172" i="7"/>
  <c r="I164" i="6"/>
  <c r="Q164" i="12" s="1"/>
  <c r="K164" i="6"/>
  <c r="E164" i="7"/>
  <c r="B147" i="6"/>
  <c r="F147" i="6"/>
  <c r="I147" i="6"/>
  <c r="L147" i="6"/>
  <c r="B135" i="6"/>
  <c r="F135" i="6"/>
  <c r="J135" i="6"/>
  <c r="N135" i="6"/>
  <c r="C135" i="6"/>
  <c r="G135" i="6"/>
  <c r="K135" i="6"/>
  <c r="S135" i="12" s="1"/>
  <c r="O135" i="6"/>
  <c r="D135" i="6"/>
  <c r="H135" i="6"/>
  <c r="P135" i="12" s="1"/>
  <c r="L135" i="6"/>
  <c r="B125" i="6"/>
  <c r="E125" i="6"/>
  <c r="H125" i="6"/>
  <c r="J125" i="6"/>
  <c r="E54" i="6"/>
  <c r="J54" i="6"/>
  <c r="I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C187" i="7"/>
  <c r="E180" i="7"/>
  <c r="M171" i="7"/>
  <c r="I161" i="7"/>
  <c r="M152" i="7"/>
  <c r="F152" i="7"/>
  <c r="J148" i="7"/>
  <c r="F136" i="7"/>
  <c r="B135" i="7"/>
  <c r="F114" i="7"/>
  <c r="E112" i="7"/>
  <c r="C112" i="7"/>
  <c r="I112" i="7"/>
  <c r="D112" i="7"/>
  <c r="L112" i="7"/>
  <c r="J83" i="7"/>
  <c r="B83" i="7"/>
  <c r="C81" i="7"/>
  <c r="H81" i="7"/>
  <c r="M81" i="7"/>
  <c r="D81" i="7"/>
  <c r="I81" i="7"/>
  <c r="O81" i="7"/>
  <c r="E81" i="7"/>
  <c r="K81" i="7"/>
  <c r="B63" i="7"/>
  <c r="F63" i="7"/>
  <c r="K63" i="7"/>
  <c r="E46" i="7"/>
  <c r="B46" i="7"/>
  <c r="M46" i="7"/>
  <c r="F46" i="7"/>
  <c r="H46" i="7"/>
  <c r="E150" i="6"/>
  <c r="I150" i="7"/>
  <c r="M135" i="6"/>
  <c r="I66" i="6"/>
  <c r="M66" i="12" s="1"/>
  <c r="M66" i="7"/>
  <c r="C62" i="6"/>
  <c r="K62" i="7"/>
  <c r="B13" i="6"/>
  <c r="F13" i="6"/>
  <c r="J13" i="6"/>
  <c r="N13" i="6"/>
  <c r="C13" i="6"/>
  <c r="G13" i="6"/>
  <c r="K13" i="6"/>
  <c r="S13" i="12" s="1"/>
  <c r="O13" i="6"/>
  <c r="D13" i="6"/>
  <c r="L13" i="6"/>
  <c r="O13" i="12" s="1"/>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L147" i="7"/>
  <c r="E136" i="7"/>
  <c r="C77" i="7"/>
  <c r="D77" i="7"/>
  <c r="O77" i="7"/>
  <c r="G77" i="7"/>
  <c r="I77" i="7"/>
  <c r="E185" i="6"/>
  <c r="I185" i="6"/>
  <c r="M185" i="6"/>
  <c r="B141" i="6"/>
  <c r="L141" i="6"/>
  <c r="I135" i="6"/>
  <c r="C76" i="6"/>
  <c r="L76" i="5" s="1"/>
  <c r="O76" i="6"/>
  <c r="I76" i="7"/>
  <c r="F15" i="6"/>
  <c r="L15" i="6"/>
  <c r="C15" i="7"/>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I160" i="7"/>
  <c r="B152" i="6"/>
  <c r="I152" i="6"/>
  <c r="E135" i="6"/>
  <c r="F110" i="6"/>
  <c r="I110" i="6"/>
  <c r="K110" i="6"/>
  <c r="C110" i="7"/>
  <c r="I102" i="6"/>
  <c r="C87" i="6"/>
  <c r="H87" i="6"/>
  <c r="M87" i="6"/>
  <c r="D87" i="6"/>
  <c r="I87" i="6"/>
  <c r="Q87" i="12" s="1"/>
  <c r="O87" i="6"/>
  <c r="E87" i="6"/>
  <c r="G87" i="6"/>
  <c r="F87" i="7"/>
  <c r="K87" i="6"/>
  <c r="R87" i="12" s="1"/>
  <c r="E83" i="6"/>
  <c r="G83" i="6"/>
  <c r="I83" i="6"/>
  <c r="Q83" i="12" s="1"/>
  <c r="C83" i="6"/>
  <c r="L83" i="5" s="1"/>
  <c r="K83" i="6"/>
  <c r="R83" i="12" s="1"/>
  <c r="O83" i="6"/>
  <c r="B51" i="6"/>
  <c r="G51" i="6"/>
  <c r="M51" i="6"/>
  <c r="C51" i="6"/>
  <c r="I51" i="6"/>
  <c r="N51" i="6"/>
  <c r="E51" i="6"/>
  <c r="O51" i="6"/>
  <c r="F51" i="6"/>
  <c r="J51" i="6"/>
  <c r="E28" i="6"/>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O59" i="12" s="1"/>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S111" i="12" s="1"/>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S112" i="12" s="1"/>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G150" i="13"/>
  <c r="C54" i="11"/>
  <c r="B54" i="11"/>
  <c r="H54" i="11"/>
  <c r="M54" i="11"/>
  <c r="D54" i="11"/>
  <c r="I54" i="11"/>
  <c r="N54" i="11"/>
  <c r="C52" i="11"/>
  <c r="D52" i="11"/>
  <c r="N52" i="11"/>
  <c r="F52" i="11"/>
  <c r="C50" i="11"/>
  <c r="L50" i="11"/>
  <c r="C47" i="11"/>
  <c r="K47" i="11"/>
  <c r="E35" i="11"/>
  <c r="H35" i="11"/>
  <c r="K35" i="11"/>
  <c r="C181" i="12"/>
  <c r="F181" i="12"/>
  <c r="C122" i="12"/>
  <c r="F122" i="12"/>
  <c r="G122" i="12"/>
  <c r="B86" i="12"/>
  <c r="G86" i="12"/>
  <c r="C73" i="12"/>
  <c r="B73" i="12"/>
  <c r="E73" i="12"/>
  <c r="C70" i="12"/>
  <c r="F70" i="12"/>
  <c r="F60" i="12"/>
  <c r="C60" i="12"/>
  <c r="B41" i="12"/>
  <c r="C41" i="12"/>
  <c r="E41" i="12"/>
  <c r="G41" i="12"/>
  <c r="C37" i="12"/>
  <c r="B37" i="12"/>
  <c r="E37" i="12"/>
  <c r="F37" i="12"/>
  <c r="C14" i="12"/>
  <c r="G14" i="12"/>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C138" i="12"/>
  <c r="E138" i="12"/>
  <c r="F138" i="12"/>
  <c r="C130" i="12"/>
  <c r="B130" i="12"/>
  <c r="F130" i="12"/>
  <c r="F126" i="12"/>
  <c r="E123" i="12"/>
  <c r="D103" i="12"/>
  <c r="F103" i="12"/>
  <c r="F89" i="12"/>
  <c r="D89" i="12"/>
  <c r="E62" i="12"/>
  <c r="G62" i="12"/>
  <c r="B44" i="12"/>
  <c r="C44" i="12"/>
  <c r="F44" i="12"/>
  <c r="D23" i="12"/>
  <c r="B23" i="12"/>
  <c r="F23" i="12"/>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F176" i="13"/>
  <c r="F157" i="13"/>
  <c r="G157" i="13"/>
  <c r="C49" i="12"/>
  <c r="F43" i="12"/>
  <c r="E122" i="13"/>
  <c r="F108" i="13"/>
  <c r="E104" i="13"/>
  <c r="E90" i="13"/>
  <c r="F86" i="13"/>
  <c r="F83" i="13"/>
  <c r="I60" i="11"/>
  <c r="I53" i="11"/>
  <c r="E151" i="12"/>
  <c r="F109" i="12"/>
  <c r="E99" i="12"/>
  <c r="E87" i="12"/>
  <c r="F63" i="12"/>
  <c r="G49" i="12"/>
  <c r="E40" i="12"/>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P111" i="3"/>
  <c r="M108" i="3"/>
  <c r="F108" i="3"/>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H61" i="3" s="1"/>
  <c r="O61" i="3"/>
  <c r="C60" i="3"/>
  <c r="B60" i="3"/>
  <c r="M60" i="3"/>
  <c r="F60" i="3"/>
  <c r="H60" i="3" s="1"/>
  <c r="P60" i="3"/>
  <c r="F58" i="3"/>
  <c r="N58" i="3"/>
  <c r="J50" i="3"/>
  <c r="L50" i="3"/>
  <c r="B38" i="3"/>
  <c r="F38" i="3"/>
  <c r="J37" i="3"/>
  <c r="C27" i="3"/>
  <c r="L27" i="3"/>
  <c r="J26" i="3"/>
  <c r="P23" i="3"/>
  <c r="M21" i="3"/>
  <c r="G13" i="3"/>
  <c r="E13" i="5" s="1"/>
  <c r="F13" i="5" s="1"/>
  <c r="G13" i="5" s="1"/>
  <c r="Q13" i="3"/>
  <c r="J189" i="7"/>
  <c r="I162" i="7"/>
  <c r="M162" i="7"/>
  <c r="N148" i="7"/>
  <c r="F148" i="7"/>
  <c r="O47" i="3"/>
  <c r="G47" i="3"/>
  <c r="E47" i="5" s="1"/>
  <c r="F47" i="5" s="1"/>
  <c r="G47" i="5" s="1"/>
  <c r="J45" i="3"/>
  <c r="P44" i="3"/>
  <c r="M42" i="3"/>
  <c r="F42" i="3"/>
  <c r="Q37" i="3"/>
  <c r="G37" i="3"/>
  <c r="F34" i="3"/>
  <c r="M34" i="3"/>
  <c r="G31" i="3"/>
  <c r="E31" i="5" s="1"/>
  <c r="F31" i="5" s="1"/>
  <c r="G31" i="5" s="1"/>
  <c r="L31" i="3"/>
  <c r="C28" i="3"/>
  <c r="I28" i="3"/>
  <c r="N28" i="3"/>
  <c r="Q26" i="3"/>
  <c r="D26" i="3"/>
  <c r="M23" i="3"/>
  <c r="J21" i="3"/>
  <c r="J13" i="3"/>
  <c r="I9" i="3"/>
  <c r="F9" i="3"/>
  <c r="C189" i="7"/>
  <c r="D189" i="7"/>
  <c r="I189" i="7"/>
  <c r="I189" i="12" s="1"/>
  <c r="N189" i="7"/>
  <c r="M148" i="7"/>
  <c r="M77" i="3"/>
  <c r="M72" i="3"/>
  <c r="F72" i="3"/>
  <c r="P71" i="3"/>
  <c r="M68" i="3"/>
  <c r="F68" i="3"/>
  <c r="O67" i="3"/>
  <c r="M66" i="3"/>
  <c r="M64" i="3"/>
  <c r="F64" i="3"/>
  <c r="N57" i="3"/>
  <c r="P56" i="3"/>
  <c r="G56" i="3"/>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G11" i="3"/>
  <c r="F10" i="3"/>
  <c r="L10" i="3"/>
  <c r="D167" i="7"/>
  <c r="F37" i="3"/>
  <c r="N37" i="3"/>
  <c r="I26" i="3"/>
  <c r="P26" i="3"/>
  <c r="C8" i="3"/>
  <c r="I8" i="3"/>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M179" i="12" s="1"/>
  <c r="I173" i="6"/>
  <c r="B172" i="6"/>
  <c r="E172" i="6"/>
  <c r="I172" i="6"/>
  <c r="Q172" i="12" s="1"/>
  <c r="D171" i="6"/>
  <c r="B171" i="6"/>
  <c r="J171" i="6"/>
  <c r="E171" i="6"/>
  <c r="L171" i="6"/>
  <c r="O171" i="12" s="1"/>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4" i="7"/>
  <c r="L92" i="7"/>
  <c r="M72" i="7"/>
  <c r="K41" i="7"/>
  <c r="M30" i="7"/>
  <c r="C18" i="7"/>
  <c r="D18" i="7"/>
  <c r="I18" i="7"/>
  <c r="N18" i="7"/>
  <c r="E18" i="7"/>
  <c r="J18" i="7"/>
  <c r="J14" i="7"/>
  <c r="O7" i="7"/>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P149" i="12" s="1"/>
  <c r="L149" i="6"/>
  <c r="B58" i="7"/>
  <c r="F58" i="7"/>
  <c r="L58" i="7"/>
  <c r="K58" i="12" s="1"/>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Q153" i="12" s="1"/>
  <c r="N147" i="6"/>
  <c r="D147" i="6"/>
  <c r="K142" i="6"/>
  <c r="R142" i="12" s="1"/>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O72" i="6"/>
  <c r="I67" i="6"/>
  <c r="F61" i="6"/>
  <c r="I55" i="6"/>
  <c r="M55" i="12" s="1"/>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S126" i="12" s="1"/>
  <c r="L121" i="6"/>
  <c r="L116" i="6"/>
  <c r="F115" i="6"/>
  <c r="G107" i="6"/>
  <c r="H105" i="6"/>
  <c r="M99" i="6"/>
  <c r="H99" i="6"/>
  <c r="M97" i="6"/>
  <c r="B97" i="6"/>
  <c r="O95" i="6"/>
  <c r="D95" i="6"/>
  <c r="N93" i="6"/>
  <c r="I93" i="6"/>
  <c r="D93" i="6"/>
  <c r="K92" i="6"/>
  <c r="S92" i="12" s="1"/>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E89" i="6"/>
  <c r="B85" i="6"/>
  <c r="H85" i="6"/>
  <c r="P85" i="12" s="1"/>
  <c r="M85" i="6"/>
  <c r="G84" i="6"/>
  <c r="I84" i="6"/>
  <c r="Q84" i="12" s="1"/>
  <c r="M81" i="6"/>
  <c r="B77" i="6"/>
  <c r="H77" i="6"/>
  <c r="L77" i="12" s="1"/>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K67" i="6"/>
  <c r="N67" i="12" s="1"/>
  <c r="C55" i="6"/>
  <c r="E55" i="6"/>
  <c r="J55" i="6"/>
  <c r="O55" i="6"/>
  <c r="F55" i="6"/>
  <c r="K55" i="6"/>
  <c r="R55" i="12" s="1"/>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59" i="2"/>
  <c r="F261" i="2"/>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E179" i="13"/>
  <c r="E168" i="13"/>
  <c r="G154" i="13"/>
  <c r="B25" i="12"/>
  <c r="C25" i="12"/>
  <c r="G18" i="12"/>
  <c r="C18" i="12"/>
  <c r="E181" i="13"/>
  <c r="G181" i="13"/>
  <c r="F166" i="13"/>
  <c r="F162" i="13"/>
  <c r="G141" i="13"/>
  <c r="F133" i="13"/>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G174" i="13"/>
  <c r="F170" i="13"/>
  <c r="G166" i="13"/>
  <c r="G162" i="13"/>
  <c r="F161" i="13"/>
  <c r="F150" i="13"/>
  <c r="F146" i="13"/>
  <c r="F140" i="13"/>
  <c r="F132" i="13"/>
  <c r="E123" i="13"/>
  <c r="G65" i="12"/>
  <c r="E54" i="12"/>
  <c r="E53" i="12"/>
  <c r="G46" i="12"/>
  <c r="E45" i="12"/>
  <c r="E31" i="12"/>
  <c r="C28" i="12"/>
  <c r="E28" i="12"/>
  <c r="G25" i="12"/>
  <c r="C21" i="12"/>
  <c r="B21" i="12"/>
  <c r="E13" i="12"/>
  <c r="F11" i="12"/>
  <c r="G180" i="13"/>
  <c r="E166" i="13"/>
  <c r="G165" i="13"/>
  <c r="E162" i="13"/>
  <c r="F154" i="13"/>
  <c r="F145" i="13"/>
  <c r="G142" i="13"/>
  <c r="G139" i="13"/>
  <c r="G133" i="13"/>
  <c r="E131" i="13"/>
  <c r="E149" i="13"/>
  <c r="G138" i="13"/>
  <c r="E126" i="13"/>
  <c r="F125" i="13"/>
  <c r="G122" i="13"/>
  <c r="G114" i="13"/>
  <c r="G106" i="13"/>
  <c r="G98" i="13"/>
  <c r="G90" i="13"/>
  <c r="F67" i="13"/>
  <c r="E51" i="13"/>
  <c r="F48" i="13"/>
  <c r="F47" i="13"/>
  <c r="E45" i="13"/>
  <c r="E43" i="13"/>
  <c r="F41" i="13"/>
  <c r="F27" i="13"/>
  <c r="E25" i="13"/>
  <c r="E8" i="13"/>
  <c r="G8" i="13"/>
  <c r="E184" i="14"/>
  <c r="C183" i="14"/>
  <c r="F183" i="14"/>
  <c r="B176" i="14"/>
  <c r="G176" i="14" s="1"/>
  <c r="C176" i="14"/>
  <c r="B167" i="14"/>
  <c r="F167" i="14"/>
  <c r="C151" i="14"/>
  <c r="E151" i="14"/>
  <c r="B151" i="14"/>
  <c r="D144" i="14"/>
  <c r="C144" i="14"/>
  <c r="C110" i="14"/>
  <c r="E110" i="14"/>
  <c r="F68" i="13"/>
  <c r="E67" i="13"/>
  <c r="G65" i="13"/>
  <c r="F61" i="13"/>
  <c r="F49" i="13"/>
  <c r="E48" i="13"/>
  <c r="E41" i="13"/>
  <c r="E35" i="13"/>
  <c r="E27" i="13"/>
  <c r="E23" i="13"/>
  <c r="F7" i="13"/>
  <c r="C187" i="14"/>
  <c r="E187" i="14"/>
  <c r="G187" i="14" s="1"/>
  <c r="D172" i="14"/>
  <c r="B172" i="14"/>
  <c r="B169" i="14"/>
  <c r="D169" i="14"/>
  <c r="E154" i="14"/>
  <c r="C154" i="14"/>
  <c r="D146" i="14"/>
  <c r="E146" i="14"/>
  <c r="C131" i="14"/>
  <c r="B131" i="14"/>
  <c r="E131" i="14"/>
  <c r="C122" i="14"/>
  <c r="E122" i="14"/>
  <c r="E81" i="13"/>
  <c r="E75" i="13"/>
  <c r="F65" i="13"/>
  <c r="F56" i="13"/>
  <c r="F44" i="13"/>
  <c r="G42" i="13"/>
  <c r="E24" i="13"/>
  <c r="G24" i="13"/>
  <c r="F11" i="13"/>
  <c r="E9" i="13"/>
  <c r="C177" i="14"/>
  <c r="D177" i="14"/>
  <c r="F172" i="14"/>
  <c r="D171" i="14"/>
  <c r="F169" i="14"/>
  <c r="C143" i="14"/>
  <c r="B143" i="14"/>
  <c r="F143" i="14"/>
  <c r="F140" i="14"/>
  <c r="C128" i="14"/>
  <c r="E128" i="14"/>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B91" i="14"/>
  <c r="C89" i="14"/>
  <c r="E87" i="14"/>
  <c r="G87" i="14" s="1"/>
  <c r="E79" i="14"/>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G8" i="14" s="1"/>
  <c r="D7" i="14"/>
  <c r="F129" i="14"/>
  <c r="B123" i="14"/>
  <c r="B119" i="14"/>
  <c r="B111" i="14"/>
  <c r="F109" i="14"/>
  <c r="F103" i="14"/>
  <c r="E99" i="14"/>
  <c r="E96" i="14"/>
  <c r="F91" i="14"/>
  <c r="E77" i="14"/>
  <c r="E73" i="14"/>
  <c r="E69" i="14"/>
  <c r="E65" i="14"/>
  <c r="E61" i="14"/>
  <c r="F56" i="14"/>
  <c r="E49" i="14"/>
  <c r="F48" i="14"/>
  <c r="F41" i="14"/>
  <c r="F35" i="14"/>
  <c r="E34" i="14"/>
  <c r="F4" i="21" s="1"/>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Q127" i="2"/>
  <c r="S124" i="2"/>
  <c r="I124" i="2"/>
  <c r="C124" i="2"/>
  <c r="I123" i="2"/>
  <c r="I122" i="2"/>
  <c r="L121" i="2"/>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O150" i="3"/>
  <c r="B139" i="3"/>
  <c r="G139" i="3"/>
  <c r="M139" i="3"/>
  <c r="Q139" i="3"/>
  <c r="B138" i="3"/>
  <c r="G138" i="3"/>
  <c r="O138" i="3"/>
  <c r="F136" i="3"/>
  <c r="Q136" i="3"/>
  <c r="B123" i="3"/>
  <c r="G123" i="3"/>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F73" i="3"/>
  <c r="L71" i="3"/>
  <c r="Q70" i="3"/>
  <c r="Q69" i="3"/>
  <c r="J69" i="3"/>
  <c r="C69" i="3"/>
  <c r="I67" i="3"/>
  <c r="Q66" i="3"/>
  <c r="J66" i="3"/>
  <c r="Q65" i="3"/>
  <c r="M63" i="3"/>
  <c r="D63" i="3"/>
  <c r="O60" i="3"/>
  <c r="J60" i="3"/>
  <c r="D60" i="3"/>
  <c r="Q59" i="3"/>
  <c r="Q58" i="3"/>
  <c r="L58" i="3"/>
  <c r="D58" i="3"/>
  <c r="N56" i="3"/>
  <c r="I56" i="3"/>
  <c r="D56" i="3"/>
  <c r="E56" i="3" s="1"/>
  <c r="Q55" i="3"/>
  <c r="G55" i="3"/>
  <c r="L54" i="3"/>
  <c r="O52" i="3"/>
  <c r="J52" i="3"/>
  <c r="D52" i="3"/>
  <c r="Q51" i="3"/>
  <c r="G51" i="3"/>
  <c r="P50" i="3"/>
  <c r="F50" i="3"/>
  <c r="O48" i="3"/>
  <c r="J48" i="3"/>
  <c r="D48" i="3"/>
  <c r="E48" i="3" s="1"/>
  <c r="N44" i="3"/>
  <c r="I44" i="3"/>
  <c r="C44" i="3"/>
  <c r="E44" i="3" s="1"/>
  <c r="L43" i="3"/>
  <c r="I41" i="3"/>
  <c r="L34" i="3"/>
  <c r="Q31" i="3"/>
  <c r="I31" i="3"/>
  <c r="D30" i="3"/>
  <c r="N30" i="3"/>
  <c r="G29" i="3"/>
  <c r="H29" i="3" s="1"/>
  <c r="D24" i="3"/>
  <c r="J24" i="3"/>
  <c r="O24" i="3"/>
  <c r="B22" i="3"/>
  <c r="L22" i="3"/>
  <c r="B21" i="3"/>
  <c r="I21" i="3"/>
  <c r="O21" i="3"/>
  <c r="M20" i="3"/>
  <c r="F20" i="3"/>
  <c r="G19" i="3"/>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E43" i="5" s="1"/>
  <c r="F43" i="5" s="1"/>
  <c r="G43" i="5" s="1"/>
  <c r="Q38" i="3"/>
  <c r="B37" i="3"/>
  <c r="I37" i="3"/>
  <c r="B33" i="3"/>
  <c r="Q33" i="3"/>
  <c r="P31" i="3"/>
  <c r="L30" i="3"/>
  <c r="Q29" i="3"/>
  <c r="F26" i="3"/>
  <c r="M26" i="3"/>
  <c r="C25" i="3"/>
  <c r="Q25" i="3"/>
  <c r="M24" i="3"/>
  <c r="F24" i="3"/>
  <c r="G23" i="3"/>
  <c r="E23" i="5" s="1"/>
  <c r="F23" i="5" s="1"/>
  <c r="G23" i="5" s="1"/>
  <c r="Q23" i="3"/>
  <c r="Q21" i="3"/>
  <c r="G21" i="3"/>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O171" i="7"/>
  <c r="K171" i="7"/>
  <c r="G171" i="7"/>
  <c r="C171" i="7"/>
  <c r="I157" i="7"/>
  <c r="F151" i="7"/>
  <c r="K145" i="7"/>
  <c r="E145" i="7"/>
  <c r="O144" i="7"/>
  <c r="K144" i="7"/>
  <c r="G144" i="7"/>
  <c r="C144" i="7"/>
  <c r="I135" i="7"/>
  <c r="N134"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L166" i="5"/>
  <c r="D64" i="7"/>
  <c r="H64" i="7"/>
  <c r="L64" i="7"/>
  <c r="B64" i="7"/>
  <c r="F64" i="7"/>
  <c r="J64" i="7"/>
  <c r="N64" i="7"/>
  <c r="B60" i="7"/>
  <c r="C19" i="7"/>
  <c r="I19" i="7"/>
  <c r="M19" i="7"/>
  <c r="E19" i="7"/>
  <c r="D184" i="6"/>
  <c r="E184" i="6"/>
  <c r="M184" i="6"/>
  <c r="G184" i="6"/>
  <c r="O184" i="6"/>
  <c r="C184" i="6"/>
  <c r="K184" i="6"/>
  <c r="N184" i="12" s="1"/>
  <c r="B74" i="7"/>
  <c r="L74" i="7"/>
  <c r="F67" i="7"/>
  <c r="M67" i="7"/>
  <c r="B67" i="7"/>
  <c r="J67" i="7"/>
  <c r="O64" i="7"/>
  <c r="G64" i="7"/>
  <c r="G11" i="7"/>
  <c r="I65" i="7"/>
  <c r="L46" i="7"/>
  <c r="L42" i="7"/>
  <c r="L41" i="7"/>
  <c r="F31" i="7"/>
  <c r="L30" i="7"/>
  <c r="N22" i="7"/>
  <c r="I22" i="7"/>
  <c r="D22" i="7"/>
  <c r="M21" i="7"/>
  <c r="N14" i="7"/>
  <c r="I14" i="7"/>
  <c r="D14" i="7"/>
  <c r="K8" i="7"/>
  <c r="M7" i="7"/>
  <c r="E7" i="7"/>
  <c r="J179" i="6"/>
  <c r="E179" i="6"/>
  <c r="I178" i="6"/>
  <c r="M178" i="12" s="1"/>
  <c r="J175" i="6"/>
  <c r="E175" i="6"/>
  <c r="L173" i="6"/>
  <c r="O173" i="12" s="1"/>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Q132" i="12" s="1"/>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P117" i="12" s="1"/>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R168" i="12" s="1"/>
  <c r="C168" i="6"/>
  <c r="J163" i="6"/>
  <c r="E163" i="6"/>
  <c r="I162" i="6"/>
  <c r="M162" i="12" s="1"/>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R127" i="12" s="1"/>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R91" i="12" s="1"/>
  <c r="E91" i="6"/>
  <c r="J89" i="6"/>
  <c r="I88" i="6"/>
  <c r="Q88" i="12" s="1"/>
  <c r="C86" i="6"/>
  <c r="M86" i="6"/>
  <c r="E86" i="6"/>
  <c r="D83" i="6"/>
  <c r="H83" i="6"/>
  <c r="P83" i="12" s="1"/>
  <c r="L83" i="6"/>
  <c r="B83" i="6"/>
  <c r="F83" i="6"/>
  <c r="J83" i="6"/>
  <c r="N83" i="6"/>
  <c r="O79" i="6"/>
  <c r="G79" i="6"/>
  <c r="K75" i="6"/>
  <c r="S75" i="12" s="1"/>
  <c r="D71" i="6"/>
  <c r="H71" i="6"/>
  <c r="L71" i="12" s="1"/>
  <c r="L71" i="6"/>
  <c r="O71" i="12" s="1"/>
  <c r="B71" i="6"/>
  <c r="F71" i="6"/>
  <c r="J71" i="6"/>
  <c r="N71" i="6"/>
  <c r="L65" i="6"/>
  <c r="O65" i="12" s="1"/>
  <c r="K63" i="6"/>
  <c r="S63" i="12" s="1"/>
  <c r="I62" i="6"/>
  <c r="M62" i="12" s="1"/>
  <c r="N57" i="6"/>
  <c r="N163" i="6"/>
  <c r="I163" i="6"/>
  <c r="Q163" i="12" s="1"/>
  <c r="N159" i="6"/>
  <c r="I159" i="6"/>
  <c r="O157" i="6"/>
  <c r="K157" i="6"/>
  <c r="S157" i="12" s="1"/>
  <c r="G157" i="6"/>
  <c r="M156" i="6"/>
  <c r="E156" i="6"/>
  <c r="O153" i="6"/>
  <c r="K153" i="6"/>
  <c r="G153" i="6"/>
  <c r="M152" i="6"/>
  <c r="E152" i="6"/>
  <c r="O143" i="6"/>
  <c r="K143" i="6"/>
  <c r="R143" i="12" s="1"/>
  <c r="G143" i="6"/>
  <c r="F137" i="6"/>
  <c r="L136" i="6"/>
  <c r="N133" i="6"/>
  <c r="I133" i="6"/>
  <c r="M133" i="12" s="1"/>
  <c r="O127" i="6"/>
  <c r="I127" i="6"/>
  <c r="D127" i="6"/>
  <c r="N123" i="6"/>
  <c r="I123" i="6"/>
  <c r="C123" i="6"/>
  <c r="L117" i="6"/>
  <c r="E117" i="6"/>
  <c r="N115" i="6"/>
  <c r="I115" i="6"/>
  <c r="Q115" i="12" s="1"/>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P75" i="12" s="1"/>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64" i="12" s="1"/>
  <c r="O59" i="6"/>
  <c r="K59" i="6"/>
  <c r="S59" i="12" s="1"/>
  <c r="G59" i="6"/>
  <c r="L55" i="6"/>
  <c r="O55" i="12" s="1"/>
  <c r="H55" i="6"/>
  <c r="D55" i="6"/>
  <c r="D51" i="6"/>
  <c r="H51" i="6"/>
  <c r="P51" i="12" s="1"/>
  <c r="L51" i="6"/>
  <c r="O51" i="12" s="1"/>
  <c r="C50" i="6"/>
  <c r="L50" i="5" s="1"/>
  <c r="N50" i="6"/>
  <c r="L48" i="6"/>
  <c r="O48" i="12" s="1"/>
  <c r="M47" i="6"/>
  <c r="H47" i="6"/>
  <c r="P47" i="12" s="1"/>
  <c r="K46" i="6"/>
  <c r="M43" i="6"/>
  <c r="G43" i="6"/>
  <c r="M39" i="6"/>
  <c r="H39" i="6"/>
  <c r="E38" i="6"/>
  <c r="K38" i="6"/>
  <c r="M35" i="6"/>
  <c r="D31" i="6"/>
  <c r="H31" i="6"/>
  <c r="P31" i="12" s="1"/>
  <c r="L31" i="6"/>
  <c r="O31" i="12" s="1"/>
  <c r="B31" i="6"/>
  <c r="F31" i="6"/>
  <c r="J31" i="6"/>
  <c r="N31" i="6"/>
  <c r="G30" i="6"/>
  <c r="O30" i="6"/>
  <c r="C30" i="6"/>
  <c r="K30" i="6"/>
  <c r="M27" i="6"/>
  <c r="I22" i="6"/>
  <c r="Q22" i="12" s="1"/>
  <c r="I18" i="6"/>
  <c r="Q18" i="12" s="1"/>
  <c r="D18" i="6"/>
  <c r="O18" i="6"/>
  <c r="C12" i="6"/>
  <c r="L12" i="5" s="1"/>
  <c r="K12" i="6"/>
  <c r="S12" i="12" s="1"/>
  <c r="K9" i="6"/>
  <c r="R9" i="12" s="1"/>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O35" i="12" s="1"/>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H22" i="6"/>
  <c r="P22" i="12" s="1"/>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R17" i="12" s="1"/>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57" i="2"/>
  <c r="G261" i="2"/>
  <c r="H51" i="8"/>
  <c r="C51" i="8"/>
  <c r="G50" i="8"/>
  <c r="B50" i="8"/>
  <c r="E46" i="8"/>
  <c r="E38" i="8"/>
  <c r="I33" i="8"/>
  <c r="C32" i="8"/>
  <c r="E31" i="8"/>
  <c r="H27" i="8"/>
  <c r="C27" i="8"/>
  <c r="G26" i="8"/>
  <c r="B26" i="8"/>
  <c r="D25" i="8"/>
  <c r="C24" i="8"/>
  <c r="E23" i="8"/>
  <c r="I17" i="8"/>
  <c r="C16" i="8"/>
  <c r="E15" i="8"/>
  <c r="H11" i="8"/>
  <c r="C11" i="8"/>
  <c r="G10" i="8"/>
  <c r="B10" i="8"/>
  <c r="D9" i="8"/>
  <c r="C8" i="8"/>
  <c r="E7" i="8"/>
  <c r="J46" i="8"/>
  <c r="B46" i="8"/>
  <c r="J38" i="8"/>
  <c r="B38" i="8"/>
  <c r="C31" i="8"/>
  <c r="C23" i="8"/>
  <c r="G21" i="8"/>
  <c r="C15" i="8"/>
  <c r="C7"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K138" i="5"/>
  <c r="K134" i="5"/>
  <c r="K130" i="5"/>
  <c r="K126" i="5"/>
  <c r="K122" i="5"/>
  <c r="K118" i="5"/>
  <c r="K114" i="5"/>
  <c r="K110" i="5"/>
  <c r="O108" i="5"/>
  <c r="C108"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C7" i="5"/>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O146" i="5"/>
  <c r="O142" i="5"/>
  <c r="O138" i="5"/>
  <c r="O134" i="5"/>
  <c r="O130" i="5"/>
  <c r="O126" i="5"/>
  <c r="O122" i="5"/>
  <c r="O118" i="5"/>
  <c r="O114" i="5"/>
  <c r="O110" i="5"/>
  <c r="K108" i="5"/>
  <c r="O106" i="5"/>
  <c r="K104" i="5"/>
  <c r="O102" i="5"/>
  <c r="K100" i="5"/>
  <c r="O98" i="5"/>
  <c r="K96" i="5"/>
  <c r="O94" i="5"/>
  <c r="P93" i="5"/>
  <c r="K92" i="5"/>
  <c r="O90" i="5"/>
  <c r="P90" i="5" s="1"/>
  <c r="K88" i="5"/>
  <c r="O86" i="5"/>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E183" i="13"/>
  <c r="F180" i="13"/>
  <c r="G176" i="13"/>
  <c r="F174" i="13"/>
  <c r="E173" i="13"/>
  <c r="G167" i="13"/>
  <c r="G158" i="13"/>
  <c r="E155" i="13"/>
  <c r="G151" i="13"/>
  <c r="G147" i="13"/>
  <c r="E144" i="13"/>
  <c r="E136" i="13"/>
  <c r="F136" i="13"/>
  <c r="E128" i="13"/>
  <c r="E120" i="13"/>
  <c r="F120" i="13"/>
  <c r="B17" i="12"/>
  <c r="F17" i="12"/>
  <c r="E160" i="13"/>
  <c r="E117" i="13"/>
  <c r="G117" i="13"/>
  <c r="E109" i="13"/>
  <c r="G109" i="13"/>
  <c r="E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G184" i="13"/>
  <c r="E182" i="13"/>
  <c r="E176" i="13"/>
  <c r="F173" i="13"/>
  <c r="F169" i="13"/>
  <c r="E165" i="13"/>
  <c r="G155" i="13"/>
  <c r="F144" i="13"/>
  <c r="F142" i="13"/>
  <c r="G57" i="12"/>
  <c r="G33" i="12"/>
  <c r="D27" i="12"/>
  <c r="D17" i="12"/>
  <c r="G175" i="13"/>
  <c r="F168" i="13"/>
  <c r="G163" i="13"/>
  <c r="F160" i="13"/>
  <c r="F158" i="13"/>
  <c r="F152" i="13"/>
  <c r="E139" i="13"/>
  <c r="F137" i="13"/>
  <c r="F121" i="13"/>
  <c r="E113" i="13"/>
  <c r="G113" i="13"/>
  <c r="E105" i="13"/>
  <c r="G105" i="13"/>
  <c r="E97" i="13"/>
  <c r="G97" i="13"/>
  <c r="E88" i="13"/>
  <c r="G77" i="13"/>
  <c r="F60" i="13"/>
  <c r="G57" i="13"/>
  <c r="G53" i="13"/>
  <c r="F39" i="13"/>
  <c r="G33" i="13"/>
  <c r="E31" i="13"/>
  <c r="E26" i="13"/>
  <c r="G17" i="13"/>
  <c r="E15" i="13"/>
  <c r="E10" i="13"/>
  <c r="C181" i="14"/>
  <c r="B181" i="14"/>
  <c r="D181" i="14"/>
  <c r="E181" i="14"/>
  <c r="B179" i="14"/>
  <c r="F179" i="14"/>
  <c r="C179" i="14"/>
  <c r="D179" i="14"/>
  <c r="C170" i="14"/>
  <c r="E170" i="14"/>
  <c r="B45" i="14"/>
  <c r="F45" i="14"/>
  <c r="C45" i="14"/>
  <c r="D45" i="14"/>
  <c r="E45" i="14"/>
  <c r="C22" i="14"/>
  <c r="E22" i="14"/>
  <c r="G159" i="13"/>
  <c r="E157" i="13"/>
  <c r="G143" i="13"/>
  <c r="E141" i="13"/>
  <c r="G135" i="13"/>
  <c r="G127" i="13"/>
  <c r="F126" i="13"/>
  <c r="E125" i="13"/>
  <c r="G119" i="13"/>
  <c r="F88" i="13"/>
  <c r="E85" i="13"/>
  <c r="G85" i="13"/>
  <c r="E77" i="13"/>
  <c r="G73" i="13"/>
  <c r="F72" i="13"/>
  <c r="G64" i="13"/>
  <c r="F57" i="13"/>
  <c r="F53" i="13"/>
  <c r="G41" i="13"/>
  <c r="G37" i="13"/>
  <c r="F33" i="13"/>
  <c r="E32" i="13"/>
  <c r="G32" i="13"/>
  <c r="E22" i="13"/>
  <c r="F21" i="13"/>
  <c r="G21" i="13"/>
  <c r="F17" i="13"/>
  <c r="E16" i="13"/>
  <c r="G16" i="13"/>
  <c r="C162" i="14"/>
  <c r="D162" i="14"/>
  <c r="E162" i="14"/>
  <c r="C155" i="14"/>
  <c r="D155" i="14"/>
  <c r="F155" i="14"/>
  <c r="C147" i="14"/>
  <c r="F147" i="14"/>
  <c r="F145" i="14"/>
  <c r="C145" i="14"/>
  <c r="D145" i="14"/>
  <c r="E145" i="14"/>
  <c r="G93" i="13"/>
  <c r="G89" i="13"/>
  <c r="F79" i="13"/>
  <c r="F71" i="13"/>
  <c r="E57" i="13"/>
  <c r="E53" i="13"/>
  <c r="F45" i="13"/>
  <c r="G45" i="13"/>
  <c r="E33" i="13"/>
  <c r="F31" i="13"/>
  <c r="E28" i="13"/>
  <c r="G28" i="13"/>
  <c r="E17" i="13"/>
  <c r="F15" i="13"/>
  <c r="E12" i="13"/>
  <c r="G12" i="13"/>
  <c r="C150" i="14"/>
  <c r="D150" i="14"/>
  <c r="C106" i="14"/>
  <c r="E106" i="14"/>
  <c r="G131" i="13"/>
  <c r="G81" i="13"/>
  <c r="G78" i="13"/>
  <c r="F75" i="13"/>
  <c r="G70" i="13"/>
  <c r="F69" i="13"/>
  <c r="G61" i="13"/>
  <c r="E59" i="13"/>
  <c r="F55" i="13"/>
  <c r="G49" i="13"/>
  <c r="E46" i="13"/>
  <c r="G46"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G48" i="13"/>
  <c r="F36" i="13"/>
  <c r="E30" i="13"/>
  <c r="F25" i="13"/>
  <c r="E14" i="13"/>
  <c r="F9"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G37" i="14" s="1"/>
  <c r="F21" i="14"/>
  <c r="B21" i="14"/>
  <c r="C20" i="14"/>
  <c r="C16" i="14"/>
  <c r="C12" i="14"/>
  <c r="C8" i="14"/>
  <c r="G95"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61" i="2"/>
  <c r="H257" i="2"/>
  <c r="B192" i="2"/>
  <c r="R192" i="2"/>
  <c r="D192" i="2"/>
  <c r="H192" i="2"/>
  <c r="L192" i="2"/>
  <c r="P192" i="2"/>
  <c r="E260"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P160" i="2"/>
  <c r="C160" i="2"/>
  <c r="F160" i="2" s="1"/>
  <c r="H160" i="2"/>
  <c r="M160" i="2"/>
  <c r="S160" i="2"/>
  <c r="D158" i="2"/>
  <c r="H158" i="2"/>
  <c r="L158" i="2"/>
  <c r="P158" i="2"/>
  <c r="B158" i="2"/>
  <c r="M158" i="2"/>
  <c r="R158" i="2"/>
  <c r="E158" i="2"/>
  <c r="Q156" i="2"/>
  <c r="Q154" i="2"/>
  <c r="B152" i="2"/>
  <c r="R152" i="2"/>
  <c r="E152" i="2"/>
  <c r="P152" i="2"/>
  <c r="C152" i="2"/>
  <c r="H152" i="2"/>
  <c r="M152" i="2"/>
  <c r="S152" i="2"/>
  <c r="D150" i="2"/>
  <c r="H150" i="2"/>
  <c r="L150" i="2"/>
  <c r="P150" i="2"/>
  <c r="D3" i="21" s="1"/>
  <c r="B150" i="2"/>
  <c r="M150" i="2"/>
  <c r="R150" i="2"/>
  <c r="E3" i="21" s="1"/>
  <c r="E150" i="2"/>
  <c r="Q148" i="2"/>
  <c r="Q146" i="2"/>
  <c r="B144" i="2"/>
  <c r="R144" i="2"/>
  <c r="E144" i="2"/>
  <c r="G144" i="2" s="1"/>
  <c r="P144" i="2"/>
  <c r="C144" i="2"/>
  <c r="H144" i="2"/>
  <c r="J144" i="2" s="1"/>
  <c r="K144" i="2" s="1"/>
  <c r="M144" i="2"/>
  <c r="S144" i="2"/>
  <c r="Q142" i="2"/>
  <c r="F140" i="2"/>
  <c r="C138" i="2"/>
  <c r="S138" i="2"/>
  <c r="B138" i="2"/>
  <c r="H138" i="2"/>
  <c r="M138" i="2"/>
  <c r="R138" i="2"/>
  <c r="E138" i="2"/>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D11" i="2"/>
  <c r="H11" i="2"/>
  <c r="L11" i="2"/>
  <c r="P11" i="2"/>
  <c r="C11" i="2"/>
  <c r="I11" i="2"/>
  <c r="S11" i="2"/>
  <c r="E11" i="2"/>
  <c r="B11" i="2"/>
  <c r="M11" i="2"/>
  <c r="R11" i="2"/>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L115" i="2"/>
  <c r="P115" i="2"/>
  <c r="E115" i="2"/>
  <c r="B115" i="2"/>
  <c r="M115" i="2"/>
  <c r="R115" i="2"/>
  <c r="B109" i="2"/>
  <c r="R109" i="2"/>
  <c r="C109" i="2"/>
  <c r="F109" i="2" s="1"/>
  <c r="H109" i="2"/>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58" i="2"/>
  <c r="L164" i="2"/>
  <c r="D162" i="2"/>
  <c r="H162" i="2"/>
  <c r="L162" i="2"/>
  <c r="P162" i="2"/>
  <c r="E162" i="2"/>
  <c r="B162" i="2"/>
  <c r="M162" i="2"/>
  <c r="R162" i="2"/>
  <c r="L156" i="2"/>
  <c r="D154" i="2"/>
  <c r="I3" i="21" s="1"/>
  <c r="H154" i="2"/>
  <c r="B3" i="21" s="1"/>
  <c r="L154" i="2"/>
  <c r="P154" i="2"/>
  <c r="E154" i="2"/>
  <c r="J3" i="21" s="1"/>
  <c r="B154" i="2"/>
  <c r="M154" i="2"/>
  <c r="R154" i="2"/>
  <c r="B148" i="2"/>
  <c r="R148" i="2"/>
  <c r="C148" i="2"/>
  <c r="H148" i="2"/>
  <c r="M148" i="2"/>
  <c r="S148" i="2"/>
  <c r="E148" i="2"/>
  <c r="P148" i="2"/>
  <c r="D146" i="2"/>
  <c r="H146" i="2"/>
  <c r="L146" i="2"/>
  <c r="P146" i="2"/>
  <c r="E146" i="2"/>
  <c r="B146" i="2"/>
  <c r="M146" i="2"/>
  <c r="R146" i="2"/>
  <c r="C142" i="2"/>
  <c r="S142" i="2"/>
  <c r="E142" i="2"/>
  <c r="P142" i="2"/>
  <c r="B142" i="2"/>
  <c r="H142" i="2"/>
  <c r="M142" i="2"/>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S78" i="2"/>
  <c r="E78" i="2"/>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R46" i="2"/>
  <c r="C38" i="2"/>
  <c r="H4" i="21" s="1"/>
  <c r="S38" i="2"/>
  <c r="E38" i="2"/>
  <c r="J4" i="21" s="1"/>
  <c r="P38" i="2"/>
  <c r="D4" i="21" s="1"/>
  <c r="B38" i="2"/>
  <c r="H38" i="2"/>
  <c r="B4" i="21" s="1"/>
  <c r="M38" i="2"/>
  <c r="R38" i="2"/>
  <c r="E4" i="21" s="1"/>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R157" i="2"/>
  <c r="I156" i="2"/>
  <c r="S154" i="2"/>
  <c r="I154" i="2"/>
  <c r="Q153" i="2"/>
  <c r="C149" i="2"/>
  <c r="S149" i="2"/>
  <c r="E149" i="2"/>
  <c r="P149" i="2"/>
  <c r="B149" i="2"/>
  <c r="H149" i="2"/>
  <c r="M149" i="2"/>
  <c r="R149" i="2"/>
  <c r="I148" i="2"/>
  <c r="S146" i="2"/>
  <c r="I146" i="2"/>
  <c r="Q145" i="2"/>
  <c r="D143" i="2"/>
  <c r="H143" i="2"/>
  <c r="J143" i="2" s="1"/>
  <c r="M143" i="2"/>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P57" i="2"/>
  <c r="C57" i="2"/>
  <c r="F57" i="2" s="1"/>
  <c r="H57" i="2"/>
  <c r="M57" i="2"/>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L177" i="3"/>
  <c r="N172" i="3"/>
  <c r="F172" i="3"/>
  <c r="P169" i="3"/>
  <c r="D168" i="3"/>
  <c r="L168" i="3"/>
  <c r="P168" i="3"/>
  <c r="C168" i="3"/>
  <c r="G168" i="3"/>
  <c r="O168" i="3"/>
  <c r="C165" i="3"/>
  <c r="G165" i="3"/>
  <c r="O165" i="3"/>
  <c r="B165" i="3"/>
  <c r="F165" i="3"/>
  <c r="J165" i="3"/>
  <c r="K165" i="3" s="1"/>
  <c r="N165" i="3"/>
  <c r="J164" i="3"/>
  <c r="L161" i="3"/>
  <c r="N156" i="3"/>
  <c r="F156" i="3"/>
  <c r="P153" i="3"/>
  <c r="D152" i="3"/>
  <c r="L152" i="3"/>
  <c r="P152" i="3"/>
  <c r="C152" i="3"/>
  <c r="G152" i="3"/>
  <c r="O152" i="3"/>
  <c r="C149" i="3"/>
  <c r="G149" i="3"/>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D124" i="3"/>
  <c r="L124" i="3"/>
  <c r="P124" i="3"/>
  <c r="B124" i="3"/>
  <c r="F124" i="3"/>
  <c r="J124" i="3"/>
  <c r="N124" i="3"/>
  <c r="C124" i="3"/>
  <c r="G124" i="3"/>
  <c r="O124" i="3"/>
  <c r="Q113" i="3"/>
  <c r="Q107" i="3"/>
  <c r="Q97" i="3"/>
  <c r="D180" i="3"/>
  <c r="L180" i="3"/>
  <c r="P180" i="3"/>
  <c r="C180" i="3"/>
  <c r="G180" i="3"/>
  <c r="O180" i="3"/>
  <c r="C177" i="3"/>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O145" i="3"/>
  <c r="B145" i="3"/>
  <c r="F145" i="3"/>
  <c r="J145" i="3"/>
  <c r="N145" i="3"/>
  <c r="D132" i="3"/>
  <c r="L132" i="3"/>
  <c r="P132" i="3"/>
  <c r="C132" i="3"/>
  <c r="G132" i="3"/>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61" i="2"/>
  <c r="R23" i="2"/>
  <c r="M23" i="2"/>
  <c r="B23" i="2"/>
  <c r="S21" i="2"/>
  <c r="M21" i="2"/>
  <c r="N21" i="2" s="1"/>
  <c r="O21" i="2" s="1"/>
  <c r="H21" i="2"/>
  <c r="C21" i="2"/>
  <c r="R18" i="2"/>
  <c r="M18" i="2"/>
  <c r="H18" i="2"/>
  <c r="J18" i="2" s="1"/>
  <c r="K18" i="2" s="1"/>
  <c r="R15" i="2"/>
  <c r="M15" i="2"/>
  <c r="S13" i="2"/>
  <c r="M13" i="2"/>
  <c r="N13" i="2" s="1"/>
  <c r="O13" i="2" s="1"/>
  <c r="H13" i="2"/>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G153" i="3"/>
  <c r="E153" i="5" s="1"/>
  <c r="O153" i="3"/>
  <c r="B153" i="3"/>
  <c r="F153" i="3"/>
  <c r="J153" i="3"/>
  <c r="N153" i="3"/>
  <c r="M148" i="3"/>
  <c r="M145" i="3"/>
  <c r="D140" i="3"/>
  <c r="L140" i="3"/>
  <c r="P140" i="3"/>
  <c r="C140" i="3"/>
  <c r="G140" i="3"/>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G110" i="3"/>
  <c r="O110" i="3"/>
  <c r="D105" i="3"/>
  <c r="L105" i="3"/>
  <c r="P105" i="3"/>
  <c r="B99" i="3"/>
  <c r="F99" i="3"/>
  <c r="J99" i="3"/>
  <c r="K99" i="3" s="1"/>
  <c r="N99" i="3"/>
  <c r="C94" i="3"/>
  <c r="E94" i="3" s="1"/>
  <c r="G94" i="3"/>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G46" i="3"/>
  <c r="O46" i="3"/>
  <c r="O43" i="3"/>
  <c r="I43" i="3"/>
  <c r="D43" i="3"/>
  <c r="E43" i="3" s="1"/>
  <c r="D41" i="3"/>
  <c r="L41" i="3"/>
  <c r="P41" i="3"/>
  <c r="N38" i="3"/>
  <c r="I38" i="3"/>
  <c r="D38" i="3"/>
  <c r="B35" i="3"/>
  <c r="F35" i="3"/>
  <c r="J35" i="3"/>
  <c r="N35" i="3"/>
  <c r="N33" i="3"/>
  <c r="I33" i="3"/>
  <c r="C33" i="3"/>
  <c r="C30" i="3"/>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L126" i="3"/>
  <c r="D126" i="3"/>
  <c r="P122" i="3"/>
  <c r="L122" i="3"/>
  <c r="D122" i="3"/>
  <c r="P115" i="3"/>
  <c r="C114" i="3"/>
  <c r="G114" i="3"/>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P78" i="3"/>
  <c r="J78" i="3"/>
  <c r="D77" i="3"/>
  <c r="L77" i="3"/>
  <c r="P77" i="3"/>
  <c r="M75" i="3"/>
  <c r="O73" i="3"/>
  <c r="J73" i="3"/>
  <c r="K73" i="3" s="1"/>
  <c r="B71" i="3"/>
  <c r="F71" i="3"/>
  <c r="H71" i="3" s="1"/>
  <c r="J71" i="3"/>
  <c r="N71" i="3"/>
  <c r="M70" i="3"/>
  <c r="P67" i="3"/>
  <c r="C66" i="3"/>
  <c r="G66" i="3"/>
  <c r="H66" i="3" s="1"/>
  <c r="O66" i="3"/>
  <c r="M65" i="3"/>
  <c r="G65" i="3"/>
  <c r="P62" i="3"/>
  <c r="J62" i="3"/>
  <c r="K62" i="3" s="1"/>
  <c r="D61" i="3"/>
  <c r="L61" i="3"/>
  <c r="P61" i="3"/>
  <c r="M59" i="3"/>
  <c r="O57" i="3"/>
  <c r="J57" i="3"/>
  <c r="K57" i="3" s="1"/>
  <c r="B55" i="3"/>
  <c r="F55" i="3"/>
  <c r="J55" i="3"/>
  <c r="N55" i="3"/>
  <c r="M54" i="3"/>
  <c r="P51" i="3"/>
  <c r="C50" i="3"/>
  <c r="G50" i="3"/>
  <c r="O50" i="3"/>
  <c r="M49" i="3"/>
  <c r="G49" i="3"/>
  <c r="E49" i="5" s="1"/>
  <c r="F49" i="5" s="1"/>
  <c r="G49" i="5" s="1"/>
  <c r="P46" i="3"/>
  <c r="J46" i="3"/>
  <c r="K46" i="3" s="1"/>
  <c r="D45" i="3"/>
  <c r="L45" i="3"/>
  <c r="P45" i="3"/>
  <c r="M43" i="3"/>
  <c r="O41" i="3"/>
  <c r="J41" i="3"/>
  <c r="B39" i="3"/>
  <c r="F39" i="3"/>
  <c r="J39" i="3"/>
  <c r="N39" i="3"/>
  <c r="M38" i="3"/>
  <c r="P35" i="3"/>
  <c r="C34" i="3"/>
  <c r="G34" i="3"/>
  <c r="O34" i="3"/>
  <c r="M33" i="3"/>
  <c r="G33" i="3"/>
  <c r="P30" i="3"/>
  <c r="J30" i="3"/>
  <c r="K30" i="3" s="1"/>
  <c r="D29" i="3"/>
  <c r="L29" i="3"/>
  <c r="P29" i="3"/>
  <c r="M27" i="3"/>
  <c r="O25" i="3"/>
  <c r="J25" i="3"/>
  <c r="K25" i="3" s="1"/>
  <c r="B23" i="3"/>
  <c r="F23" i="3"/>
  <c r="J23" i="3"/>
  <c r="N23" i="3"/>
  <c r="M22" i="3"/>
  <c r="P19" i="3"/>
  <c r="C18" i="3"/>
  <c r="G18" i="3"/>
  <c r="O18" i="3"/>
  <c r="M17" i="3"/>
  <c r="G17" i="3"/>
  <c r="E17" i="5" s="1"/>
  <c r="F17" i="5" s="1"/>
  <c r="G17" i="5" s="1"/>
  <c r="P14" i="3"/>
  <c r="J14" i="3"/>
  <c r="K14" i="3" s="1"/>
  <c r="D13" i="3"/>
  <c r="L13" i="3"/>
  <c r="P13" i="3"/>
  <c r="M11" i="3"/>
  <c r="O9" i="3"/>
  <c r="J9" i="3"/>
  <c r="B7" i="3"/>
  <c r="F7" i="3"/>
  <c r="J7" i="3"/>
  <c r="N7" i="3"/>
  <c r="E166" i="5"/>
  <c r="E109" i="5"/>
  <c r="E103" i="5"/>
  <c r="E71" i="5"/>
  <c r="E67"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J43" i="3"/>
  <c r="N43" i="3"/>
  <c r="C38" i="3"/>
  <c r="G38" i="3"/>
  <c r="O38" i="3"/>
  <c r="D33" i="3"/>
  <c r="L33" i="3"/>
  <c r="P33" i="3"/>
  <c r="B27" i="3"/>
  <c r="F27" i="3"/>
  <c r="H27" i="3" s="1"/>
  <c r="J27" i="3"/>
  <c r="N27" i="3"/>
  <c r="C22" i="3"/>
  <c r="G22" i="3"/>
  <c r="H22" i="3" s="1"/>
  <c r="O22" i="3"/>
  <c r="D17" i="3"/>
  <c r="L17" i="3"/>
  <c r="P17" i="3"/>
  <c r="B11" i="3"/>
  <c r="F11" i="3"/>
  <c r="J11" i="3"/>
  <c r="N11" i="3"/>
  <c r="E61" i="5"/>
  <c r="E60" i="5"/>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F182" i="3"/>
  <c r="H182" i="3" s="1"/>
  <c r="N178" i="3"/>
  <c r="J178" i="3"/>
  <c r="F178" i="3"/>
  <c r="N174" i="3"/>
  <c r="J174" i="3"/>
  <c r="F174" i="3"/>
  <c r="N170" i="3"/>
  <c r="J170" i="3"/>
  <c r="F170" i="3"/>
  <c r="H170" i="3" s="1"/>
  <c r="N166" i="3"/>
  <c r="J166" i="3"/>
  <c r="K166" i="3" s="1"/>
  <c r="F166" i="3"/>
  <c r="H166" i="3" s="1"/>
  <c r="N162" i="3"/>
  <c r="J162" i="3"/>
  <c r="F162" i="3"/>
  <c r="N158" i="3"/>
  <c r="J158" i="3"/>
  <c r="F158" i="3"/>
  <c r="N154" i="3"/>
  <c r="J154" i="3"/>
  <c r="F154" i="3"/>
  <c r="N150" i="3"/>
  <c r="J150" i="3"/>
  <c r="F150" i="3"/>
  <c r="N146" i="3"/>
  <c r="J146" i="3"/>
  <c r="F146" i="3"/>
  <c r="N142" i="3"/>
  <c r="J142" i="3"/>
  <c r="K142" i="3" s="1"/>
  <c r="F142" i="3"/>
  <c r="N138" i="3"/>
  <c r="J138" i="3"/>
  <c r="F138" i="3"/>
  <c r="N134" i="3"/>
  <c r="J134" i="3"/>
  <c r="F134" i="3"/>
  <c r="N130" i="3"/>
  <c r="J130" i="3"/>
  <c r="F130" i="3"/>
  <c r="O129" i="3"/>
  <c r="G129" i="3"/>
  <c r="H129" i="3" s="1"/>
  <c r="N126" i="3"/>
  <c r="J126" i="3"/>
  <c r="F126" i="3"/>
  <c r="O125" i="3"/>
  <c r="G125" i="3"/>
  <c r="N122" i="3"/>
  <c r="J122" i="3"/>
  <c r="F122" i="3"/>
  <c r="O121" i="3"/>
  <c r="G121" i="3"/>
  <c r="D117" i="3"/>
  <c r="L117" i="3"/>
  <c r="P117" i="3"/>
  <c r="M115" i="3"/>
  <c r="C115" i="3"/>
  <c r="N114" i="3"/>
  <c r="I114" i="3"/>
  <c r="K114" i="3" s="1"/>
  <c r="D114" i="3"/>
  <c r="B111" i="3"/>
  <c r="F111" i="3"/>
  <c r="J111" i="3"/>
  <c r="N111" i="3"/>
  <c r="M110" i="3"/>
  <c r="B110" i="3"/>
  <c r="N109" i="3"/>
  <c r="I109" i="3"/>
  <c r="C109" i="3"/>
  <c r="C106" i="3"/>
  <c r="E106" i="3" s="1"/>
  <c r="G106" i="3"/>
  <c r="O106" i="3"/>
  <c r="M105" i="3"/>
  <c r="G105" i="3"/>
  <c r="E105" i="5" s="1"/>
  <c r="B105" i="3"/>
  <c r="O103" i="3"/>
  <c r="I103" i="3"/>
  <c r="D103" i="3"/>
  <c r="D101" i="3"/>
  <c r="L101" i="3"/>
  <c r="P101" i="3"/>
  <c r="M99" i="3"/>
  <c r="C99" i="3"/>
  <c r="E99" i="3" s="1"/>
  <c r="N98" i="3"/>
  <c r="I98" i="3"/>
  <c r="D98" i="3"/>
  <c r="B95" i="3"/>
  <c r="F95" i="3"/>
  <c r="J95" i="3"/>
  <c r="N95" i="3"/>
  <c r="M94" i="3"/>
  <c r="B94" i="3"/>
  <c r="N93" i="3"/>
  <c r="I93" i="3"/>
  <c r="C93" i="3"/>
  <c r="P91" i="3"/>
  <c r="C90" i="3"/>
  <c r="G90" i="3"/>
  <c r="O90" i="3"/>
  <c r="M89" i="3"/>
  <c r="G89" i="3"/>
  <c r="E89" i="5" s="1"/>
  <c r="B89" i="3"/>
  <c r="O87" i="3"/>
  <c r="I87" i="3"/>
  <c r="D87" i="3"/>
  <c r="P86" i="3"/>
  <c r="J86" i="3"/>
  <c r="D85" i="3"/>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N66" i="3"/>
  <c r="I66" i="3"/>
  <c r="D66" i="3"/>
  <c r="O65" i="3"/>
  <c r="J65" i="3"/>
  <c r="B63" i="3"/>
  <c r="F63" i="3"/>
  <c r="J63" i="3"/>
  <c r="K63" i="3" s="1"/>
  <c r="N63" i="3"/>
  <c r="M62" i="3"/>
  <c r="B62" i="3"/>
  <c r="N61" i="3"/>
  <c r="I61" i="3"/>
  <c r="C61" i="3"/>
  <c r="P59" i="3"/>
  <c r="C58" i="3"/>
  <c r="G58" i="3"/>
  <c r="O58" i="3"/>
  <c r="M57" i="3"/>
  <c r="G57" i="3"/>
  <c r="B57" i="3"/>
  <c r="O55" i="3"/>
  <c r="I55" i="3"/>
  <c r="D55" i="3"/>
  <c r="P54" i="3"/>
  <c r="J54" i="3"/>
  <c r="D53" i="3"/>
  <c r="L53" i="3"/>
  <c r="P53" i="3"/>
  <c r="M51" i="3"/>
  <c r="C51" i="3"/>
  <c r="N50" i="3"/>
  <c r="I50" i="3"/>
  <c r="D50" i="3"/>
  <c r="O49" i="3"/>
  <c r="J49" i="3"/>
  <c r="B47" i="3"/>
  <c r="F47" i="3"/>
  <c r="J47" i="3"/>
  <c r="N47" i="3"/>
  <c r="M46" i="3"/>
  <c r="B46" i="3"/>
  <c r="N45" i="3"/>
  <c r="I45" i="3"/>
  <c r="C45" i="3"/>
  <c r="P43" i="3"/>
  <c r="C42" i="3"/>
  <c r="E42" i="3" s="1"/>
  <c r="G42" i="3"/>
  <c r="O42" i="3"/>
  <c r="M41" i="3"/>
  <c r="G41" i="3"/>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B25" i="3"/>
  <c r="O23" i="3"/>
  <c r="I23" i="3"/>
  <c r="D23" i="3"/>
  <c r="E23" i="3" s="1"/>
  <c r="P22" i="3"/>
  <c r="J22" i="3"/>
  <c r="D21" i="3"/>
  <c r="L21" i="3"/>
  <c r="P21" i="3"/>
  <c r="M19" i="3"/>
  <c r="C19" i="3"/>
  <c r="E19" i="3" s="1"/>
  <c r="N18" i="3"/>
  <c r="I18" i="3"/>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H58" i="12" s="1"/>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D124" i="6"/>
  <c r="I124" i="6"/>
  <c r="O124" i="6"/>
  <c r="E124" i="6"/>
  <c r="K124" i="6"/>
  <c r="H49" i="5"/>
  <c r="H48" i="5"/>
  <c r="H47" i="5"/>
  <c r="H46" i="5"/>
  <c r="H45" i="5"/>
  <c r="H44" i="5"/>
  <c r="H43" i="5"/>
  <c r="H42" i="5"/>
  <c r="H41" i="5"/>
  <c r="J41" i="5" s="1"/>
  <c r="H40" i="5"/>
  <c r="H39" i="5"/>
  <c r="H38" i="5"/>
  <c r="H37" i="5"/>
  <c r="H36" i="5"/>
  <c r="H35" i="5"/>
  <c r="L34" i="5"/>
  <c r="H34" i="5"/>
  <c r="H33" i="5"/>
  <c r="H32" i="5"/>
  <c r="J32" i="5" s="1"/>
  <c r="H31" i="5"/>
  <c r="H30" i="5"/>
  <c r="L29" i="5"/>
  <c r="H29" i="5"/>
  <c r="H28" i="5"/>
  <c r="J28" i="5" s="1"/>
  <c r="H27" i="5"/>
  <c r="H26" i="5"/>
  <c r="H25" i="5"/>
  <c r="H24" i="5"/>
  <c r="H23" i="5"/>
  <c r="H22" i="5"/>
  <c r="H21" i="5"/>
  <c r="J21" i="5" s="1"/>
  <c r="H20" i="5"/>
  <c r="H19" i="5"/>
  <c r="H18" i="5"/>
  <c r="H17" i="5"/>
  <c r="L16" i="5"/>
  <c r="H16" i="5"/>
  <c r="H15" i="5"/>
  <c r="H14" i="5"/>
  <c r="H13" i="5"/>
  <c r="H12" i="5"/>
  <c r="J12" i="5" s="1"/>
  <c r="H11" i="5"/>
  <c r="H10" i="5"/>
  <c r="H9" i="5"/>
  <c r="L8" i="5"/>
  <c r="H8" i="5"/>
  <c r="H7" i="5"/>
  <c r="O189" i="7"/>
  <c r="K189" i="7"/>
  <c r="J189" i="12" s="1"/>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M23" i="12"/>
  <c r="O25" i="12"/>
  <c r="M13" i="12"/>
  <c r="M25" i="12"/>
  <c r="M61" i="12"/>
  <c r="O40" i="12"/>
  <c r="M46" i="12"/>
  <c r="M74" i="12"/>
  <c r="M78" i="12"/>
  <c r="O61" i="12"/>
  <c r="M82" i="12"/>
  <c r="M86" i="12"/>
  <c r="M90" i="12"/>
  <c r="M94" i="12"/>
  <c r="M98" i="12"/>
  <c r="M85" i="12"/>
  <c r="M111" i="12"/>
  <c r="M156" i="12"/>
  <c r="M160" i="12"/>
  <c r="N134" i="12"/>
  <c r="N135" i="12"/>
  <c r="M161" i="12"/>
  <c r="M185" i="12"/>
  <c r="M184" i="12"/>
  <c r="L165" i="12"/>
  <c r="C7" i="6"/>
  <c r="G7" i="6"/>
  <c r="K7" i="6"/>
  <c r="O7" i="6"/>
  <c r="E7" i="6"/>
  <c r="J7" i="6"/>
  <c r="B7" i="6"/>
  <c r="H7" i="6"/>
  <c r="M7" i="6"/>
  <c r="D7" i="6"/>
  <c r="N7" i="6"/>
  <c r="I7" i="6"/>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H56" i="6"/>
  <c r="P56" i="12" s="1"/>
  <c r="M56" i="6"/>
  <c r="B48" i="6"/>
  <c r="F48" i="6"/>
  <c r="J48" i="6"/>
  <c r="N48" i="6"/>
  <c r="C48" i="6"/>
  <c r="H48" i="6"/>
  <c r="P48" i="12" s="1"/>
  <c r="M48" i="6"/>
  <c r="E48" i="6"/>
  <c r="K48" i="6"/>
  <c r="N45" i="6"/>
  <c r="I40" i="6"/>
  <c r="Q40" i="12" s="1"/>
  <c r="N37" i="6"/>
  <c r="N34" i="6"/>
  <c r="I32" i="6"/>
  <c r="B10" i="6"/>
  <c r="F10" i="6"/>
  <c r="J10" i="6"/>
  <c r="N10" i="6"/>
  <c r="C10" i="6"/>
  <c r="L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60" i="12"/>
  <c r="Q148" i="12"/>
  <c r="D142" i="6"/>
  <c r="H142" i="6"/>
  <c r="L142" i="6"/>
  <c r="O142" i="12" s="1"/>
  <c r="C137" i="6"/>
  <c r="G137" i="6"/>
  <c r="K137" i="6"/>
  <c r="R137" i="12" s="1"/>
  <c r="O137" i="6"/>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O22" i="7"/>
  <c r="K22" i="7"/>
  <c r="G22" i="7"/>
  <c r="O18" i="7"/>
  <c r="K18" i="7"/>
  <c r="G18" i="7"/>
  <c r="O14" i="7"/>
  <c r="K14" i="7"/>
  <c r="G14" i="7"/>
  <c r="L11" i="7"/>
  <c r="H11" i="7"/>
  <c r="O10" i="7"/>
  <c r="K10" i="7"/>
  <c r="G10" i="7"/>
  <c r="L7" i="7"/>
  <c r="H7" i="7"/>
  <c r="D7" i="7"/>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O175" i="6"/>
  <c r="K175" i="6"/>
  <c r="N175" i="12" s="1"/>
  <c r="G175" i="6"/>
  <c r="L172" i="6"/>
  <c r="H172" i="6"/>
  <c r="L172" i="12" s="1"/>
  <c r="D172" i="6"/>
  <c r="O171" i="6"/>
  <c r="K171" i="6"/>
  <c r="G171" i="6"/>
  <c r="C171" i="6"/>
  <c r="S169" i="12"/>
  <c r="L168" i="6"/>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L156" i="6"/>
  <c r="O156" i="12" s="1"/>
  <c r="H156" i="6"/>
  <c r="P156" i="12" s="1"/>
  <c r="D156" i="6"/>
  <c r="O155" i="6"/>
  <c r="K155" i="6"/>
  <c r="N155" i="12" s="1"/>
  <c r="G155" i="6"/>
  <c r="C155" i="6"/>
  <c r="L152" i="6"/>
  <c r="O152" i="12" s="1"/>
  <c r="H152" i="6"/>
  <c r="L152" i="12" s="1"/>
  <c r="D152" i="6"/>
  <c r="O151" i="6"/>
  <c r="K151" i="6"/>
  <c r="G151" i="6"/>
  <c r="C151" i="6"/>
  <c r="L151" i="5" s="1"/>
  <c r="L148" i="6"/>
  <c r="O148" i="12" s="1"/>
  <c r="H148" i="6"/>
  <c r="P148" i="12" s="1"/>
  <c r="D148" i="6"/>
  <c r="O147" i="6"/>
  <c r="K147" i="6"/>
  <c r="G147" i="6"/>
  <c r="C147" i="6"/>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97" i="12"/>
  <c r="P89" i="12"/>
  <c r="Q85" i="12"/>
  <c r="Q77"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P119" i="12"/>
  <c r="R111" i="12"/>
  <c r="O109" i="6"/>
  <c r="K109" i="6"/>
  <c r="G109" i="6"/>
  <c r="C109" i="6"/>
  <c r="O105" i="6"/>
  <c r="K105" i="6"/>
  <c r="S105" i="12" s="1"/>
  <c r="G105" i="6"/>
  <c r="C105" i="6"/>
  <c r="S103" i="12"/>
  <c r="R103" i="12"/>
  <c r="O101" i="6"/>
  <c r="K101" i="6"/>
  <c r="S101" i="12" s="1"/>
  <c r="G101" i="6"/>
  <c r="C101" i="6"/>
  <c r="O97" i="6"/>
  <c r="K97" i="6"/>
  <c r="S97" i="12" s="1"/>
  <c r="G97" i="6"/>
  <c r="C97" i="6"/>
  <c r="L97" i="5" s="1"/>
  <c r="S95" i="12"/>
  <c r="O93" i="6"/>
  <c r="K93" i="6"/>
  <c r="N93" i="12" s="1"/>
  <c r="G93" i="6"/>
  <c r="C93" i="6"/>
  <c r="O89" i="6"/>
  <c r="K89" i="6"/>
  <c r="N89" i="12" s="1"/>
  <c r="G89" i="6"/>
  <c r="C89" i="6"/>
  <c r="L89" i="5" s="1"/>
  <c r="O85" i="6"/>
  <c r="K85" i="6"/>
  <c r="N85" i="12" s="1"/>
  <c r="G85" i="6"/>
  <c r="C85" i="6"/>
  <c r="L85" i="5" s="1"/>
  <c r="O81" i="6"/>
  <c r="K81" i="6"/>
  <c r="R81" i="12" s="1"/>
  <c r="G81" i="6"/>
  <c r="C81" i="6"/>
  <c r="O77" i="6"/>
  <c r="K77" i="6"/>
  <c r="S77" i="12" s="1"/>
  <c r="G77" i="6"/>
  <c r="C77" i="6"/>
  <c r="L77" i="5" s="1"/>
  <c r="O73" i="6"/>
  <c r="K73" i="6"/>
  <c r="R73" i="12" s="1"/>
  <c r="G73" i="6"/>
  <c r="C73" i="6"/>
  <c r="O69" i="6"/>
  <c r="K69" i="6"/>
  <c r="N69" i="12" s="1"/>
  <c r="G69" i="6"/>
  <c r="C69" i="6"/>
  <c r="L69" i="5" s="1"/>
  <c r="M69" i="5" s="1"/>
  <c r="N65" i="6"/>
  <c r="I65" i="6"/>
  <c r="D65" i="6"/>
  <c r="D62" i="6"/>
  <c r="H62" i="6"/>
  <c r="L62" i="6"/>
  <c r="O62" i="12" s="1"/>
  <c r="O60" i="6"/>
  <c r="I60" i="6"/>
  <c r="Q60" i="12" s="1"/>
  <c r="D60" i="6"/>
  <c r="C57" i="6"/>
  <c r="G57" i="6"/>
  <c r="K57" i="6"/>
  <c r="N57" i="12" s="1"/>
  <c r="O57" i="6"/>
  <c r="N54" i="6"/>
  <c r="I54" i="6"/>
  <c r="Q54" i="12" s="1"/>
  <c r="C54" i="6"/>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B36" i="6"/>
  <c r="F36" i="6"/>
  <c r="J36" i="6"/>
  <c r="N36" i="6"/>
  <c r="N33" i="6"/>
  <c r="I33" i="6"/>
  <c r="Q33" i="12" s="1"/>
  <c r="D33" i="6"/>
  <c r="Q30" i="12"/>
  <c r="B30" i="6"/>
  <c r="F30" i="6"/>
  <c r="J30" i="6"/>
  <c r="N30" i="6"/>
  <c r="D30" i="6"/>
  <c r="H30" i="6"/>
  <c r="L30" i="12" s="1"/>
  <c r="L30" i="6"/>
  <c r="O30" i="12" s="1"/>
  <c r="B26" i="6"/>
  <c r="F26" i="6"/>
  <c r="J26" i="6"/>
  <c r="N26" i="6"/>
  <c r="C26" i="6"/>
  <c r="L26" i="5" s="1"/>
  <c r="H26" i="6"/>
  <c r="M26" i="6"/>
  <c r="E26" i="6"/>
  <c r="K26" i="6"/>
  <c r="S26" i="12" s="1"/>
  <c r="F23" i="6"/>
  <c r="F20" i="6"/>
  <c r="B18" i="6"/>
  <c r="F18" i="6"/>
  <c r="J18" i="6"/>
  <c r="N18" i="6"/>
  <c r="E18" i="6"/>
  <c r="K18" i="6"/>
  <c r="S18" i="12" s="1"/>
  <c r="C18" i="6"/>
  <c r="H18" i="6"/>
  <c r="M18" i="6"/>
  <c r="F12" i="6"/>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O29" i="6"/>
  <c r="K29" i="6"/>
  <c r="G29" i="6"/>
  <c r="N24" i="6"/>
  <c r="I24" i="6"/>
  <c r="M24" i="12" s="1"/>
  <c r="B22" i="6"/>
  <c r="F22" i="6"/>
  <c r="J22" i="6"/>
  <c r="N22" i="6"/>
  <c r="N19" i="6"/>
  <c r="I19" i="6"/>
  <c r="D16" i="6"/>
  <c r="H16" i="6"/>
  <c r="P16" i="12" s="1"/>
  <c r="L16" i="6"/>
  <c r="O16" i="12" s="1"/>
  <c r="O14" i="6"/>
  <c r="I14" i="6"/>
  <c r="Q11" i="12"/>
  <c r="C11" i="6"/>
  <c r="G11" i="6"/>
  <c r="K11" i="6"/>
  <c r="N11" i="12" s="1"/>
  <c r="O11" i="6"/>
  <c r="N8" i="6"/>
  <c r="I8" i="6"/>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8" i="6"/>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Q13" i="12"/>
  <c r="R13" i="12"/>
  <c r="P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4" i="12"/>
  <c r="F184" i="12"/>
  <c r="D184" i="12"/>
  <c r="B180" i="12"/>
  <c r="F180" i="12"/>
  <c r="D180" i="12"/>
  <c r="B176" i="12"/>
  <c r="F176" i="12"/>
  <c r="N176" i="12"/>
  <c r="D176" i="12"/>
  <c r="M172" i="12"/>
  <c r="E172" i="12"/>
  <c r="E168" i="12"/>
  <c r="E164" i="12"/>
  <c r="C162" i="12"/>
  <c r="G162" i="12"/>
  <c r="D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D186" i="12"/>
  <c r="B186" i="12"/>
  <c r="F186" i="12"/>
  <c r="G184" i="12"/>
  <c r="D182" i="12"/>
  <c r="B182" i="12"/>
  <c r="F182" i="12"/>
  <c r="G180" i="12"/>
  <c r="D178" i="12"/>
  <c r="B178" i="12"/>
  <c r="F178" i="12"/>
  <c r="G176" i="12"/>
  <c r="D174" i="12"/>
  <c r="B174" i="12"/>
  <c r="F174" i="12"/>
  <c r="M170" i="12"/>
  <c r="E170" i="12"/>
  <c r="E166" i="12"/>
  <c r="S164"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G175" i="12"/>
  <c r="G171" i="12"/>
  <c r="O167" i="12"/>
  <c r="G167" i="12"/>
  <c r="G163" i="12"/>
  <c r="D160" i="12"/>
  <c r="G159" i="12"/>
  <c r="D156" i="12"/>
  <c r="O155" i="12"/>
  <c r="G155" i="12"/>
  <c r="D152" i="12"/>
  <c r="G151" i="12"/>
  <c r="F150" i="12"/>
  <c r="B150" i="12"/>
  <c r="D148" i="12"/>
  <c r="G147" i="12"/>
  <c r="F146" i="12"/>
  <c r="B146" i="12"/>
  <c r="P144" i="12"/>
  <c r="L144" i="12"/>
  <c r="D144" i="12"/>
  <c r="G142" i="12"/>
  <c r="E141" i="12"/>
  <c r="D138" i="12"/>
  <c r="B136" i="12"/>
  <c r="F136" i="12"/>
  <c r="E134" i="12"/>
  <c r="E132" i="12"/>
  <c r="S130" i="12"/>
  <c r="N130" i="12"/>
  <c r="C129" i="12"/>
  <c r="G129" i="12"/>
  <c r="O129" i="12"/>
  <c r="G126" i="12"/>
  <c r="E125" i="12"/>
  <c r="D122" i="12"/>
  <c r="B118" i="12"/>
  <c r="F118" i="12"/>
  <c r="D118" i="12"/>
  <c r="B114" i="12"/>
  <c r="F114" i="12"/>
  <c r="R114" i="12"/>
  <c r="D114" i="12"/>
  <c r="B110" i="12"/>
  <c r="F110" i="12"/>
  <c r="R110" i="12"/>
  <c r="D110" i="12"/>
  <c r="S108" i="12"/>
  <c r="B106" i="12"/>
  <c r="F106" i="12"/>
  <c r="D106" i="12"/>
  <c r="B102" i="12"/>
  <c r="F102" i="12"/>
  <c r="D102" i="12"/>
  <c r="D142" i="12"/>
  <c r="B140" i="12"/>
  <c r="F140" i="12"/>
  <c r="C133" i="12"/>
  <c r="G133" i="12"/>
  <c r="D126" i="12"/>
  <c r="B124" i="12"/>
  <c r="F124" i="12"/>
  <c r="D120" i="12"/>
  <c r="P120" i="12"/>
  <c r="B120" i="12"/>
  <c r="F120" i="12"/>
  <c r="D116" i="12"/>
  <c r="B116" i="12"/>
  <c r="F116" i="12"/>
  <c r="D112" i="12"/>
  <c r="P112" i="12"/>
  <c r="B112" i="12"/>
  <c r="F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D133" i="12"/>
  <c r="B132" i="12"/>
  <c r="F132" i="12"/>
  <c r="C126" i="12"/>
  <c r="C125" i="12"/>
  <c r="G125" i="12"/>
  <c r="D124" i="12"/>
  <c r="E120" i="12"/>
  <c r="E116" i="12"/>
  <c r="M112" i="12"/>
  <c r="E112"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E76" i="12"/>
  <c r="D73" i="12"/>
  <c r="B71" i="12"/>
  <c r="F71" i="12"/>
  <c r="D71" i="12"/>
  <c r="G69" i="12"/>
  <c r="R68" i="12"/>
  <c r="D60" i="12"/>
  <c r="L60" i="12"/>
  <c r="P60" i="12"/>
  <c r="B60" i="12"/>
  <c r="G60" i="12"/>
  <c r="E60" i="12"/>
  <c r="Q52" i="12"/>
  <c r="N51" i="12"/>
  <c r="D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F86" i="12"/>
  <c r="D84" i="12"/>
  <c r="D81" i="12"/>
  <c r="B79" i="12"/>
  <c r="F79" i="12"/>
  <c r="E77" i="12"/>
  <c r="E75" i="12"/>
  <c r="N68" i="12"/>
  <c r="C67" i="12"/>
  <c r="G67" i="12"/>
  <c r="S67" i="12"/>
  <c r="B67" i="12"/>
  <c r="E67" i="12"/>
  <c r="N59" i="12"/>
  <c r="B58" i="12"/>
  <c r="F58" i="12"/>
  <c r="N58" i="12"/>
  <c r="R58" i="12"/>
  <c r="C58" i="12"/>
  <c r="S58" i="12"/>
  <c r="E58" i="12"/>
  <c r="D52" i="12"/>
  <c r="L52" i="12"/>
  <c r="P52" i="12"/>
  <c r="E52" i="12"/>
  <c r="B52" i="12"/>
  <c r="G52" i="12"/>
  <c r="M52" i="12"/>
  <c r="G92" i="12"/>
  <c r="G88" i="12"/>
  <c r="G84" i="12"/>
  <c r="C77" i="12"/>
  <c r="C76" i="12"/>
  <c r="G76" i="12"/>
  <c r="D75" i="12"/>
  <c r="D69" i="12"/>
  <c r="B69" i="12"/>
  <c r="F69" i="12"/>
  <c r="D68" i="12"/>
  <c r="E68" i="12"/>
  <c r="S68" i="12"/>
  <c r="B68" i="12"/>
  <c r="G68" i="12"/>
  <c r="M68" i="12"/>
  <c r="Q68" i="12"/>
  <c r="G66" i="12"/>
  <c r="C59" i="12"/>
  <c r="G59" i="12"/>
  <c r="E59" i="12"/>
  <c r="B59" i="12"/>
  <c r="Q51" i="12"/>
  <c r="F51" i="12"/>
  <c r="D64" i="12"/>
  <c r="B62" i="12"/>
  <c r="F62" i="12"/>
  <c r="R62" i="12"/>
  <c r="C55" i="12"/>
  <c r="G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B22" i="12"/>
  <c r="F22" i="12"/>
  <c r="G20" i="12"/>
  <c r="D18" i="12"/>
  <c r="B18" i="12"/>
  <c r="F18" i="12"/>
  <c r="G16" i="12"/>
  <c r="D14" i="12"/>
  <c r="B14" i="12"/>
  <c r="F14" i="12"/>
  <c r="G12" i="12"/>
  <c r="D10" i="12"/>
  <c r="B10" i="12"/>
  <c r="F10" i="12"/>
  <c r="G8" i="12"/>
  <c r="C43" i="12"/>
  <c r="G43" i="12"/>
  <c r="S43" i="12"/>
  <c r="D36" i="12"/>
  <c r="L36" i="12"/>
  <c r="P36" i="12"/>
  <c r="E8" i="12"/>
  <c r="F183" i="13"/>
  <c r="F179" i="13"/>
  <c r="G72" i="12"/>
  <c r="C64" i="12"/>
  <c r="C63" i="12"/>
  <c r="G63" i="12"/>
  <c r="O63" i="12"/>
  <c r="D62" i="12"/>
  <c r="D56" i="12"/>
  <c r="N55" i="12"/>
  <c r="D55" i="12"/>
  <c r="B54" i="12"/>
  <c r="F54" i="12"/>
  <c r="C48" i="12"/>
  <c r="C47" i="12"/>
  <c r="G47" i="12"/>
  <c r="O47" i="12"/>
  <c r="D46" i="12"/>
  <c r="R44" i="12"/>
  <c r="G44" i="12"/>
  <c r="E43" i="12"/>
  <c r="D40" i="12"/>
  <c r="D39" i="12"/>
  <c r="B38" i="12"/>
  <c r="F38" i="12"/>
  <c r="O36" i="12"/>
  <c r="E36" i="12"/>
  <c r="E34" i="12"/>
  <c r="M30" i="12"/>
  <c r="E30" i="12"/>
  <c r="E26" i="12"/>
  <c r="E22" i="12"/>
  <c r="E18" i="12"/>
  <c r="E14" i="12"/>
  <c r="E10" i="12"/>
  <c r="F185" i="13"/>
  <c r="G183" i="13"/>
  <c r="F181" i="13"/>
  <c r="G179" i="13"/>
  <c r="G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D16" i="12"/>
  <c r="B12" i="12"/>
  <c r="F12" i="12"/>
  <c r="D12" i="12"/>
  <c r="B8" i="12"/>
  <c r="F8" i="12"/>
  <c r="D8" i="12"/>
  <c r="G35" i="12"/>
  <c r="G31" i="12"/>
  <c r="G27" i="12"/>
  <c r="G23" i="12"/>
  <c r="G19" i="12"/>
  <c r="O15" i="12"/>
  <c r="G15" i="12"/>
  <c r="G11" i="12"/>
  <c r="G7" i="12"/>
  <c r="G186" i="13"/>
  <c r="G182" i="13"/>
  <c r="G178" i="13"/>
  <c r="F177" i="13"/>
  <c r="F171" i="13"/>
  <c r="G169" i="13"/>
  <c r="E167" i="13"/>
  <c r="E161" i="13"/>
  <c r="G160" i="13"/>
  <c r="E156" i="13"/>
  <c r="F155" i="13"/>
  <c r="G153" i="13"/>
  <c r="E151" i="13"/>
  <c r="E145" i="13"/>
  <c r="G144" i="13"/>
  <c r="E140" i="13"/>
  <c r="F139" i="13"/>
  <c r="G137" i="13"/>
  <c r="E135" i="13"/>
  <c r="E129" i="13"/>
  <c r="G128" i="13"/>
  <c r="E124" i="13"/>
  <c r="F123" i="13"/>
  <c r="G121" i="13"/>
  <c r="E119" i="13"/>
  <c r="G115" i="13"/>
  <c r="G111" i="13"/>
  <c r="G107" i="13"/>
  <c r="G103" i="13"/>
  <c r="G99" i="13"/>
  <c r="G95" i="13"/>
  <c r="G91" i="13"/>
  <c r="G87" i="13"/>
  <c r="F82" i="13"/>
  <c r="E82" i="13"/>
  <c r="G79" i="13"/>
  <c r="E79" i="13"/>
  <c r="E68" i="13"/>
  <c r="G68" i="13"/>
  <c r="F175" i="13"/>
  <c r="G164" i="13"/>
  <c r="F159" i="13"/>
  <c r="G148" i="13"/>
  <c r="F143" i="13"/>
  <c r="G132" i="13"/>
  <c r="F127" i="13"/>
  <c r="E115" i="13"/>
  <c r="E111" i="13"/>
  <c r="E107" i="13"/>
  <c r="E103" i="13"/>
  <c r="E99" i="13"/>
  <c r="E95" i="13"/>
  <c r="E91" i="13"/>
  <c r="E87" i="13"/>
  <c r="E84" i="13"/>
  <c r="G84" i="13"/>
  <c r="G71" i="13"/>
  <c r="E71" i="13"/>
  <c r="G66" i="13"/>
  <c r="E175" i="13"/>
  <c r="E169" i="13"/>
  <c r="G168" i="13"/>
  <c r="E164" i="13"/>
  <c r="F163" i="13"/>
  <c r="G161" i="13"/>
  <c r="E159" i="13"/>
  <c r="E153" i="13"/>
  <c r="G152" i="13"/>
  <c r="E148" i="13"/>
  <c r="F147" i="13"/>
  <c r="G145" i="13"/>
  <c r="E143" i="13"/>
  <c r="E137" i="13"/>
  <c r="G136" i="13"/>
  <c r="E132" i="13"/>
  <c r="F131" i="13"/>
  <c r="G129" i="13"/>
  <c r="E127" i="13"/>
  <c r="E121" i="13"/>
  <c r="G120" i="13"/>
  <c r="F117" i="13"/>
  <c r="F113" i="13"/>
  <c r="F109" i="13"/>
  <c r="F105" i="13"/>
  <c r="F101" i="13"/>
  <c r="F97" i="13"/>
  <c r="F93" i="13"/>
  <c r="F89" i="13"/>
  <c r="F85" i="13"/>
  <c r="G76" i="13"/>
  <c r="E76" i="13"/>
  <c r="F74" i="13"/>
  <c r="E74" i="13"/>
  <c r="G63" i="13"/>
  <c r="E63" i="13"/>
  <c r="F167" i="13"/>
  <c r="G156" i="13"/>
  <c r="F151" i="13"/>
  <c r="G140" i="13"/>
  <c r="F135" i="13"/>
  <c r="G124" i="13"/>
  <c r="F119" i="13"/>
  <c r="F115" i="13"/>
  <c r="F111" i="13"/>
  <c r="F107" i="13"/>
  <c r="F103" i="13"/>
  <c r="F99" i="13"/>
  <c r="F95" i="13"/>
  <c r="F91" i="13"/>
  <c r="F87" i="13"/>
  <c r="F66" i="13"/>
  <c r="E66" i="13"/>
  <c r="F58" i="13"/>
  <c r="E58" i="13"/>
  <c r="G116" i="13"/>
  <c r="G112" i="13"/>
  <c r="G108" i="13"/>
  <c r="G104" i="13"/>
  <c r="G100" i="13"/>
  <c r="G96" i="13"/>
  <c r="G92" i="13"/>
  <c r="G88" i="13"/>
  <c r="G75" i="13"/>
  <c r="F70" i="13"/>
  <c r="E60" i="13"/>
  <c r="G59" i="13"/>
  <c r="E55" i="13"/>
  <c r="F54" i="13"/>
  <c r="G52" i="13"/>
  <c r="E50" i="13"/>
  <c r="E44" i="13"/>
  <c r="G43" i="13"/>
  <c r="E39" i="13"/>
  <c r="F38" i="13"/>
  <c r="G36" i="13"/>
  <c r="E34" i="13"/>
  <c r="G30" i="13"/>
  <c r="G26" i="13"/>
  <c r="G22" i="13"/>
  <c r="G18" i="13"/>
  <c r="G14" i="13"/>
  <c r="G10" i="13"/>
  <c r="G6" i="13"/>
  <c r="B184" i="14"/>
  <c r="F184" i="14"/>
  <c r="D184" i="14"/>
  <c r="G47" i="13"/>
  <c r="F42" i="13"/>
  <c r="D178" i="14"/>
  <c r="B178" i="14"/>
  <c r="F178" i="14"/>
  <c r="D168" i="14"/>
  <c r="C168" i="14"/>
  <c r="E168" i="14"/>
  <c r="B168" i="14"/>
  <c r="G83" i="13"/>
  <c r="F78" i="13"/>
  <c r="G67" i="13"/>
  <c r="F62" i="13"/>
  <c r="G60" i="13"/>
  <c r="E52" i="13"/>
  <c r="G51" i="13"/>
  <c r="E47" i="13"/>
  <c r="F46" i="13"/>
  <c r="G44" i="13"/>
  <c r="E42" i="13"/>
  <c r="E36" i="13"/>
  <c r="G35" i="13"/>
  <c r="F32" i="13"/>
  <c r="F28" i="13"/>
  <c r="F24" i="13"/>
  <c r="F20" i="13"/>
  <c r="F16" i="13"/>
  <c r="F12" i="13"/>
  <c r="F8" i="13"/>
  <c r="D182" i="14"/>
  <c r="B182" i="14"/>
  <c r="G182" i="14" s="1"/>
  <c r="F182" i="14"/>
  <c r="C174" i="14"/>
  <c r="D174" i="14"/>
  <c r="B174" i="14"/>
  <c r="G174" i="14" s="1"/>
  <c r="F174" i="14"/>
  <c r="G55" i="13"/>
  <c r="F50" i="13"/>
  <c r="G39" i="13"/>
  <c r="F34" i="13"/>
  <c r="F30" i="13"/>
  <c r="F26" i="13"/>
  <c r="F22" i="13"/>
  <c r="F18" i="13"/>
  <c r="F14" i="13"/>
  <c r="F10" i="13"/>
  <c r="F6" i="13"/>
  <c r="D186" i="14"/>
  <c r="B186" i="14"/>
  <c r="F186" i="14"/>
  <c r="B180" i="14"/>
  <c r="G180" i="14" s="1"/>
  <c r="F180" i="14"/>
  <c r="D180" i="14"/>
  <c r="E178" i="14"/>
  <c r="D176" i="14"/>
  <c r="E171" i="14"/>
  <c r="B170" i="14"/>
  <c r="F170" i="14"/>
  <c r="E166" i="14"/>
  <c r="B163" i="14"/>
  <c r="E160" i="14"/>
  <c r="E155" i="14"/>
  <c r="B154" i="14"/>
  <c r="G154" i="14" s="1"/>
  <c r="F154" i="14"/>
  <c r="B152" i="14"/>
  <c r="E150" i="14"/>
  <c r="F3" i="21" s="1"/>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G3" i="21" s="1"/>
  <c r="F150" i="14"/>
  <c r="D147"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F94" i="14"/>
  <c r="E92" i="14"/>
  <c r="E86" i="14"/>
  <c r="D84" i="14"/>
  <c r="D80" i="14"/>
  <c r="F78" i="14"/>
  <c r="B78" i="14"/>
  <c r="G78" i="14" s="1"/>
  <c r="D76" i="14"/>
  <c r="F74" i="14"/>
  <c r="B74" i="14"/>
  <c r="D72" i="14"/>
  <c r="F70" i="14"/>
  <c r="B70" i="14"/>
  <c r="D68" i="14"/>
  <c r="F66" i="14"/>
  <c r="B66" i="14"/>
  <c r="D64" i="14"/>
  <c r="E62" i="14"/>
  <c r="B59" i="14"/>
  <c r="E56" i="14"/>
  <c r="C52" i="14"/>
  <c r="E51" i="14"/>
  <c r="B50" i="14"/>
  <c r="G50" i="14" s="1"/>
  <c r="F50" i="14"/>
  <c r="B48" i="14"/>
  <c r="B44" i="14"/>
  <c r="G44" i="14" s="1"/>
  <c r="F44" i="14"/>
  <c r="D44" i="14"/>
  <c r="D38" i="14"/>
  <c r="B38" i="14"/>
  <c r="F38" i="14"/>
  <c r="B28" i="14"/>
  <c r="F28" i="14"/>
  <c r="D28" i="14"/>
  <c r="D22" i="14"/>
  <c r="B22" i="14"/>
  <c r="F22" i="14"/>
  <c r="B54" i="14"/>
  <c r="F54" i="14"/>
  <c r="D42" i="14"/>
  <c r="B42" i="14"/>
  <c r="F42" i="14"/>
  <c r="E40"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G4" i="21" s="1"/>
  <c r="F34" i="14"/>
  <c r="E32" i="14"/>
  <c r="B24" i="14"/>
  <c r="F24" i="14"/>
  <c r="D24" i="14"/>
  <c r="D20" i="14"/>
  <c r="F18" i="14"/>
  <c r="B18" i="14"/>
  <c r="G18" i="14" s="1"/>
  <c r="D16" i="14"/>
  <c r="F14" i="14"/>
  <c r="B14" i="14"/>
  <c r="G14" i="14" s="1"/>
  <c r="D12" i="14"/>
  <c r="F10" i="14"/>
  <c r="B10" i="14"/>
  <c r="D8" i="14"/>
  <c r="F20" i="14"/>
  <c r="D18" i="14"/>
  <c r="F16" i="14"/>
  <c r="D14" i="14"/>
  <c r="F12" i="14"/>
  <c r="D10" i="14"/>
  <c r="F8" i="14"/>
  <c r="L147" i="5" l="1"/>
  <c r="M147" i="5" s="1"/>
  <c r="L22" i="12"/>
  <c r="R59" i="12"/>
  <c r="S168" i="12"/>
  <c r="S91" i="12"/>
  <c r="S127" i="12"/>
  <c r="G160" i="2"/>
  <c r="Q73" i="12"/>
  <c r="H47" i="3"/>
  <c r="E87" i="3"/>
  <c r="J115" i="2"/>
  <c r="K115" i="2" s="1"/>
  <c r="G38" i="14"/>
  <c r="G74" i="14"/>
  <c r="G184" i="14"/>
  <c r="R16" i="12"/>
  <c r="S27" i="12"/>
  <c r="R12" i="12"/>
  <c r="J158" i="2"/>
  <c r="K158" i="2" s="1"/>
  <c r="F144" i="2"/>
  <c r="K111" i="3"/>
  <c r="K130" i="3"/>
  <c r="K3" i="21"/>
  <c r="N152" i="2"/>
  <c r="O152" i="2" s="1"/>
  <c r="H114" i="3"/>
  <c r="J57" i="2"/>
  <c r="K57" i="2" s="1"/>
  <c r="E55" i="5"/>
  <c r="F55" i="5" s="1"/>
  <c r="G55" i="5" s="1"/>
  <c r="E77" i="5"/>
  <c r="L67" i="5"/>
  <c r="M67" i="5" s="1"/>
  <c r="E56" i="5"/>
  <c r="E92" i="5"/>
  <c r="F92" i="5" s="1"/>
  <c r="G92" i="5" s="1"/>
  <c r="L109" i="5"/>
  <c r="M109" i="5" s="1"/>
  <c r="E116" i="5"/>
  <c r="F116" i="5" s="1"/>
  <c r="G116" i="5" s="1"/>
  <c r="L75" i="5"/>
  <c r="M75" i="5" s="1"/>
  <c r="L72" i="5"/>
  <c r="M72" i="5" s="1"/>
  <c r="E72" i="5"/>
  <c r="E68" i="5"/>
  <c r="F68" i="5" s="1"/>
  <c r="G68" i="5" s="1"/>
  <c r="L92" i="5"/>
  <c r="E93" i="5"/>
  <c r="F93" i="5" s="1"/>
  <c r="G93" i="5" s="1"/>
  <c r="L56" i="5"/>
  <c r="M56" i="5" s="1"/>
  <c r="L54" i="5"/>
  <c r="M54" i="5" s="1"/>
  <c r="L64" i="5"/>
  <c r="M64" i="5" s="1"/>
  <c r="E33" i="5"/>
  <c r="F33" i="5" s="1"/>
  <c r="G33" i="5" s="1"/>
  <c r="B6" i="28"/>
  <c r="L22" i="5"/>
  <c r="M22" i="5" s="1"/>
  <c r="E123" i="5"/>
  <c r="F123" i="5" s="1"/>
  <c r="G123" i="5" s="1"/>
  <c r="E140" i="5"/>
  <c r="F140" i="5" s="1"/>
  <c r="G140" i="5" s="1"/>
  <c r="G143" i="14"/>
  <c r="F147" i="2"/>
  <c r="G147" i="2"/>
  <c r="G148" i="2"/>
  <c r="F148" i="2"/>
  <c r="E162" i="5"/>
  <c r="F162" i="5" s="1"/>
  <c r="G162" i="5" s="1"/>
  <c r="L118" i="5"/>
  <c r="M118" i="5" s="1"/>
  <c r="E157" i="5"/>
  <c r="F157" i="5" s="1"/>
  <c r="G157" i="5" s="1"/>
  <c r="E151" i="5"/>
  <c r="E145" i="5"/>
  <c r="F145" i="5" s="1"/>
  <c r="G145" i="5" s="1"/>
  <c r="G125" i="14"/>
  <c r="P107" i="5"/>
  <c r="P137" i="5"/>
  <c r="J13" i="2"/>
  <c r="K13" i="2" s="1"/>
  <c r="E101" i="5"/>
  <c r="F101" i="5" s="1"/>
  <c r="G101" i="5" s="1"/>
  <c r="P7" i="5"/>
  <c r="G172" i="14"/>
  <c r="P98" i="5"/>
  <c r="G79" i="14"/>
  <c r="G97" i="14"/>
  <c r="H108" i="3"/>
  <c r="P8" i="5"/>
  <c r="P20" i="5"/>
  <c r="P125" i="5"/>
  <c r="N86" i="12"/>
  <c r="L160" i="12"/>
  <c r="N102" i="12"/>
  <c r="J149" i="2"/>
  <c r="K149" i="2" s="1"/>
  <c r="K93" i="3"/>
  <c r="H58" i="3"/>
  <c r="E85" i="3"/>
  <c r="K109" i="3"/>
  <c r="K182" i="3"/>
  <c r="E153" i="3"/>
  <c r="H42" i="3"/>
  <c r="E101" i="3"/>
  <c r="K132" i="3"/>
  <c r="K112" i="3"/>
  <c r="J27" i="5"/>
  <c r="G57" i="2"/>
  <c r="P139" i="5"/>
  <c r="P149" i="5"/>
  <c r="E231" i="11"/>
  <c r="E232" i="11" s="1"/>
  <c r="J231" i="11"/>
  <c r="H231" i="11"/>
  <c r="H232" i="11" s="1"/>
  <c r="N120" i="2"/>
  <c r="O120" i="2" s="1"/>
  <c r="D231" i="11"/>
  <c r="G231" i="11"/>
  <c r="I241" i="2"/>
  <c r="H241" i="2"/>
  <c r="K231" i="11"/>
  <c r="K232" i="11" s="1"/>
  <c r="M231" i="11"/>
  <c r="N231" i="11"/>
  <c r="N232" i="11" s="1"/>
  <c r="I64" i="8"/>
  <c r="F64" i="8"/>
  <c r="F65" i="8" s="1"/>
  <c r="C8" i="28"/>
  <c r="E50" i="5"/>
  <c r="E64" i="8"/>
  <c r="E65" i="8" s="1"/>
  <c r="E64" i="5"/>
  <c r="H64" i="8"/>
  <c r="H13" i="3"/>
  <c r="H36" i="3"/>
  <c r="E7" i="5"/>
  <c r="F7" i="5" s="1"/>
  <c r="G7" i="5" s="1"/>
  <c r="G236" i="3"/>
  <c r="G237" i="3" s="1"/>
  <c r="E81" i="5"/>
  <c r="E84" i="5"/>
  <c r="F84" i="5" s="1"/>
  <c r="G84" i="5" s="1"/>
  <c r="E21" i="5"/>
  <c r="F21" i="5" s="1"/>
  <c r="G21" i="5" s="1"/>
  <c r="E51" i="5"/>
  <c r="F51" i="5" s="1"/>
  <c r="G51" i="5" s="1"/>
  <c r="E76" i="5"/>
  <c r="F76" i="5" s="1"/>
  <c r="G76" i="5" s="1"/>
  <c r="I236" i="3"/>
  <c r="J236" i="3"/>
  <c r="J237" i="3" s="1"/>
  <c r="E132" i="5"/>
  <c r="F132" i="5" s="1"/>
  <c r="G132" i="5" s="1"/>
  <c r="H43" i="3"/>
  <c r="F236" i="3"/>
  <c r="E149" i="5"/>
  <c r="F149" i="5" s="1"/>
  <c r="G149" i="5" s="1"/>
  <c r="E19" i="5"/>
  <c r="F19" i="5" s="1"/>
  <c r="G19" i="5" s="1"/>
  <c r="E233" i="6"/>
  <c r="C233" i="6"/>
  <c r="S7" i="12"/>
  <c r="L233" i="6"/>
  <c r="M7" i="12"/>
  <c r="I233" i="6"/>
  <c r="L7" i="12"/>
  <c r="H233" i="6"/>
  <c r="F233" i="6"/>
  <c r="G233" i="6" s="1"/>
  <c r="N233" i="6"/>
  <c r="O233" i="6" s="1"/>
  <c r="B233" i="6"/>
  <c r="K233" i="6"/>
  <c r="M18" i="12"/>
  <c r="P69" i="12"/>
  <c r="Q80" i="12"/>
  <c r="R86" i="12"/>
  <c r="P76" i="12"/>
  <c r="N112" i="12"/>
  <c r="Q55" i="12"/>
  <c r="P79" i="12"/>
  <c r="O177" i="12"/>
  <c r="M12" i="12"/>
  <c r="N22" i="12"/>
  <c r="M108" i="12"/>
  <c r="N12" i="12"/>
  <c r="L9" i="12"/>
  <c r="Q62" i="12"/>
  <c r="O181" i="12"/>
  <c r="R27" i="12"/>
  <c r="L162" i="12"/>
  <c r="H23" i="3"/>
  <c r="G78" i="2"/>
  <c r="J109" i="2"/>
  <c r="K109" i="2" s="1"/>
  <c r="K18" i="3"/>
  <c r="J23" i="2"/>
  <c r="K23" i="2" s="1"/>
  <c r="N57" i="2"/>
  <c r="O57" i="2" s="1"/>
  <c r="N89" i="2"/>
  <c r="O89" i="2" s="1"/>
  <c r="F42" i="2"/>
  <c r="N106" i="2"/>
  <c r="O106" i="2" s="1"/>
  <c r="E67" i="3"/>
  <c r="N46" i="2"/>
  <c r="O46" i="2" s="1"/>
  <c r="N142" i="2"/>
  <c r="O142" i="2" s="1"/>
  <c r="G138" i="2"/>
  <c r="H25" i="3"/>
  <c r="H38" i="3"/>
  <c r="E46" i="3"/>
  <c r="J119" i="2"/>
  <c r="K119" i="2" s="1"/>
  <c r="N143" i="2"/>
  <c r="O143" i="2" s="1"/>
  <c r="N157" i="2"/>
  <c r="O157" i="2" s="1"/>
  <c r="F78" i="2"/>
  <c r="N148" i="2"/>
  <c r="O148" i="2" s="1"/>
  <c r="J59" i="2"/>
  <c r="K59" i="2" s="1"/>
  <c r="J139" i="2"/>
  <c r="K139" i="2" s="1"/>
  <c r="F138" i="2"/>
  <c r="J128" i="2"/>
  <c r="K128" i="2" s="1"/>
  <c r="K21" i="3"/>
  <c r="P57" i="12"/>
  <c r="J38" i="5"/>
  <c r="N54" i="12"/>
  <c r="M88" i="12"/>
  <c r="R54" i="12"/>
  <c r="Q91" i="12"/>
  <c r="M26" i="12"/>
  <c r="R22" i="12"/>
  <c r="P134" i="12"/>
  <c r="P169" i="12"/>
  <c r="L175" i="12"/>
  <c r="N82" i="2"/>
  <c r="O82" i="2" s="1"/>
  <c r="N163" i="7"/>
  <c r="I177" i="7"/>
  <c r="B119" i="7"/>
  <c r="H162" i="3"/>
  <c r="F12" i="5"/>
  <c r="G12" i="5" s="1"/>
  <c r="E165" i="3"/>
  <c r="I64" i="12"/>
  <c r="K42" i="3"/>
  <c r="E110" i="3"/>
  <c r="F44" i="2"/>
  <c r="C163" i="7"/>
  <c r="M26" i="5"/>
  <c r="M38" i="5"/>
  <c r="M34" i="5"/>
  <c r="E21" i="3"/>
  <c r="K126" i="3"/>
  <c r="E177" i="3"/>
  <c r="P86" i="5"/>
  <c r="E143" i="3"/>
  <c r="G122" i="14"/>
  <c r="G22" i="14"/>
  <c r="G94" i="14"/>
  <c r="M10" i="5"/>
  <c r="J7" i="5"/>
  <c r="J39" i="5"/>
  <c r="H94" i="3"/>
  <c r="E149" i="3"/>
  <c r="J36" i="5"/>
  <c r="H41" i="3"/>
  <c r="K180" i="3"/>
  <c r="P126" i="5"/>
  <c r="C57" i="7"/>
  <c r="D49" i="7"/>
  <c r="M97" i="7"/>
  <c r="E183" i="7"/>
  <c r="P48" i="5"/>
  <c r="H163" i="7"/>
  <c r="H163" i="12" s="1"/>
  <c r="J163" i="7"/>
  <c r="J150" i="2"/>
  <c r="K150" i="2" s="1"/>
  <c r="G48" i="2"/>
  <c r="O158" i="12"/>
  <c r="O154" i="12"/>
  <c r="O162" i="12"/>
  <c r="O33" i="12"/>
  <c r="P55" i="12"/>
  <c r="L142" i="5"/>
  <c r="M142" i="5" s="1"/>
  <c r="O143" i="12"/>
  <c r="O53" i="12"/>
  <c r="E95" i="5"/>
  <c r="F95" i="5" s="1"/>
  <c r="G95" i="5" s="1"/>
  <c r="E138" i="5"/>
  <c r="F138" i="5" s="1"/>
  <c r="G138" i="5" s="1"/>
  <c r="L47" i="5"/>
  <c r="M47" i="5" s="1"/>
  <c r="L164" i="5"/>
  <c r="M164" i="5" s="1"/>
  <c r="E99" i="5"/>
  <c r="F99" i="5" s="1"/>
  <c r="G99" i="5" s="1"/>
  <c r="E142" i="5"/>
  <c r="F142" i="5" s="1"/>
  <c r="G142" i="5" s="1"/>
  <c r="M36" i="12"/>
  <c r="M51" i="12"/>
  <c r="M147" i="12"/>
  <c r="L95" i="5"/>
  <c r="M95" i="5" s="1"/>
  <c r="E85" i="5"/>
  <c r="F85" i="5" s="1"/>
  <c r="G85" i="5" s="1"/>
  <c r="R52" i="12"/>
  <c r="M169" i="12"/>
  <c r="L32" i="5"/>
  <c r="M32" i="5" s="1"/>
  <c r="S40" i="12"/>
  <c r="O150" i="12"/>
  <c r="L154" i="12"/>
  <c r="E159" i="5"/>
  <c r="F159" i="5" s="1"/>
  <c r="G159" i="5" s="1"/>
  <c r="E141" i="5"/>
  <c r="F141" i="5" s="1"/>
  <c r="G141" i="5" s="1"/>
  <c r="S39" i="12"/>
  <c r="L156" i="5"/>
  <c r="M156" i="5" s="1"/>
  <c r="E107" i="5"/>
  <c r="F107" i="5" s="1"/>
  <c r="G107" i="5" s="1"/>
  <c r="L99" i="12"/>
  <c r="N149" i="12"/>
  <c r="L143" i="5"/>
  <c r="M143" i="5" s="1"/>
  <c r="E53" i="5"/>
  <c r="F53" i="5" s="1"/>
  <c r="G53" i="5" s="1"/>
  <c r="E154" i="5"/>
  <c r="F154" i="5" s="1"/>
  <c r="G154" i="5" s="1"/>
  <c r="N88" i="2"/>
  <c r="O88" i="2" s="1"/>
  <c r="R35" i="12"/>
  <c r="M50" i="12"/>
  <c r="S31" i="12"/>
  <c r="M138" i="12"/>
  <c r="M175" i="12"/>
  <c r="F119" i="7"/>
  <c r="J120" i="2"/>
  <c r="K120" i="2" s="1"/>
  <c r="Q31" i="12"/>
  <c r="I100" i="7"/>
  <c r="I100" i="12" s="1"/>
  <c r="J40" i="2"/>
  <c r="K40" i="2" s="1"/>
  <c r="E108" i="5"/>
  <c r="F108" i="5" s="1"/>
  <c r="G108" i="5" s="1"/>
  <c r="M96" i="12"/>
  <c r="Q37" i="12"/>
  <c r="N28" i="12"/>
  <c r="L141" i="5"/>
  <c r="M141" i="5" s="1"/>
  <c r="L117" i="12"/>
  <c r="O131" i="12"/>
  <c r="M121" i="12"/>
  <c r="L31" i="12"/>
  <c r="O174" i="12"/>
  <c r="E133" i="5"/>
  <c r="F133" i="5" s="1"/>
  <c r="G133" i="5" s="1"/>
  <c r="N47" i="12"/>
  <c r="L39" i="12"/>
  <c r="S46" i="12"/>
  <c r="M100" i="12"/>
  <c r="L153" i="12"/>
  <c r="O123" i="12"/>
  <c r="O97" i="12"/>
  <c r="E158" i="5"/>
  <c r="F158" i="5" s="1"/>
  <c r="G158" i="5" s="1"/>
  <c r="M39" i="12"/>
  <c r="L55" i="5"/>
  <c r="M55" i="5" s="1"/>
  <c r="O85" i="12"/>
  <c r="O115" i="12"/>
  <c r="N180" i="12"/>
  <c r="O144" i="12"/>
  <c r="L119" i="12"/>
  <c r="L31" i="5"/>
  <c r="M31" i="5" s="1"/>
  <c r="M176" i="12"/>
  <c r="E48" i="5"/>
  <c r="F48" i="5" s="1"/>
  <c r="G48" i="5" s="1"/>
  <c r="E134" i="5"/>
  <c r="F134" i="5" s="1"/>
  <c r="G134" i="5" s="1"/>
  <c r="Q41" i="12"/>
  <c r="K21" i="7"/>
  <c r="J21" i="12" s="1"/>
  <c r="O112" i="12"/>
  <c r="M180" i="7"/>
  <c r="E32" i="5"/>
  <c r="F32" i="5" s="1"/>
  <c r="G32" i="5" s="1"/>
  <c r="E52" i="5"/>
  <c r="F52" i="5" s="1"/>
  <c r="G52" i="5" s="1"/>
  <c r="M44" i="12"/>
  <c r="L37" i="5"/>
  <c r="M37" i="5" s="1"/>
  <c r="O127" i="12"/>
  <c r="M115" i="12"/>
  <c r="O49" i="12"/>
  <c r="L47" i="12"/>
  <c r="O166" i="12"/>
  <c r="L174" i="12"/>
  <c r="L106" i="5"/>
  <c r="M106" i="5" s="1"/>
  <c r="L134" i="5"/>
  <c r="M134" i="5" s="1"/>
  <c r="L39" i="5"/>
  <c r="M39" i="5" s="1"/>
  <c r="L102" i="5"/>
  <c r="M102" i="5" s="1"/>
  <c r="L110" i="5"/>
  <c r="M110" i="5" s="1"/>
  <c r="L152" i="5"/>
  <c r="M152" i="5" s="1"/>
  <c r="E150" i="5"/>
  <c r="F150" i="5" s="1"/>
  <c r="G150" i="5" s="1"/>
  <c r="L46" i="5"/>
  <c r="M46" i="5" s="1"/>
  <c r="L126" i="5"/>
  <c r="M126" i="5" s="1"/>
  <c r="Q35" i="12"/>
  <c r="Q43" i="12"/>
  <c r="M93" i="12"/>
  <c r="L105" i="12"/>
  <c r="L160" i="5"/>
  <c r="M160" i="5" s="1"/>
  <c r="E35" i="5"/>
  <c r="F35" i="5" s="1"/>
  <c r="G35" i="5" s="1"/>
  <c r="E147" i="5"/>
  <c r="F147" i="5" s="1"/>
  <c r="G147" i="5" s="1"/>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J135" i="12" s="1"/>
  <c r="C119" i="7"/>
  <c r="P10" i="5"/>
  <c r="D54" i="7"/>
  <c r="M83" i="5"/>
  <c r="E36" i="3"/>
  <c r="H171" i="3"/>
  <c r="P163" i="5"/>
  <c r="E155" i="7"/>
  <c r="R88" i="12"/>
  <c r="Q138" i="12"/>
  <c r="L89" i="12"/>
  <c r="L155" i="7"/>
  <c r="M54" i="7"/>
  <c r="O68" i="7"/>
  <c r="P105" i="12"/>
  <c r="O54" i="7"/>
  <c r="H155" i="7"/>
  <c r="F73" i="7"/>
  <c r="J55" i="2"/>
  <c r="K55" i="2" s="1"/>
  <c r="J67" i="2"/>
  <c r="K67" i="2" s="1"/>
  <c r="J60" i="2"/>
  <c r="K60" i="2" s="1"/>
  <c r="H54" i="7"/>
  <c r="H54" i="12" s="1"/>
  <c r="K54" i="7"/>
  <c r="J54" i="12" s="1"/>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K80" i="12" s="1"/>
  <c r="H20" i="3"/>
  <c r="O146" i="7"/>
  <c r="E146" i="7"/>
  <c r="H59" i="3"/>
  <c r="E57" i="3"/>
  <c r="N54" i="7"/>
  <c r="F68" i="7"/>
  <c r="J54" i="7"/>
  <c r="K72" i="12"/>
  <c r="N184" i="2"/>
  <c r="O184" i="2" s="1"/>
  <c r="N50" i="2"/>
  <c r="O50" i="2" s="1"/>
  <c r="H24" i="3"/>
  <c r="F155" i="7"/>
  <c r="P22" i="5"/>
  <c r="Q169" i="12"/>
  <c r="I53" i="7"/>
  <c r="I53" i="12" s="1"/>
  <c r="B33" i="7"/>
  <c r="H98" i="7"/>
  <c r="H98" i="12" s="1"/>
  <c r="N69" i="7"/>
  <c r="K95" i="12"/>
  <c r="F25" i="7"/>
  <c r="L35" i="7"/>
  <c r="M90" i="7"/>
  <c r="H160" i="7"/>
  <c r="H160" i="12" s="1"/>
  <c r="M88" i="5"/>
  <c r="E29" i="5"/>
  <c r="F29" i="5" s="1"/>
  <c r="G29" i="5" s="1"/>
  <c r="N33" i="2"/>
  <c r="O33" i="2" s="1"/>
  <c r="N94" i="2"/>
  <c r="O94" i="2" s="1"/>
  <c r="I98" i="7"/>
  <c r="I98" i="12" s="1"/>
  <c r="E80" i="7"/>
  <c r="G117" i="7"/>
  <c r="M164" i="7"/>
  <c r="O13" i="7"/>
  <c r="N68" i="7"/>
  <c r="L183" i="7"/>
  <c r="I13" i="7"/>
  <c r="I13" i="12" s="1"/>
  <c r="K91" i="7"/>
  <c r="G96" i="14"/>
  <c r="N62" i="12"/>
  <c r="Q27" i="12"/>
  <c r="K98" i="7"/>
  <c r="J98" i="12" s="1"/>
  <c r="I35" i="7"/>
  <c r="I35" i="12" s="1"/>
  <c r="J53" i="7"/>
  <c r="D35" i="7"/>
  <c r="E90" i="3"/>
  <c r="K122" i="3"/>
  <c r="K156" i="3"/>
  <c r="L25" i="7"/>
  <c r="K25" i="12" s="1"/>
  <c r="K20" i="3"/>
  <c r="K88" i="7"/>
  <c r="F134" i="7"/>
  <c r="M158" i="7"/>
  <c r="O155" i="7"/>
  <c r="B183" i="7"/>
  <c r="I96" i="7"/>
  <c r="I96" i="12" s="1"/>
  <c r="O88" i="7"/>
  <c r="H134" i="7"/>
  <c r="H134" i="12" s="1"/>
  <c r="G35" i="7"/>
  <c r="E28" i="3"/>
  <c r="D33" i="7"/>
  <c r="L104" i="12"/>
  <c r="R24" i="12"/>
  <c r="N156" i="12"/>
  <c r="L135" i="12"/>
  <c r="I90" i="7"/>
  <c r="I90" i="12" s="1"/>
  <c r="C98" i="7"/>
  <c r="H13" i="7"/>
  <c r="H13" i="12" s="1"/>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K134" i="12" s="1"/>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J24" i="12" s="1"/>
  <c r="F91" i="7"/>
  <c r="N96" i="7"/>
  <c r="G88" i="7"/>
  <c r="I88" i="7"/>
  <c r="I88" i="12" s="1"/>
  <c r="F88" i="7"/>
  <c r="G183" i="7"/>
  <c r="J52" i="7"/>
  <c r="M25" i="7"/>
  <c r="J158" i="7"/>
  <c r="C73" i="7"/>
  <c r="B158" i="7"/>
  <c r="G162" i="14"/>
  <c r="G26" i="14"/>
  <c r="M146" i="12"/>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J134" i="12" s="1"/>
  <c r="S83" i="12"/>
  <c r="B13" i="7"/>
  <c r="I25" i="7"/>
  <c r="I25" i="12" s="1"/>
  <c r="I51" i="7"/>
  <c r="E90" i="7"/>
  <c r="C134" i="7"/>
  <c r="K90" i="7"/>
  <c r="J90" i="12" s="1"/>
  <c r="M53" i="7"/>
  <c r="E98" i="7"/>
  <c r="K158" i="3"/>
  <c r="L6" i="3"/>
  <c r="C53" i="7"/>
  <c r="E96" i="7"/>
  <c r="F96" i="7"/>
  <c r="L88" i="7"/>
  <c r="D134" i="7"/>
  <c r="I155" i="7"/>
  <c r="O183" i="7"/>
  <c r="K147" i="3"/>
  <c r="M35" i="7"/>
  <c r="H25" i="7"/>
  <c r="H25" i="12" s="1"/>
  <c r="I91" i="7"/>
  <c r="I91" i="12" s="1"/>
  <c r="B90" i="7"/>
  <c r="N190" i="2"/>
  <c r="O190" i="2" s="1"/>
  <c r="R47" i="12"/>
  <c r="O103" i="12"/>
  <c r="L101" i="12"/>
  <c r="I117" i="7"/>
  <c r="O25" i="7"/>
  <c r="E53" i="7"/>
  <c r="J90" i="7"/>
  <c r="G90" i="7"/>
  <c r="N25" i="7"/>
  <c r="J98" i="7"/>
  <c r="J157" i="5"/>
  <c r="K95" i="3"/>
  <c r="I6" i="3"/>
  <c r="N113" i="2"/>
  <c r="O113" i="2" s="1"/>
  <c r="K96" i="7"/>
  <c r="J96" i="12" s="1"/>
  <c r="B96" i="7"/>
  <c r="H88" i="7"/>
  <c r="H88" i="12" s="1"/>
  <c r="M88" i="7"/>
  <c r="I134" i="7"/>
  <c r="I134" i="12" s="1"/>
  <c r="N155" i="7"/>
  <c r="G25" i="7"/>
  <c r="M183" i="7"/>
  <c r="F52" i="2"/>
  <c r="P146" i="12"/>
  <c r="P172" i="12"/>
  <c r="R154" i="12"/>
  <c r="P124" i="12"/>
  <c r="N154" i="12"/>
  <c r="P30" i="12"/>
  <c r="S69" i="12"/>
  <c r="P159" i="5"/>
  <c r="O172" i="12"/>
  <c r="B249" i="2"/>
  <c r="L10" i="7"/>
  <c r="K10" i="12" s="1"/>
  <c r="L32" i="12"/>
  <c r="S137" i="12"/>
  <c r="L110" i="12"/>
  <c r="O104" i="12"/>
  <c r="P102" i="12"/>
  <c r="S116" i="12"/>
  <c r="L98" i="12"/>
  <c r="N137" i="12"/>
  <c r="S155" i="12"/>
  <c r="H48" i="3"/>
  <c r="L109" i="12"/>
  <c r="O107" i="12"/>
  <c r="S150" i="12"/>
  <c r="Q124" i="12"/>
  <c r="S162" i="12"/>
  <c r="R145" i="12"/>
  <c r="L108" i="5"/>
  <c r="M108" i="5" s="1"/>
  <c r="O105" i="12"/>
  <c r="R100" i="12"/>
  <c r="L107" i="12"/>
  <c r="O153" i="12"/>
  <c r="P157" i="12"/>
  <c r="P123" i="12"/>
  <c r="L100" i="5"/>
  <c r="M100" i="5" s="1"/>
  <c r="R131" i="12"/>
  <c r="O121" i="12"/>
  <c r="R148" i="12"/>
  <c r="M173" i="12"/>
  <c r="O151" i="12"/>
  <c r="N160" i="12"/>
  <c r="E117" i="5"/>
  <c r="F117" i="5" s="1"/>
  <c r="G117" i="5" s="1"/>
  <c r="O135" i="12"/>
  <c r="M122" i="12"/>
  <c r="Q112" i="12"/>
  <c r="O109" i="12"/>
  <c r="L121" i="12"/>
  <c r="S124" i="12"/>
  <c r="L124" i="5"/>
  <c r="M124" i="5" s="1"/>
  <c r="L146" i="5"/>
  <c r="M146" i="5" s="1"/>
  <c r="R170" i="12"/>
  <c r="E128" i="5"/>
  <c r="F128" i="5" s="1"/>
  <c r="G128" i="5" s="1"/>
  <c r="O117" i="12"/>
  <c r="L116" i="5"/>
  <c r="M116" i="5" s="1"/>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M150" i="5" s="1"/>
  <c r="Q113" i="12"/>
  <c r="L113" i="5"/>
  <c r="M113" i="5" s="1"/>
  <c r="P145" i="12"/>
  <c r="L145" i="5"/>
  <c r="M145" i="5" s="1"/>
  <c r="N120" i="12"/>
  <c r="P139" i="12"/>
  <c r="R165" i="12"/>
  <c r="Q117" i="12"/>
  <c r="S114" i="12"/>
  <c r="L151" i="12"/>
  <c r="E119" i="5"/>
  <c r="F119" i="5" s="1"/>
  <c r="G119" i="5" s="1"/>
  <c r="S123" i="12"/>
  <c r="P155" i="12"/>
  <c r="L128" i="5"/>
  <c r="M128" i="5" s="1"/>
  <c r="L137" i="12"/>
  <c r="S140" i="12"/>
  <c r="L140" i="5"/>
  <c r="M140" i="5" s="1"/>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48" i="2"/>
  <c r="K10" i="3"/>
  <c r="N182" i="12"/>
  <c r="M177" i="12"/>
  <c r="N174" i="12"/>
  <c r="N178" i="12"/>
  <c r="N185" i="12"/>
  <c r="N177" i="12"/>
  <c r="E29" i="3"/>
  <c r="N96" i="2"/>
  <c r="O96" i="2" s="1"/>
  <c r="G163" i="2"/>
  <c r="L146" i="7"/>
  <c r="K146" i="12" s="1"/>
  <c r="F193" i="2"/>
  <c r="P165" i="5"/>
  <c r="P13" i="5"/>
  <c r="P37" i="5"/>
  <c r="P73" i="5"/>
  <c r="P71" i="12"/>
  <c r="S89" i="12"/>
  <c r="M97" i="5"/>
  <c r="S115" i="12"/>
  <c r="O132" i="12"/>
  <c r="L51" i="12"/>
  <c r="M20" i="12"/>
  <c r="L15" i="7"/>
  <c r="K15" i="12" s="1"/>
  <c r="D117" i="7"/>
  <c r="C51" i="7"/>
  <c r="D91" i="7"/>
  <c r="J127" i="7"/>
  <c r="E15" i="7"/>
  <c r="L127" i="7"/>
  <c r="K127" i="12" s="1"/>
  <c r="D51" i="7"/>
  <c r="C62" i="7"/>
  <c r="B188" i="7"/>
  <c r="H170" i="7"/>
  <c r="J49" i="2"/>
  <c r="K49" i="2" s="1"/>
  <c r="F89" i="2"/>
  <c r="N105" i="2"/>
  <c r="O105" i="2" s="1"/>
  <c r="P108" i="5"/>
  <c r="I15" i="7"/>
  <c r="I15" i="12" s="1"/>
  <c r="O8" i="7"/>
  <c r="F51" i="7"/>
  <c r="D16" i="7"/>
  <c r="O24" i="7"/>
  <c r="N91" i="7"/>
  <c r="E60" i="7"/>
  <c r="C84" i="7"/>
  <c r="I118" i="7"/>
  <c r="I118" i="12" s="1"/>
  <c r="I170" i="7"/>
  <c r="P36" i="5"/>
  <c r="M16" i="7"/>
  <c r="E52" i="7"/>
  <c r="M38" i="7"/>
  <c r="F38" i="7"/>
  <c r="H65" i="7"/>
  <c r="H65" i="12" s="1"/>
  <c r="C65" i="7"/>
  <c r="I33" i="7"/>
  <c r="I33" i="12" s="1"/>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J117" i="12" s="1"/>
  <c r="F69" i="7"/>
  <c r="J86" i="5"/>
  <c r="K13" i="3"/>
  <c r="H74" i="3"/>
  <c r="K170" i="7"/>
  <c r="G61" i="2"/>
  <c r="C24" i="7"/>
  <c r="J43" i="7"/>
  <c r="B91" i="7"/>
  <c r="G187" i="2"/>
  <c r="G123" i="14"/>
  <c r="E38" i="7"/>
  <c r="D52" i="7"/>
  <c r="I60" i="7"/>
  <c r="I60" i="12" s="1"/>
  <c r="F62" i="7"/>
  <c r="J118" i="7"/>
  <c r="L52" i="7"/>
  <c r="K52" i="12" s="1"/>
  <c r="H86" i="7"/>
  <c r="H86" i="12" s="1"/>
  <c r="J169" i="7"/>
  <c r="G33" i="7"/>
  <c r="F127" i="7"/>
  <c r="E117" i="7"/>
  <c r="S34" i="12"/>
  <c r="S152" i="12"/>
  <c r="O118" i="7"/>
  <c r="B69" i="7"/>
  <c r="H181" i="12"/>
  <c r="K78" i="7"/>
  <c r="J78" i="12" s="1"/>
  <c r="H31" i="3"/>
  <c r="E74" i="3"/>
  <c r="G170" i="7"/>
  <c r="E25" i="3"/>
  <c r="F121" i="2"/>
  <c r="G167" i="14"/>
  <c r="P66" i="5"/>
  <c r="G52" i="7"/>
  <c r="K11" i="7"/>
  <c r="J11" i="12" s="1"/>
  <c r="N60" i="7"/>
  <c r="K60" i="7"/>
  <c r="J60" i="12" s="1"/>
  <c r="N123" i="7"/>
  <c r="K129" i="3"/>
  <c r="N38" i="7"/>
  <c r="C52" i="7"/>
  <c r="C60" i="7"/>
  <c r="E62" i="7"/>
  <c r="E86" i="7"/>
  <c r="F167" i="7"/>
  <c r="I188" i="7"/>
  <c r="I188" i="12" s="1"/>
  <c r="N136" i="2"/>
  <c r="O136" i="2" s="1"/>
  <c r="F86" i="7"/>
  <c r="M170" i="7"/>
  <c r="M52" i="7"/>
  <c r="K127" i="7"/>
  <c r="J127" i="12" s="1"/>
  <c r="E33" i="7"/>
  <c r="L33" i="7"/>
  <c r="K33" i="12" s="1"/>
  <c r="Q97" i="12"/>
  <c r="R69" i="12"/>
  <c r="R128" i="12"/>
  <c r="R152" i="12"/>
  <c r="R25" i="12"/>
  <c r="K15" i="7"/>
  <c r="J15" i="12" s="1"/>
  <c r="O38" i="7"/>
  <c r="K118" i="7"/>
  <c r="J118" i="12" s="1"/>
  <c r="H117" i="7"/>
  <c r="H117" i="12" s="1"/>
  <c r="G188" i="7"/>
  <c r="C170" i="7"/>
  <c r="E27" i="3"/>
  <c r="K164" i="3"/>
  <c r="N85" i="2"/>
  <c r="O85" i="2" s="1"/>
  <c r="F106" i="2"/>
  <c r="P84" i="5"/>
  <c r="K52" i="7"/>
  <c r="J52" i="12" s="1"/>
  <c r="C11" i="7"/>
  <c r="G60" i="7"/>
  <c r="N24" i="7"/>
  <c r="J60" i="7"/>
  <c r="D129" i="7"/>
  <c r="K56" i="3"/>
  <c r="E170" i="3"/>
  <c r="I38" i="7"/>
  <c r="I38" i="12" s="1"/>
  <c r="L65" i="7"/>
  <c r="K65" i="12" s="1"/>
  <c r="O164" i="7"/>
  <c r="H38" i="7"/>
  <c r="H38" i="12" s="1"/>
  <c r="J86" i="7"/>
  <c r="I169" i="7"/>
  <c r="I169" i="12" s="1"/>
  <c r="C188" i="7"/>
  <c r="J68" i="2"/>
  <c r="K68" i="2" s="1"/>
  <c r="J177" i="2"/>
  <c r="K177" i="2" s="1"/>
  <c r="K65" i="7"/>
  <c r="J65" i="12" s="1"/>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K188" i="12" s="1"/>
  <c r="L178" i="7"/>
  <c r="N102" i="2"/>
  <c r="O102" i="2" s="1"/>
  <c r="O52" i="7"/>
  <c r="O11" i="7"/>
  <c r="O60" i="7"/>
  <c r="J24" i="7"/>
  <c r="F60" i="7"/>
  <c r="I24" i="7"/>
  <c r="I24" i="12" s="1"/>
  <c r="I129" i="7"/>
  <c r="P99" i="5"/>
  <c r="D38" i="7"/>
  <c r="E65" i="7"/>
  <c r="L181" i="7"/>
  <c r="K181" i="12" s="1"/>
  <c r="N175" i="2"/>
  <c r="O175" i="2" s="1"/>
  <c r="B86" i="7"/>
  <c r="M181" i="7"/>
  <c r="E178" i="3"/>
  <c r="M65" i="7"/>
  <c r="D15" i="7"/>
  <c r="R98" i="12"/>
  <c r="I127" i="7"/>
  <c r="G38" i="7"/>
  <c r="I62" i="7"/>
  <c r="I62" i="12" s="1"/>
  <c r="E69" i="7"/>
  <c r="C118" i="7"/>
  <c r="J63" i="12"/>
  <c r="N117" i="7"/>
  <c r="M69" i="7"/>
  <c r="K77" i="3"/>
  <c r="H188" i="7"/>
  <c r="H188" i="12" s="1"/>
  <c r="N170" i="7"/>
  <c r="K188" i="7"/>
  <c r="J188" i="12" s="1"/>
  <c r="F61" i="2"/>
  <c r="N169" i="2"/>
  <c r="O169" i="2" s="1"/>
  <c r="G157" i="14"/>
  <c r="F24" i="7"/>
  <c r="E181" i="7"/>
  <c r="M8" i="7"/>
  <c r="D65" i="7"/>
  <c r="E129" i="7"/>
  <c r="O51" i="7"/>
  <c r="D181" i="7"/>
  <c r="H33" i="7"/>
  <c r="H33" i="12" s="1"/>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49" i="2"/>
  <c r="O65" i="7"/>
  <c r="M11" i="7"/>
  <c r="B24" i="7"/>
  <c r="L60" i="7"/>
  <c r="K60" i="12" s="1"/>
  <c r="J99" i="7"/>
  <c r="J181" i="7"/>
  <c r="P143" i="5"/>
  <c r="I86" i="7"/>
  <c r="E51" i="7"/>
  <c r="H64" i="3"/>
  <c r="K28" i="3"/>
  <c r="I181" i="7"/>
  <c r="I180" i="12" s="1"/>
  <c r="M33" i="7"/>
  <c r="K129" i="7"/>
  <c r="J129" i="12" s="1"/>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N86" i="7"/>
  <c r="G51" i="7"/>
  <c r="B181" i="7"/>
  <c r="L38" i="7"/>
  <c r="G31" i="14"/>
  <c r="O91" i="7"/>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H96" i="12" s="1"/>
  <c r="M96" i="7"/>
  <c r="E183" i="3"/>
  <c r="O96" i="7"/>
  <c r="J95" i="12"/>
  <c r="R125" i="12"/>
  <c r="H68" i="3"/>
  <c r="G122" i="2"/>
  <c r="H100" i="7"/>
  <c r="H100" i="12" s="1"/>
  <c r="F98" i="7"/>
  <c r="E132" i="7"/>
  <c r="B136" i="7"/>
  <c r="K132" i="7"/>
  <c r="L144" i="7"/>
  <c r="K144" i="12" s="1"/>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H123" i="12" s="1"/>
  <c r="G78" i="7"/>
  <c r="F89" i="7"/>
  <c r="H178" i="7"/>
  <c r="G137" i="2"/>
  <c r="F134" i="2"/>
  <c r="O16" i="7"/>
  <c r="E43" i="7"/>
  <c r="K55" i="7"/>
  <c r="E16" i="7"/>
  <c r="C121" i="7"/>
  <c r="C89" i="7"/>
  <c r="E89" i="7"/>
  <c r="F123" i="7"/>
  <c r="M77" i="5"/>
  <c r="H43" i="7"/>
  <c r="G87" i="7"/>
  <c r="D123" i="7"/>
  <c r="C78" i="7"/>
  <c r="B89" i="7"/>
  <c r="N121" i="7"/>
  <c r="D178" i="7"/>
  <c r="K16" i="7"/>
  <c r="J16" i="12" s="1"/>
  <c r="M43" i="7"/>
  <c r="F78" i="7"/>
  <c r="H121" i="7"/>
  <c r="H121" i="12" s="1"/>
  <c r="K87" i="7"/>
  <c r="J87" i="12" s="1"/>
  <c r="M178" i="7"/>
  <c r="M121" i="7"/>
  <c r="L89" i="7"/>
  <c r="K89" i="12" s="1"/>
  <c r="O123" i="7"/>
  <c r="S131" i="12"/>
  <c r="Q93" i="12"/>
  <c r="N122" i="12"/>
  <c r="D43" i="7"/>
  <c r="M87" i="7"/>
  <c r="I126" i="7"/>
  <c r="N133" i="7"/>
  <c r="J121" i="7"/>
  <c r="O178" i="7"/>
  <c r="E133" i="3"/>
  <c r="K148" i="3"/>
  <c r="J122" i="2"/>
  <c r="K122" i="2" s="1"/>
  <c r="G16" i="7"/>
  <c r="G43" i="7"/>
  <c r="M78" i="7"/>
  <c r="G123" i="7"/>
  <c r="I87" i="7"/>
  <c r="I87" i="12" s="1"/>
  <c r="I178" i="7"/>
  <c r="I178" i="12" s="1"/>
  <c r="I43" i="7"/>
  <c r="E123" i="7"/>
  <c r="P97" i="5"/>
  <c r="N66" i="2"/>
  <c r="O66" i="2" s="1"/>
  <c r="C16" i="7"/>
  <c r="B43" i="7"/>
  <c r="B78" i="7"/>
  <c r="M123" i="7"/>
  <c r="N87" i="7"/>
  <c r="E178" i="7"/>
  <c r="F43" i="7"/>
  <c r="M89" i="7"/>
  <c r="B123" i="7"/>
  <c r="H89" i="7"/>
  <c r="H89" i="12" s="1"/>
  <c r="G66" i="14"/>
  <c r="R28" i="12"/>
  <c r="L56" i="12"/>
  <c r="L123" i="12"/>
  <c r="H55" i="7"/>
  <c r="H55" i="12" s="1"/>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K126" i="12" s="1"/>
  <c r="R20" i="12"/>
  <c r="O9" i="12"/>
  <c r="O133" i="7"/>
  <c r="D78" i="7"/>
  <c r="E55" i="7"/>
  <c r="N186" i="7"/>
  <c r="F21" i="2"/>
  <c r="J25" i="2"/>
  <c r="K25" i="2" s="1"/>
  <c r="N160" i="2"/>
  <c r="O160" i="2" s="1"/>
  <c r="J16" i="7"/>
  <c r="I16" i="7"/>
  <c r="I16" i="12" s="1"/>
  <c r="E78" i="7"/>
  <c r="G191" i="2"/>
  <c r="G133" i="7"/>
  <c r="K123" i="7"/>
  <c r="J123" i="12" s="1"/>
  <c r="L55" i="7"/>
  <c r="N20" i="12"/>
  <c r="P168" i="12"/>
  <c r="Q143" i="12"/>
  <c r="I78" i="7"/>
  <c r="I78" i="12" s="1"/>
  <c r="E133" i="7"/>
  <c r="J55" i="7"/>
  <c r="E87" i="7"/>
  <c r="J128" i="5"/>
  <c r="N178" i="7"/>
  <c r="F16" i="7"/>
  <c r="N55" i="7"/>
  <c r="N170" i="12"/>
  <c r="L168" i="12"/>
  <c r="Q107" i="12"/>
  <c r="N78" i="7"/>
  <c r="D121" i="7"/>
  <c r="K133" i="7"/>
  <c r="J133" i="12" s="1"/>
  <c r="O55" i="7"/>
  <c r="J87" i="7"/>
  <c r="H133" i="7"/>
  <c r="H133" i="12" s="1"/>
  <c r="J140" i="5"/>
  <c r="J178" i="7"/>
  <c r="F81" i="2"/>
  <c r="B16" i="7"/>
  <c r="C55" i="7"/>
  <c r="K121" i="7"/>
  <c r="J121" i="12" s="1"/>
  <c r="S113" i="12"/>
  <c r="R124" i="12"/>
  <c r="L87" i="7"/>
  <c r="K87" i="12" s="1"/>
  <c r="I121" i="7"/>
  <c r="O87" i="7"/>
  <c r="M133" i="7"/>
  <c r="F178" i="7"/>
  <c r="J174" i="2"/>
  <c r="K174" i="2" s="1"/>
  <c r="L16" i="7"/>
  <c r="K16" i="12" s="1"/>
  <c r="I55" i="7"/>
  <c r="C123" i="7"/>
  <c r="L133" i="7"/>
  <c r="K133" i="12" s="1"/>
  <c r="M186" i="7"/>
  <c r="N124" i="12"/>
  <c r="H87" i="7"/>
  <c r="H87" i="12" s="1"/>
  <c r="G55" i="7"/>
  <c r="O121" i="7"/>
  <c r="O78" i="7"/>
  <c r="N89" i="7"/>
  <c r="G81" i="2"/>
  <c r="F137" i="2"/>
  <c r="G134" i="2"/>
  <c r="B55" i="7"/>
  <c r="O43" i="7"/>
  <c r="N43" i="7"/>
  <c r="I123" i="7"/>
  <c r="G21" i="7"/>
  <c r="S11" i="12"/>
  <c r="O168" i="12"/>
  <c r="N90" i="12"/>
  <c r="M134" i="12"/>
  <c r="L116" i="12"/>
  <c r="E97" i="5"/>
  <c r="F97" i="5" s="1"/>
  <c r="G97" i="5" s="1"/>
  <c r="N98" i="7"/>
  <c r="M49" i="7"/>
  <c r="D163" i="7"/>
  <c r="H97" i="7"/>
  <c r="H97" i="12" s="1"/>
  <c r="J180" i="12"/>
  <c r="L97" i="7"/>
  <c r="K97" i="12" s="1"/>
  <c r="N106" i="12"/>
  <c r="H121" i="3"/>
  <c r="H49" i="7"/>
  <c r="G49" i="7"/>
  <c r="O163" i="7"/>
  <c r="O175" i="7"/>
  <c r="P81" i="5"/>
  <c r="G116" i="7"/>
  <c r="P107" i="12"/>
  <c r="L111" i="12"/>
  <c r="O97" i="7"/>
  <c r="C49" i="7"/>
  <c r="K163" i="7"/>
  <c r="J163" i="12" s="1"/>
  <c r="E182" i="7"/>
  <c r="L109" i="7"/>
  <c r="J175" i="7"/>
  <c r="F111" i="7"/>
  <c r="P80" i="5"/>
  <c r="G37" i="7"/>
  <c r="I97" i="7"/>
  <c r="I97" i="12" s="1"/>
  <c r="D177" i="7"/>
  <c r="G163" i="7"/>
  <c r="I182" i="7"/>
  <c r="I182" i="12" s="1"/>
  <c r="E175" i="7"/>
  <c r="K97" i="7"/>
  <c r="J97" i="12" s="1"/>
  <c r="G175" i="7"/>
  <c r="I116" i="7"/>
  <c r="I116" i="12" s="1"/>
  <c r="D175" i="7"/>
  <c r="E116" i="7"/>
  <c r="N116" i="7"/>
  <c r="P154" i="12"/>
  <c r="B177" i="7"/>
  <c r="N177" i="7"/>
  <c r="G100" i="2"/>
  <c r="H116" i="7"/>
  <c r="J140" i="2"/>
  <c r="K140" i="2" s="1"/>
  <c r="I109" i="7"/>
  <c r="I109" i="12" s="1"/>
  <c r="J177" i="7"/>
  <c r="E118" i="7"/>
  <c r="B118" i="7"/>
  <c r="G69" i="2"/>
  <c r="H177" i="7"/>
  <c r="L116" i="7"/>
  <c r="G57" i="7"/>
  <c r="C177" i="7"/>
  <c r="M118" i="7"/>
  <c r="J73" i="2"/>
  <c r="K73" i="2" s="1"/>
  <c r="M177" i="7"/>
  <c r="E151" i="3"/>
  <c r="K49" i="7"/>
  <c r="M57" i="7"/>
  <c r="L37" i="7"/>
  <c r="K37" i="12" s="1"/>
  <c r="F175" i="7"/>
  <c r="F154" i="7"/>
  <c r="F116" i="7"/>
  <c r="M171" i="12"/>
  <c r="L57" i="7"/>
  <c r="K57" i="12" s="1"/>
  <c r="E163" i="7"/>
  <c r="I37" i="7"/>
  <c r="I37" i="12" s="1"/>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I49" i="12" s="1"/>
  <c r="L175" i="7"/>
  <c r="F163" i="7"/>
  <c r="L163" i="7"/>
  <c r="K163" i="12" s="1"/>
  <c r="C37" i="7"/>
  <c r="L177" i="7"/>
  <c r="E97" i="7"/>
  <c r="D13" i="28"/>
  <c r="D12" i="28"/>
  <c r="G153" i="2"/>
  <c r="E158" i="3"/>
  <c r="F179" i="2"/>
  <c r="K53" i="3"/>
  <c r="E142" i="3"/>
  <c r="F153" i="2"/>
  <c r="S85" i="12"/>
  <c r="J153" i="2"/>
  <c r="K153" i="2" s="1"/>
  <c r="P155" i="5"/>
  <c r="B10" i="28"/>
  <c r="J171" i="2"/>
  <c r="K171" i="2" s="1"/>
  <c r="D10" i="28"/>
  <c r="E250"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0" i="12" s="1"/>
  <c r="H161" i="7"/>
  <c r="H161" i="12" s="1"/>
  <c r="J10" i="7"/>
  <c r="Q149" i="12"/>
  <c r="G26" i="7"/>
  <c r="D131" i="7"/>
  <c r="I70" i="7"/>
  <c r="I70" i="12" s="1"/>
  <c r="E161" i="7"/>
  <c r="J179" i="7"/>
  <c r="H44" i="3"/>
  <c r="K131" i="7"/>
  <c r="J131" i="12" s="1"/>
  <c r="M161" i="7"/>
  <c r="M131" i="7"/>
  <c r="M10" i="7"/>
  <c r="C161" i="7"/>
  <c r="O131" i="7"/>
  <c r="K116" i="7"/>
  <c r="C26" i="7"/>
  <c r="G18" i="2"/>
  <c r="J83" i="2"/>
  <c r="K83" i="2" s="1"/>
  <c r="D70" i="7"/>
  <c r="J161" i="7"/>
  <c r="F179" i="7"/>
  <c r="I26" i="7"/>
  <c r="I26" i="12" s="1"/>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I10" i="12" s="1"/>
  <c r="B116" i="7"/>
  <c r="L70" i="7"/>
  <c r="K70" i="12" s="1"/>
  <c r="G19" i="14"/>
  <c r="H22" i="12"/>
  <c r="H135" i="3"/>
  <c r="H52" i="3"/>
  <c r="J116" i="7"/>
  <c r="K40" i="3"/>
  <c r="H131" i="3"/>
  <c r="H96" i="3"/>
  <c r="K119" i="3"/>
  <c r="P79" i="5"/>
  <c r="P123" i="5"/>
  <c r="K32" i="3"/>
  <c r="H112" i="3"/>
  <c r="L64" i="12"/>
  <c r="D47" i="7"/>
  <c r="N73" i="2"/>
  <c r="O73" i="2" s="1"/>
  <c r="G152" i="2"/>
  <c r="O156" i="7"/>
  <c r="D187" i="7"/>
  <c r="J187" i="7"/>
  <c r="I47" i="7"/>
  <c r="I47" i="12" s="1"/>
  <c r="N47" i="7"/>
  <c r="M29" i="5"/>
  <c r="C6" i="28"/>
  <c r="N164" i="2"/>
  <c r="O164" i="2" s="1"/>
  <c r="J125" i="2"/>
  <c r="K125" i="2" s="1"/>
  <c r="J59" i="7"/>
  <c r="N120" i="7"/>
  <c r="D130" i="7"/>
  <c r="G75" i="14"/>
  <c r="G85" i="7"/>
  <c r="N16" i="12"/>
  <c r="P39" i="12"/>
  <c r="E47" i="7"/>
  <c r="J10" i="5"/>
  <c r="J172" i="2"/>
  <c r="K172" i="2" s="1"/>
  <c r="O172" i="7"/>
  <c r="P103" i="5"/>
  <c r="M75" i="7"/>
  <c r="L126" i="12"/>
  <c r="P118" i="12"/>
  <c r="J47" i="7"/>
  <c r="J11"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F143" i="5" s="1"/>
  <c r="G143" i="5" s="1"/>
  <c r="N141" i="2"/>
  <c r="O141" i="2" s="1"/>
  <c r="D247" i="2"/>
  <c r="K47" i="7"/>
  <c r="J47" i="12" s="1"/>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I187" i="12" s="1"/>
  <c r="N143" i="12"/>
  <c r="M113" i="12"/>
  <c r="C47" i="7"/>
  <c r="J130" i="7"/>
  <c r="H87" i="3"/>
  <c r="J178" i="2"/>
  <c r="K178" i="2" s="1"/>
  <c r="J66" i="2"/>
  <c r="K66" i="2" s="1"/>
  <c r="F130" i="2"/>
  <c r="B59" i="7"/>
  <c r="N155" i="2"/>
  <c r="O155" i="2" s="1"/>
  <c r="E96" i="3"/>
  <c r="P45" i="5"/>
  <c r="P46" i="5"/>
  <c r="J173" i="2"/>
  <c r="K173" i="2" s="1"/>
  <c r="K121" i="3"/>
  <c r="P28" i="5"/>
  <c r="G55" i="14"/>
  <c r="M9" i="5"/>
  <c r="F108" i="2"/>
  <c r="G107" i="14"/>
  <c r="P91" i="5"/>
  <c r="P77" i="5"/>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I122" i="12" s="1"/>
  <c r="F122" i="7"/>
  <c r="G122" i="7"/>
  <c r="B48" i="7"/>
  <c r="H72" i="3"/>
  <c r="D102" i="7"/>
  <c r="I102" i="7"/>
  <c r="I102" i="12" s="1"/>
  <c r="N102" i="7"/>
  <c r="L102" i="7"/>
  <c r="K102" i="12" s="1"/>
  <c r="F102" i="7"/>
  <c r="M102" i="7"/>
  <c r="C102" i="7"/>
  <c r="G102" i="7"/>
  <c r="K102" i="7"/>
  <c r="J102" i="12" s="1"/>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K56" i="12" s="1"/>
  <c r="I56" i="7"/>
  <c r="I56" i="12" s="1"/>
  <c r="O56" i="7"/>
  <c r="G56" i="7"/>
  <c r="L114" i="12"/>
  <c r="P114" i="12"/>
  <c r="K34" i="7"/>
  <c r="J34" i="12" s="1"/>
  <c r="P129" i="12"/>
  <c r="L129" i="12"/>
  <c r="M76" i="12"/>
  <c r="Q76" i="12"/>
  <c r="P131" i="12"/>
  <c r="L131" i="12"/>
  <c r="M71" i="12"/>
  <c r="Q71" i="12"/>
  <c r="L49" i="12"/>
  <c r="P49" i="12"/>
  <c r="S76" i="12"/>
  <c r="R76" i="12"/>
  <c r="N76" i="12"/>
  <c r="R144" i="12"/>
  <c r="N144" i="12"/>
  <c r="S144" i="12"/>
  <c r="G17" i="7"/>
  <c r="I17" i="7"/>
  <c r="I17" i="12" s="1"/>
  <c r="B17" i="7"/>
  <c r="M17" i="7"/>
  <c r="F17" i="7"/>
  <c r="E17" i="7"/>
  <c r="J17" i="7"/>
  <c r="N17" i="7"/>
  <c r="D17" i="7"/>
  <c r="H17" i="7"/>
  <c r="H17" i="12" s="1"/>
  <c r="L17" i="7"/>
  <c r="K17" i="12" s="1"/>
  <c r="K17" i="7"/>
  <c r="J17" i="12" s="1"/>
  <c r="C17" i="7"/>
  <c r="O17" i="7"/>
  <c r="C122" i="7"/>
  <c r="L48"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K48" i="12" s="1"/>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93" i="12"/>
  <c r="L11" i="12"/>
  <c r="Q151" i="12"/>
  <c r="H50" i="7"/>
  <c r="H50" i="12" s="1"/>
  <c r="N99" i="7"/>
  <c r="E106" i="7"/>
  <c r="J45" i="5"/>
  <c r="H95"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K129" i="12" s="1"/>
  <c r="G137" i="14"/>
  <c r="F84" i="7"/>
  <c r="D169" i="7"/>
  <c r="C129" i="7"/>
  <c r="H84" i="7"/>
  <c r="H84" i="12" s="1"/>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I106" i="7"/>
  <c r="I106" i="12" s="1"/>
  <c r="H151" i="12"/>
  <c r="H59" i="12"/>
  <c r="G169" i="7"/>
  <c r="K106" i="7"/>
  <c r="J106" i="12" s="1"/>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N106" i="7"/>
  <c r="D73" i="7"/>
  <c r="H93" i="12"/>
  <c r="K169" i="7"/>
  <c r="J42" i="5"/>
  <c r="G106" i="7"/>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48" i="2"/>
  <c r="E65" i="5"/>
  <c r="F65" i="5" s="1"/>
  <c r="G65" i="5" s="1"/>
  <c r="N26" i="12"/>
  <c r="H81" i="3"/>
  <c r="H164" i="3"/>
  <c r="K44" i="3"/>
  <c r="G27" i="14"/>
  <c r="L187" i="12"/>
  <c r="L171" i="12"/>
  <c r="L159" i="12"/>
  <c r="L162" i="5"/>
  <c r="M162" i="5" s="1"/>
  <c r="N186" i="12"/>
  <c r="N161" i="12"/>
  <c r="O169" i="12"/>
  <c r="E104" i="3"/>
  <c r="O161" i="12"/>
  <c r="K36" i="3"/>
  <c r="G173" i="2"/>
  <c r="P163" i="12"/>
  <c r="P167" i="12"/>
  <c r="P171" i="12"/>
  <c r="S166" i="12"/>
  <c r="E163" i="5"/>
  <c r="F163" i="5" s="1"/>
  <c r="G163" i="5" s="1"/>
  <c r="O159" i="12"/>
  <c r="N112" i="2"/>
  <c r="O112" i="2" s="1"/>
  <c r="L173" i="12"/>
  <c r="Q165" i="12"/>
  <c r="B248" i="2"/>
  <c r="L179" i="12"/>
  <c r="S170" i="12"/>
  <c r="L161" i="5"/>
  <c r="M161" i="5" s="1"/>
  <c r="J112" i="12"/>
  <c r="P95" i="5"/>
  <c r="F166" i="5"/>
  <c r="G166" i="5" s="1"/>
  <c r="E102" i="5"/>
  <c r="F102" i="5" s="1"/>
  <c r="G102" i="5" s="1"/>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N85" i="7"/>
  <c r="K74" i="12"/>
  <c r="M85" i="7"/>
  <c r="F165" i="5"/>
  <c r="G165" i="5" s="1"/>
  <c r="E181" i="3"/>
  <c r="J76" i="7"/>
  <c r="J120" i="7"/>
  <c r="H120" i="7"/>
  <c r="H120" i="12" s="1"/>
  <c r="G60" i="2"/>
  <c r="M108" i="7"/>
  <c r="C76" i="7"/>
  <c r="N139" i="7"/>
  <c r="J14" i="12"/>
  <c r="H75" i="7"/>
  <c r="J85" i="7"/>
  <c r="M166" i="5"/>
  <c r="H117" i="3"/>
  <c r="N93" i="2"/>
  <c r="O93" i="2" s="1"/>
  <c r="O76" i="7"/>
  <c r="F120" i="7"/>
  <c r="M120" i="7"/>
  <c r="K76" i="7"/>
  <c r="J76" i="12" s="1"/>
  <c r="J12" i="12"/>
  <c r="J46" i="12"/>
  <c r="K27" i="12"/>
  <c r="R10" i="12"/>
  <c r="L84" i="12"/>
  <c r="L155" i="12"/>
  <c r="D75" i="7"/>
  <c r="F85" i="7"/>
  <c r="J112" i="5"/>
  <c r="E55" i="3"/>
  <c r="E126" i="3"/>
  <c r="D248" i="2"/>
  <c r="B120" i="7"/>
  <c r="N75" i="7"/>
  <c r="C128" i="7"/>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I120" i="12" s="1"/>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O76" i="12"/>
  <c r="J120" i="12"/>
  <c r="M43" i="5"/>
  <c r="E85" i="7"/>
  <c r="F142" i="2"/>
  <c r="O75" i="7"/>
  <c r="H76" i="7"/>
  <c r="H76" i="12" s="1"/>
  <c r="H108" i="7"/>
  <c r="F156" i="7"/>
  <c r="K108" i="7"/>
  <c r="J108" i="12" s="1"/>
  <c r="C156" i="7"/>
  <c r="B76" i="7"/>
  <c r="G108" i="7"/>
  <c r="G75" i="7"/>
  <c r="O108" i="7"/>
  <c r="K51" i="12"/>
  <c r="R60" i="12"/>
  <c r="S52" i="12"/>
  <c r="K85" i="7"/>
  <c r="J85" i="12" s="1"/>
  <c r="J49" i="5"/>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49" i="2"/>
  <c r="O164" i="12"/>
  <c r="N171" i="12"/>
  <c r="L176" i="12"/>
  <c r="L185" i="12"/>
  <c r="B247"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49"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L28" i="5"/>
  <c r="M28" i="5" s="1"/>
  <c r="L30" i="5"/>
  <c r="M30" i="5" s="1"/>
  <c r="C247"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47" i="2"/>
  <c r="O34" i="12"/>
  <c r="O37" i="12"/>
  <c r="P86" i="12"/>
  <c r="L91" i="12"/>
  <c r="L102" i="12"/>
  <c r="N121" i="12"/>
  <c r="N127" i="12"/>
  <c r="Q32" i="12"/>
  <c r="M35" i="12"/>
  <c r="N70" i="12"/>
  <c r="N78" i="12"/>
  <c r="L100" i="12"/>
  <c r="L127" i="12"/>
  <c r="I58" i="12"/>
  <c r="O145"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83" i="12"/>
  <c r="J74" i="12"/>
  <c r="I72" i="12"/>
  <c r="H74"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50"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M51" i="5" s="1"/>
  <c r="O99" i="12"/>
  <c r="M183"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J104" i="7"/>
  <c r="L104" i="7"/>
  <c r="K104" i="12" s="1"/>
  <c r="N104" i="7"/>
  <c r="E104" i="7"/>
  <c r="D104" i="7"/>
  <c r="M104" i="7"/>
  <c r="I104" i="7"/>
  <c r="I104" i="12" s="1"/>
  <c r="G104" i="7"/>
  <c r="K104" i="7"/>
  <c r="J104" i="12" s="1"/>
  <c r="O104" i="7"/>
  <c r="I103" i="12"/>
  <c r="I107" i="12"/>
  <c r="K98" i="12"/>
  <c r="R159" i="12"/>
  <c r="S159" i="12"/>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1" i="12"/>
  <c r="K107" i="12"/>
  <c r="P113" i="12"/>
  <c r="L113" i="12"/>
  <c r="O142" i="7"/>
  <c r="N98" i="2"/>
  <c r="O98" i="2" s="1"/>
  <c r="N100" i="12"/>
  <c r="S100" i="12"/>
  <c r="P115" i="12"/>
  <c r="L115" i="12"/>
  <c r="S136" i="12"/>
  <c r="N136" i="12"/>
  <c r="R136" i="12"/>
  <c r="D44" i="7"/>
  <c r="H104" i="3"/>
  <c r="P74" i="5"/>
  <c r="Q58" i="12"/>
  <c r="R21" i="12"/>
  <c r="Q129" i="12"/>
  <c r="M129" i="12"/>
  <c r="K142" i="7"/>
  <c r="J142" i="12" s="1"/>
  <c r="F50" i="2"/>
  <c r="N9" i="12"/>
  <c r="S9" i="12"/>
  <c r="Q126" i="12"/>
  <c r="M126" i="12"/>
  <c r="N172" i="12"/>
  <c r="S172" i="12"/>
  <c r="R172" i="12"/>
  <c r="R95" i="12"/>
  <c r="N95" i="12"/>
  <c r="Q167" i="12"/>
  <c r="M167" i="12"/>
  <c r="J167" i="2"/>
  <c r="K167" i="2" s="1"/>
  <c r="F167" i="2"/>
  <c r="M139" i="12"/>
  <c r="Q139" i="12"/>
  <c r="R80" i="12"/>
  <c r="N80" i="12"/>
  <c r="R138" i="12"/>
  <c r="S138" i="12"/>
  <c r="B12" i="28"/>
  <c r="I168" i="7"/>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J103" i="12"/>
  <c r="J139" i="7"/>
  <c r="G92" i="2"/>
  <c r="F92" i="2"/>
  <c r="F115" i="7"/>
  <c r="L115" i="7"/>
  <c r="G115" i="7"/>
  <c r="E115" i="7"/>
  <c r="M115" i="7"/>
  <c r="O115" i="7"/>
  <c r="B115" i="7"/>
  <c r="N115" i="7"/>
  <c r="J115" i="7"/>
  <c r="I115" i="7"/>
  <c r="I115" i="12" s="1"/>
  <c r="C115" i="7"/>
  <c r="M8" i="12"/>
  <c r="S19" i="12"/>
  <c r="Q39" i="12"/>
  <c r="S119" i="12"/>
  <c r="N147" i="12"/>
  <c r="S147" i="12"/>
  <c r="N168" i="7"/>
  <c r="E80" i="5"/>
  <c r="F80" i="5" s="1"/>
  <c r="G80" i="5" s="1"/>
  <c r="O139" i="7"/>
  <c r="S148" i="12"/>
  <c r="N148" i="12"/>
  <c r="I44" i="7"/>
  <c r="I44" i="12" s="1"/>
  <c r="R99" i="12"/>
  <c r="M61" i="5"/>
  <c r="H107" i="12"/>
  <c r="N126" i="7"/>
  <c r="J20" i="5"/>
  <c r="I145" i="12"/>
  <c r="I159" i="12"/>
  <c r="O126" i="7"/>
  <c r="G174" i="7"/>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J13" i="5"/>
  <c r="K157" i="12"/>
  <c r="I160" i="12"/>
  <c r="H99" i="12"/>
  <c r="K126" i="7"/>
  <c r="J157" i="12"/>
  <c r="C174" i="7"/>
  <c r="J138" i="5"/>
  <c r="H146" i="3"/>
  <c r="H178" i="3"/>
  <c r="J143" i="12"/>
  <c r="E75" i="3"/>
  <c r="J71" i="2"/>
  <c r="K71" i="2" s="1"/>
  <c r="G66" i="2"/>
  <c r="N74" i="2"/>
  <c r="O74" i="2" s="1"/>
  <c r="J160" i="2"/>
  <c r="K160" i="2" s="1"/>
  <c r="P118" i="5"/>
  <c r="N56" i="7"/>
  <c r="K137" i="7"/>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51" i="12"/>
  <c r="C126" i="7"/>
  <c r="N174" i="7"/>
  <c r="M92" i="5"/>
  <c r="H122" i="3"/>
  <c r="H35" i="3"/>
  <c r="E145" i="3"/>
  <c r="N110" i="2"/>
  <c r="O110" i="2" s="1"/>
  <c r="J77" i="2"/>
  <c r="K77" i="2" s="1"/>
  <c r="G130" i="2"/>
  <c r="F56" i="7"/>
  <c r="N28" i="2"/>
  <c r="O28" i="2" s="1"/>
  <c r="G193" i="2"/>
  <c r="C175" i="7"/>
  <c r="N175" i="7"/>
  <c r="G150" i="7"/>
  <c r="C3" i="21" s="1"/>
  <c r="J22" i="5"/>
  <c r="I162" i="12"/>
  <c r="I150" i="12"/>
  <c r="I151" i="12"/>
  <c r="N137" i="7"/>
  <c r="J174" i="7"/>
  <c r="J74" i="5"/>
  <c r="K15" i="3"/>
  <c r="H150" i="3"/>
  <c r="H55" i="3"/>
  <c r="H99" i="3"/>
  <c r="K140" i="3"/>
  <c r="G129" i="2"/>
  <c r="F82" i="2"/>
  <c r="G141" i="14"/>
  <c r="B56" i="7"/>
  <c r="J28" i="2"/>
  <c r="K28" i="2" s="1"/>
  <c r="G67" i="14"/>
  <c r="E153" i="7"/>
  <c r="N140" i="2"/>
  <c r="O140" i="2" s="1"/>
  <c r="K103"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H145" i="12"/>
  <c r="K145" i="12"/>
  <c r="I148" i="12"/>
  <c r="F137" i="7"/>
  <c r="B174" i="7"/>
  <c r="J70" i="5"/>
  <c r="J98" i="5"/>
  <c r="M165" i="5"/>
  <c r="E122" i="3"/>
  <c r="E78" i="3"/>
  <c r="N156" i="2"/>
  <c r="O156" i="2" s="1"/>
  <c r="N61" i="2"/>
  <c r="O61" i="2" s="1"/>
  <c r="N109" i="2"/>
  <c r="O109" i="2" s="1"/>
  <c r="G34" i="2"/>
  <c r="P70" i="5"/>
  <c r="K72" i="3"/>
  <c r="N56" i="2"/>
  <c r="O56" i="2" s="1"/>
  <c r="G159" i="2"/>
  <c r="G169" i="14"/>
  <c r="E150" i="7"/>
  <c r="I105" i="12"/>
  <c r="J24" i="5"/>
  <c r="I143" i="12"/>
  <c r="I144" i="12"/>
  <c r="B137" i="7"/>
  <c r="L174" i="7"/>
  <c r="K173" i="12" s="1"/>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H12" i="12"/>
  <c r="G52" i="2"/>
  <c r="H101" i="3"/>
  <c r="E40" i="3"/>
  <c r="F13" i="2"/>
  <c r="E125" i="3"/>
  <c r="F36" i="2"/>
  <c r="P113" i="5"/>
  <c r="P127" i="5"/>
  <c r="P145" i="5"/>
  <c r="P11" i="5"/>
  <c r="P24" i="5"/>
  <c r="P35" i="5"/>
  <c r="P147" i="5"/>
  <c r="I161" i="12"/>
  <c r="P122" i="5"/>
  <c r="F173" i="2"/>
  <c r="P47" i="5"/>
  <c r="E186" i="3"/>
  <c r="P141" i="5"/>
  <c r="P109" i="5"/>
  <c r="F68" i="2"/>
  <c r="N32" i="12"/>
  <c r="M22" i="12"/>
  <c r="S47" i="12"/>
  <c r="R158" i="12"/>
  <c r="M164" i="12"/>
  <c r="Q119" i="12"/>
  <c r="R157" i="12"/>
  <c r="N52" i="12"/>
  <c r="K66" i="7"/>
  <c r="J71" i="12" s="1"/>
  <c r="D110" i="7"/>
  <c r="L9" i="7"/>
  <c r="K9" i="12" s="1"/>
  <c r="H147" i="7"/>
  <c r="K174" i="3"/>
  <c r="J186" i="7"/>
  <c r="E44" i="5"/>
  <c r="F44" i="5" s="1"/>
  <c r="G44" i="5" s="1"/>
  <c r="K19" i="3"/>
  <c r="E173" i="3"/>
  <c r="N121" i="2"/>
  <c r="O121" i="2" s="1"/>
  <c r="L66" i="7"/>
  <c r="K71" i="12" s="1"/>
  <c r="J147" i="7"/>
  <c r="E147" i="7"/>
  <c r="E12" i="3"/>
  <c r="M147" i="7"/>
  <c r="C186" i="7"/>
  <c r="I186" i="7"/>
  <c r="I186" i="12" s="1"/>
  <c r="L88" i="12"/>
  <c r="N158" i="12"/>
  <c r="M135" i="12"/>
  <c r="G66" i="7"/>
  <c r="I110" i="7"/>
  <c r="I110" i="12" s="1"/>
  <c r="C147" i="7"/>
  <c r="J19" i="5"/>
  <c r="H9" i="7"/>
  <c r="H9" i="12" s="1"/>
  <c r="E66" i="7"/>
  <c r="D147" i="7"/>
  <c r="J106" i="5"/>
  <c r="F186" i="7"/>
  <c r="E105" i="3"/>
  <c r="H163" i="3"/>
  <c r="F66" i="7"/>
  <c r="K147" i="7"/>
  <c r="J155" i="12" s="1"/>
  <c r="E146" i="3"/>
  <c r="N193" i="2"/>
  <c r="O193" i="2" s="1"/>
  <c r="G186" i="7"/>
  <c r="S171" i="12"/>
  <c r="Q29" i="12"/>
  <c r="L141" i="12"/>
  <c r="C66" i="7"/>
  <c r="N110" i="7"/>
  <c r="I147" i="7"/>
  <c r="D9" i="7"/>
  <c r="J66" i="7"/>
  <c r="B186" i="7"/>
  <c r="I66" i="7"/>
  <c r="I71" i="12" s="1"/>
  <c r="O186" i="7"/>
  <c r="Q28" i="12"/>
  <c r="L139" i="12"/>
  <c r="L65" i="12"/>
  <c r="N87" i="12"/>
  <c r="N147" i="7"/>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153" i="5"/>
  <c r="G153" i="5" s="1"/>
  <c r="E38" i="3"/>
  <c r="H180" i="3"/>
  <c r="K60" i="3"/>
  <c r="H175" i="3"/>
  <c r="N167" i="2"/>
  <c r="O167" i="2" s="1"/>
  <c r="C160" i="7"/>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68" i="5"/>
  <c r="Q24" i="12"/>
  <c r="J18" i="12"/>
  <c r="H33" i="3"/>
  <c r="E66" i="5"/>
  <c r="F66" i="5" s="1"/>
  <c r="G66" i="5" s="1"/>
  <c r="E80" i="3"/>
  <c r="K176" i="3"/>
  <c r="K69" i="3"/>
  <c r="J23" i="5"/>
  <c r="E11" i="3"/>
  <c r="F97" i="2"/>
  <c r="N153" i="2"/>
  <c r="O153" i="2" s="1"/>
  <c r="N177" i="2"/>
  <c r="O177" i="2" s="1"/>
  <c r="N145" i="12"/>
  <c r="N113" i="12"/>
  <c r="J80" i="2"/>
  <c r="K80" i="2" s="1"/>
  <c r="G91" i="14"/>
  <c r="N133" i="12"/>
  <c r="G144" i="14"/>
  <c r="P34" i="12"/>
  <c r="S133" i="12"/>
  <c r="S165" i="12"/>
  <c r="M163" i="12"/>
  <c r="G73" i="2"/>
  <c r="G97" i="2"/>
  <c r="G121" i="2"/>
  <c r="F29" i="2"/>
  <c r="O191" i="5"/>
  <c r="O192" i="5" s="1"/>
  <c r="J183" i="2"/>
  <c r="K183" i="2" s="1"/>
  <c r="N68" i="2"/>
  <c r="O68" i="2" s="1"/>
  <c r="P137" i="12"/>
  <c r="E61" i="3"/>
  <c r="H107" i="3"/>
  <c r="K124" i="3"/>
  <c r="G167" i="2"/>
  <c r="G60" i="14"/>
  <c r="P76" i="5"/>
  <c r="P100" i="5"/>
  <c r="K92" i="3"/>
  <c r="L142" i="12"/>
  <c r="G134" i="14"/>
  <c r="P42" i="12"/>
  <c r="M140" i="12"/>
  <c r="K103" i="3"/>
  <c r="E62" i="5"/>
  <c r="F62" i="5" s="1"/>
  <c r="E22" i="3"/>
  <c r="E86" i="3"/>
  <c r="E110" i="5"/>
  <c r="F110" i="5" s="1"/>
  <c r="G110" i="5" s="1"/>
  <c r="H148" i="3"/>
  <c r="E261" i="2"/>
  <c r="J14" i="2"/>
  <c r="K14" i="2" s="1"/>
  <c r="N58" i="2"/>
  <c r="O58" i="2" s="1"/>
  <c r="F100" i="2"/>
  <c r="G127" i="14"/>
  <c r="P18" i="12"/>
  <c r="M120" i="12"/>
  <c r="L82" i="12"/>
  <c r="F103" i="5"/>
  <c r="G103" i="5" s="1"/>
  <c r="J160" i="5"/>
  <c r="G171" i="14"/>
  <c r="P50" i="12"/>
  <c r="M123" i="12"/>
  <c r="L74" i="12"/>
  <c r="R40" i="12"/>
  <c r="M132" i="5"/>
  <c r="H21" i="3"/>
  <c r="H79" i="3"/>
  <c r="H130" i="3"/>
  <c r="E169" i="3"/>
  <c r="H261" i="2"/>
  <c r="N64" i="2"/>
  <c r="O64" i="2" s="1"/>
  <c r="J36" i="2"/>
  <c r="K36" i="2" s="1"/>
  <c r="N40" i="12"/>
  <c r="F81" i="5"/>
  <c r="G81" i="5" s="1"/>
  <c r="J156" i="5"/>
  <c r="H10" i="3"/>
  <c r="E114" i="5"/>
  <c r="F114" i="5" s="1"/>
  <c r="G114" i="5" s="1"/>
  <c r="N77" i="12"/>
  <c r="R77" i="12"/>
  <c r="R78" i="12"/>
  <c r="F77" i="5"/>
  <c r="G77" i="5" s="1"/>
  <c r="J82" i="5"/>
  <c r="F156" i="5"/>
  <c r="G156" i="5" s="1"/>
  <c r="E93" i="3"/>
  <c r="E97" i="3"/>
  <c r="N70" i="2"/>
  <c r="O70" i="2" s="1"/>
  <c r="J17" i="2"/>
  <c r="K17" i="2" s="1"/>
  <c r="G43" i="14"/>
  <c r="N100" i="2"/>
  <c r="O100" i="2" s="1"/>
  <c r="P122" i="12"/>
  <c r="P132" i="12"/>
  <c r="R70" i="12"/>
  <c r="S78" i="12"/>
  <c r="E46" i="5"/>
  <c r="F46" i="5" s="1"/>
  <c r="G46" i="5" s="1"/>
  <c r="N25" i="2"/>
  <c r="O25" i="2" s="1"/>
  <c r="G29" i="2"/>
  <c r="J114" i="2"/>
  <c r="K114" i="2" s="1"/>
  <c r="G76" i="14"/>
  <c r="N48" i="12"/>
  <c r="Q19" i="12"/>
  <c r="P121" i="12"/>
  <c r="K23" i="3"/>
  <c r="J63" i="2"/>
  <c r="K63" i="2" s="1"/>
  <c r="F185" i="2"/>
  <c r="J187" i="2"/>
  <c r="K187" i="2" s="1"/>
  <c r="K71" i="3"/>
  <c r="G166" i="14"/>
  <c r="F88" i="5"/>
  <c r="G88" i="5" s="1"/>
  <c r="F64" i="5"/>
  <c r="G64" i="5" s="1"/>
  <c r="F151" i="5"/>
  <c r="G151" i="5" s="1"/>
  <c r="K39" i="3"/>
  <c r="E82" i="5"/>
  <c r="F82" i="5" s="1"/>
  <c r="G82" i="5" s="1"/>
  <c r="G47" i="14"/>
  <c r="G88" i="14"/>
  <c r="G120" i="14"/>
  <c r="G93" i="14"/>
  <c r="G179" i="2"/>
  <c r="N47" i="2"/>
  <c r="O47" i="2" s="1"/>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G151" i="14"/>
  <c r="G92" i="14"/>
  <c r="G124" i="14"/>
  <c r="G181" i="14"/>
  <c r="S70" i="12"/>
  <c r="N79" i="2"/>
  <c r="O79" i="2" s="1"/>
  <c r="P154" i="5"/>
  <c r="K100" i="3"/>
  <c r="G171" i="2"/>
  <c r="N183" i="2"/>
  <c r="O183" i="2" s="1"/>
  <c r="G84" i="2"/>
  <c r="D232" i="10"/>
  <c r="S29" i="12"/>
  <c r="S41" i="12"/>
  <c r="P53" i="12"/>
  <c r="N84" i="2"/>
  <c r="O84" i="2" s="1"/>
  <c r="G232" i="10"/>
  <c r="R57" i="12"/>
  <c r="S61" i="12"/>
  <c r="N158" i="2"/>
  <c r="O158" i="2" s="1"/>
  <c r="J108" i="2"/>
  <c r="K108" i="2" s="1"/>
  <c r="E164" i="3"/>
  <c r="H177" i="3"/>
  <c r="G185" i="14"/>
  <c r="G65" i="14"/>
  <c r="G73" i="14"/>
  <c r="K97" i="3"/>
  <c r="G133" i="14"/>
  <c r="H132" i="3"/>
  <c r="K116" i="3"/>
  <c r="G61" i="14"/>
  <c r="G69" i="14"/>
  <c r="G77" i="14"/>
  <c r="G49" i="14"/>
  <c r="H23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32" i="10"/>
  <c r="M232" i="10"/>
  <c r="E23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G114" i="14"/>
  <c r="K119" i="12"/>
  <c r="K113" i="3"/>
  <c r="E120" i="3"/>
  <c r="H157" i="3"/>
  <c r="E128" i="3"/>
  <c r="E148" i="3"/>
  <c r="H161" i="3"/>
  <c r="G64" i="14"/>
  <c r="G117" i="14"/>
  <c r="G164" i="14"/>
  <c r="G45" i="14"/>
  <c r="G158" i="14"/>
  <c r="G145" i="14"/>
  <c r="E54" i="5"/>
  <c r="F54" i="5" s="1"/>
  <c r="G54" i="5" s="1"/>
  <c r="E132" i="3"/>
  <c r="E180" i="3"/>
  <c r="G72" i="14"/>
  <c r="G140" i="14"/>
  <c r="G121" i="14"/>
  <c r="G179" i="14"/>
  <c r="P148" i="5"/>
  <c r="P164" i="5"/>
  <c r="G68" i="14"/>
  <c r="G83" i="14"/>
  <c r="G40" i="14"/>
  <c r="G42" i="14"/>
  <c r="G48" i="14"/>
  <c r="G150" i="14"/>
  <c r="G102" i="14"/>
  <c r="G108" i="14"/>
  <c r="G142" i="14"/>
  <c r="G147" i="14"/>
  <c r="G168" i="14"/>
  <c r="N232" i="10"/>
  <c r="Q38" i="12"/>
  <c r="P54" i="12"/>
  <c r="R65" i="12"/>
  <c r="R97" i="12"/>
  <c r="Q15" i="12"/>
  <c r="R117" i="12"/>
  <c r="Q114" i="12"/>
  <c r="N167" i="12"/>
  <c r="N101" i="12"/>
  <c r="L78" i="12"/>
  <c r="N53" i="12"/>
  <c r="N82" i="12"/>
  <c r="N74" i="12"/>
  <c r="M54" i="12"/>
  <c r="M40" i="12"/>
  <c r="M32" i="12"/>
  <c r="P7" i="12"/>
  <c r="L38" i="12"/>
  <c r="L15" i="12"/>
  <c r="M37" i="12"/>
  <c r="C12" i="28"/>
  <c r="S82" i="12"/>
  <c r="I114" i="12"/>
  <c r="I132" i="12"/>
  <c r="J113" i="12"/>
  <c r="J119" i="12"/>
  <c r="H136" i="12"/>
  <c r="H119" i="12"/>
  <c r="K53" i="12"/>
  <c r="H53" i="12"/>
  <c r="K49" i="12"/>
  <c r="H41" i="12"/>
  <c r="I18" i="12"/>
  <c r="H27" i="12"/>
  <c r="H19" i="12"/>
  <c r="H11" i="12"/>
  <c r="K30" i="12"/>
  <c r="K22" i="12"/>
  <c r="K14"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J54" i="5"/>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41" i="2"/>
  <c r="G150" i="2"/>
  <c r="F150" i="2"/>
  <c r="N166" i="2"/>
  <c r="O166" i="2" s="1"/>
  <c r="J192" i="2"/>
  <c r="K192" i="2" s="1"/>
  <c r="F170" i="2"/>
  <c r="G170" i="2"/>
  <c r="G142" i="2"/>
  <c r="G178" i="14"/>
  <c r="J23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K136" i="12"/>
  <c r="I112" i="12"/>
  <c r="K131" i="12"/>
  <c r="K135" i="12"/>
  <c r="I135" i="12"/>
  <c r="I119" i="12"/>
  <c r="H57" i="12"/>
  <c r="J23" i="12"/>
  <c r="J7" i="12"/>
  <c r="J25" i="12"/>
  <c r="J53" i="12"/>
  <c r="J37" i="12"/>
  <c r="H21" i="12"/>
  <c r="J41" i="12"/>
  <c r="H37" i="12"/>
  <c r="I20" i="12"/>
  <c r="I12" i="12"/>
  <c r="I45" i="12"/>
  <c r="I29" i="12"/>
  <c r="I23" i="12"/>
  <c r="P53" i="5"/>
  <c r="N191" i="5"/>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41" i="2"/>
  <c r="J11" i="2"/>
  <c r="K11" i="2" s="1"/>
  <c r="B3" i="28"/>
  <c r="F192" i="2"/>
  <c r="G192" i="2"/>
  <c r="G59" i="14"/>
  <c r="G86" i="14"/>
  <c r="G118" i="14"/>
  <c r="G152" i="14"/>
  <c r="S73" i="12"/>
  <c r="R89" i="12"/>
  <c r="R105" i="12"/>
  <c r="P72" i="12"/>
  <c r="E32" i="7"/>
  <c r="I32" i="7"/>
  <c r="I31" i="12" s="1"/>
  <c r="M32" i="7"/>
  <c r="D32" i="7"/>
  <c r="J32" i="7"/>
  <c r="O32" i="7"/>
  <c r="F32" i="7"/>
  <c r="K32" i="7"/>
  <c r="J32" i="12" s="1"/>
  <c r="B32" i="7"/>
  <c r="G32" i="7"/>
  <c r="L32" i="7"/>
  <c r="K31" i="12" s="1"/>
  <c r="C32" i="7"/>
  <c r="H32" i="7"/>
  <c r="H32" i="12" s="1"/>
  <c r="N32" i="7"/>
  <c r="P45" i="12"/>
  <c r="N151" i="12"/>
  <c r="L61" i="12"/>
  <c r="M45" i="12"/>
  <c r="H191" i="5"/>
  <c r="H192" i="5" s="1"/>
  <c r="J37" i="5"/>
  <c r="K138" i="12"/>
  <c r="H135" i="12"/>
  <c r="J48" i="12"/>
  <c r="H45" i="12"/>
  <c r="I30" i="12"/>
  <c r="I22" i="12"/>
  <c r="I14" i="12"/>
  <c r="H31" i="12"/>
  <c r="H23" i="12"/>
  <c r="H15" i="12"/>
  <c r="H7" i="12"/>
  <c r="H46" i="12"/>
  <c r="K18" i="12"/>
  <c r="I57" i="12"/>
  <c r="I41" i="12"/>
  <c r="K29" i="12"/>
  <c r="K21" i="12"/>
  <c r="K13" i="12"/>
  <c r="K7" i="3"/>
  <c r="E9" i="5"/>
  <c r="F9" i="5" s="1"/>
  <c r="G9" i="5" s="1"/>
  <c r="E25" i="5"/>
  <c r="F25" i="5" s="1"/>
  <c r="G25" i="5" s="1"/>
  <c r="E41" i="5"/>
  <c r="F41" i="5" s="1"/>
  <c r="G41" i="5" s="1"/>
  <c r="E57" i="5"/>
  <c r="F57" i="5" s="1"/>
  <c r="G57" i="5" s="1"/>
  <c r="H7" i="3"/>
  <c r="E18" i="3"/>
  <c r="E50" i="3"/>
  <c r="E82" i="3"/>
  <c r="E98" i="3"/>
  <c r="J52" i="5"/>
  <c r="D191" i="5"/>
  <c r="D192" i="5" s="1"/>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S33" i="12"/>
  <c r="R85" i="12"/>
  <c r="E40" i="7"/>
  <c r="I40" i="7"/>
  <c r="I40" i="12" s="1"/>
  <c r="M40" i="7"/>
  <c r="B40" i="7"/>
  <c r="G40" i="7"/>
  <c r="L40" i="7"/>
  <c r="C40" i="7"/>
  <c r="H40" i="7"/>
  <c r="H40" i="12" s="1"/>
  <c r="N40" i="7"/>
  <c r="D40" i="7"/>
  <c r="J40" i="7"/>
  <c r="O40" i="7"/>
  <c r="F40" i="7"/>
  <c r="K40" i="7"/>
  <c r="J40" i="12" s="1"/>
  <c r="P37" i="12"/>
  <c r="Q64" i="12"/>
  <c r="L37" i="12"/>
  <c r="R7" i="12"/>
  <c r="E140" i="7"/>
  <c r="I140" i="7"/>
  <c r="I140" i="12" s="1"/>
  <c r="M140" i="7"/>
  <c r="F140" i="7"/>
  <c r="K140" i="7"/>
  <c r="J140" i="12" s="1"/>
  <c r="B140" i="7"/>
  <c r="G140" i="7"/>
  <c r="L140" i="7"/>
  <c r="K140" i="12" s="1"/>
  <c r="D140" i="7"/>
  <c r="J140" i="7"/>
  <c r="O140" i="7"/>
  <c r="C140" i="7"/>
  <c r="H140" i="7"/>
  <c r="H140" i="12" s="1"/>
  <c r="N140" i="7"/>
  <c r="L7" i="5"/>
  <c r="M7" i="5" s="1"/>
  <c r="J138" i="12"/>
  <c r="J122" i="12"/>
  <c r="I138" i="12"/>
  <c r="I129" i="12"/>
  <c r="H113" i="12"/>
  <c r="H127" i="12"/>
  <c r="K114" i="12"/>
  <c r="I127" i="12"/>
  <c r="H47" i="12"/>
  <c r="I113" i="12"/>
  <c r="K46" i="12"/>
  <c r="I54" i="12"/>
  <c r="J45" i="12"/>
  <c r="J27" i="12"/>
  <c r="J19" i="12"/>
  <c r="I42" i="12"/>
  <c r="J29" i="12"/>
  <c r="J13" i="12"/>
  <c r="K41" i="12"/>
  <c r="H29" i="12"/>
  <c r="K45" i="12"/>
  <c r="I8" i="12"/>
  <c r="I21" i="12"/>
  <c r="I27" i="12"/>
  <c r="I19" i="12"/>
  <c r="I11" i="12"/>
  <c r="E58" i="5"/>
  <c r="F58" i="5" s="1"/>
  <c r="K191" i="5"/>
  <c r="K192" i="5" s="1"/>
  <c r="E121" i="5"/>
  <c r="F121" i="5" s="1"/>
  <c r="G121" i="5" s="1"/>
  <c r="E125" i="5"/>
  <c r="F125" i="5" s="1"/>
  <c r="G125" i="5" s="1"/>
  <c r="E129" i="5"/>
  <c r="F129" i="5" s="1"/>
  <c r="G129" i="5" s="1"/>
  <c r="M50" i="5"/>
  <c r="J51" i="5"/>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D6" i="28" l="1"/>
  <c r="H155" i="12"/>
  <c r="J136" i="12"/>
  <c r="D18" i="28"/>
  <c r="B16" i="28"/>
  <c r="C16" i="28"/>
  <c r="B15" i="28"/>
  <c r="I163" i="12"/>
  <c r="D8" i="28"/>
  <c r="J241" i="2"/>
  <c r="K241" i="2" s="1"/>
  <c r="D233" i="6" s="1"/>
  <c r="F234" i="7"/>
  <c r="F235" i="7" s="1"/>
  <c r="C245" i="7" s="1"/>
  <c r="E234" i="7"/>
  <c r="E235" i="7" s="1"/>
  <c r="B245" i="7" s="1"/>
  <c r="N234" i="7"/>
  <c r="N241" i="12"/>
  <c r="N242" i="12" s="1"/>
  <c r="J64" i="8"/>
  <c r="C73" i="8" s="1"/>
  <c r="H234" i="7"/>
  <c r="H235" i="7" s="1"/>
  <c r="B246" i="7" s="1"/>
  <c r="O241" i="12"/>
  <c r="O242" i="12" s="1"/>
  <c r="L241" i="12"/>
  <c r="L242" i="12" s="1"/>
  <c r="L234" i="7"/>
  <c r="C234" i="7"/>
  <c r="C235" i="7" s="1"/>
  <c r="I234" i="7"/>
  <c r="M241" i="12"/>
  <c r="M242" i="12" s="1"/>
  <c r="K234" i="7"/>
  <c r="K235" i="7" s="1"/>
  <c r="B247" i="7" s="1"/>
  <c r="H65" i="8"/>
  <c r="A73" i="8"/>
  <c r="M233" i="6"/>
  <c r="B234" i="7"/>
  <c r="B235" i="7" s="1"/>
  <c r="I177" i="12"/>
  <c r="C17" i="28"/>
  <c r="I125"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50" i="2"/>
  <c r="D250" i="2"/>
  <c r="K54" i="12"/>
  <c r="D7" i="28"/>
  <c r="J66" i="12"/>
  <c r="L191" i="5"/>
  <c r="L192" i="5" s="1"/>
  <c r="M192" i="5" s="1"/>
  <c r="H80" i="12"/>
  <c r="H75" i="12"/>
  <c r="M94" i="5"/>
  <c r="I232" i="10"/>
  <c r="J159" i="12"/>
  <c r="I167" i="12"/>
  <c r="J186" i="12"/>
  <c r="H39" i="12"/>
  <c r="I66" i="12"/>
  <c r="J39" i="12"/>
  <c r="L232" i="10"/>
  <c r="K66" i="12"/>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32" i="10"/>
  <c r="O232" i="10"/>
  <c r="N241" i="2"/>
  <c r="O241" i="2" s="1"/>
  <c r="O234" i="7"/>
  <c r="O235" i="7" s="1"/>
  <c r="I235" i="7"/>
  <c r="C246" i="7" s="1"/>
  <c r="G58" i="5"/>
  <c r="F191" i="5"/>
  <c r="C241" i="6"/>
  <c r="J233" i="6"/>
  <c r="D232" i="11"/>
  <c r="F232" i="11" s="1"/>
  <c r="F231" i="11"/>
  <c r="N192" i="5"/>
  <c r="P192" i="5" s="1"/>
  <c r="P191" i="5"/>
  <c r="C240" i="6"/>
  <c r="G65" i="8"/>
  <c r="H6" i="6"/>
  <c r="K6" i="6"/>
  <c r="I32" i="12"/>
  <c r="M232" i="11"/>
  <c r="O232" i="11" s="1"/>
  <c r="O231" i="11"/>
  <c r="H236" i="3"/>
  <c r="F237" i="3"/>
  <c r="H237" i="3" s="1"/>
  <c r="B240" i="6"/>
  <c r="G247" i="2"/>
  <c r="C242" i="6"/>
  <c r="G64" i="8"/>
  <c r="B73" i="8"/>
  <c r="I65" i="8"/>
  <c r="K236" i="3"/>
  <c r="I237" i="3"/>
  <c r="K237" i="3" s="1"/>
  <c r="J191" i="5"/>
  <c r="I192" i="5"/>
  <c r="J192" i="5" s="1"/>
  <c r="B6" i="8"/>
  <c r="K6" i="7"/>
  <c r="E6" i="7"/>
  <c r="H6" i="7"/>
  <c r="B241" i="6"/>
  <c r="G248" i="2"/>
  <c r="F248" i="2" s="1"/>
  <c r="I231" i="11"/>
  <c r="G232" i="11"/>
  <c r="I232" i="11" s="1"/>
  <c r="L231" i="11"/>
  <c r="J232" i="11"/>
  <c r="L232" i="11" s="1"/>
  <c r="B242" i="6"/>
  <c r="G249" i="2"/>
  <c r="F249" i="2" s="1"/>
  <c r="D234" i="7" l="1"/>
  <c r="D235" i="7" s="1"/>
  <c r="I241" i="12"/>
  <c r="I242" i="12" s="1"/>
  <c r="J241" i="12"/>
  <c r="J242" i="12" s="1"/>
  <c r="H241" i="12"/>
  <c r="H242" i="12" s="1"/>
  <c r="K241" i="12"/>
  <c r="K242" i="12" s="1"/>
  <c r="J65" i="8"/>
  <c r="M191" i="5"/>
  <c r="N235" i="7"/>
  <c r="B248" i="7"/>
  <c r="G234" i="7"/>
  <c r="G235" i="7" s="1"/>
  <c r="B6" i="10"/>
  <c r="C6" i="8"/>
  <c r="E6" i="8"/>
  <c r="H6" i="8" s="1"/>
  <c r="G250" i="2"/>
  <c r="F247" i="2"/>
  <c r="F250" i="2" s="1"/>
  <c r="D245" i="7"/>
  <c r="J234" i="7"/>
  <c r="J235" i="7" s="1"/>
  <c r="G191" i="5"/>
  <c r="F192" i="5"/>
  <c r="G192" i="5" s="1"/>
  <c r="M234" i="7"/>
  <c r="M235" i="7" s="1"/>
  <c r="L235" i="7"/>
  <c r="C247" i="7" s="1"/>
  <c r="D247" i="7" s="1"/>
  <c r="H249" i="2" s="1"/>
  <c r="D240" i="6"/>
  <c r="H247" i="2" s="1"/>
  <c r="C243" i="6"/>
  <c r="D242" i="6"/>
  <c r="B243" i="6"/>
  <c r="D241" i="6"/>
  <c r="H248" i="2" s="1"/>
  <c r="D246" i="7"/>
  <c r="C248" i="7" l="1"/>
  <c r="D248" i="7" s="1"/>
  <c r="D243" i="6"/>
  <c r="H250"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6" background="1" saveData="1">
    <webPr consecutive="1" xl2000="1" url="https://myfno.com/api/stats?&amp;list=NIFTY_&amp;days=1d&amp;data=z,d,p,o,v,b,r,l,i,h,j,a,5,6,7,8,w,n,s,f,c,u,1,2,3,4,0,m"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<sst xmlns="http://schemas.openxmlformats.org/spreadsheetml/2006/main" count="3463" uniqueCount="700">
  <si>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</si>
  <si>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</si>
  <si>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</si>
  <si>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</si>
  <si>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</si>
  <si>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</si>
  <si>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</si>
  <si>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</si>
  <si>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</si>
  <si>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</si>
  <si>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</si>
  <si>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</si>
  <si>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</si>
  <si>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</si>
  <si>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</si>
  <si>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</si>
  <si>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</si>
  <si>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</si>
  <si>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</si>
  <si>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</si>
  <si>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</si>
  <si>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</si>
  <si>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</si>
  <si>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</si>
  <si>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</si>
  <si>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</si>
  <si>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</si>
  <si>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</si>
  <si>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</si>
  <si>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</si>
  <si>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</si>
  <si>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</si>
  <si>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</si>
  <si>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</si>
  <si>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</si>
  <si>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</si>
  <si>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</si>
  <si>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</si>
  <si>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</si>
  <si>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</si>
  <si>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</si>
  <si>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</si>
  <si>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</si>
  <si>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</si>
  <si>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</si>
  <si>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</si>
  <si>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</si>
  <si>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</si>
  <si>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</si>
  <si>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</si>
  <si>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</si>
  <si>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</si>
  <si>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</si>
  <si>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</si>
  <si>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</si>
  <si>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</si>
  <si>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</si>
  <si>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</si>
  <si>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</si>
  <si>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</si>
  <si>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</si>
  <si>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</si>
  <si>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</si>
  <si>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</si>
  <si>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</si>
  <si>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</si>
  <si>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</si>
  <si>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</si>
  <si>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</si>
  <si>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</si>
  <si>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</si>
  <si>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</si>
  <si>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</si>
  <si>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</si>
  <si>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</si>
  <si>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</si>
  <si>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</si>
  <si>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</si>
  <si>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</si>
  <si>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</si>
  <si>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</si>
  <si>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</si>
  <si>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</si>
  <si>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</si>
  <si>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</si>
  <si>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</si>
  <si>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</si>
  <si>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</si>
  <si>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</si>
  <si>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</si>
  <si>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</si>
  <si>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</si>
  <si>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</si>
  <si>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</si>
  <si>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</si>
  <si>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</si>
  <si>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</si>
  <si>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</si>
  <si>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</si>
  <si>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</si>
  <si>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</si>
  <si>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</si>
  <si>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</si>
  <si>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</si>
  <si>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</si>
  <si>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</si>
  <si>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</si>
  <si>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</si>
  <si>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</si>
  <si>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</si>
  <si>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</si>
  <si>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</si>
  <si>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</si>
  <si>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</si>
  <si>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</si>
  <si>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</si>
  <si>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</si>
  <si>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</si>
  <si>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</si>
  <si>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</si>
  <si>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</si>
  <si>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</si>
  <si>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</si>
  <si>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</si>
  <si>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</si>
  <si>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</si>
  <si>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</si>
  <si>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</si>
  <si>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</si>
  <si>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</si>
  <si>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</si>
  <si>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</si>
  <si>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</si>
  <si>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</si>
  <si>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</si>
  <si>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</si>
  <si>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</si>
  <si>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</si>
  <si>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</si>
  <si>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</si>
  <si>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</si>
  <si>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</si>
  <si>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</si>
  <si>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</si>
  <si>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</si>
  <si>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</si>
  <si>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</si>
  <si>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</si>
  <si>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</si>
  <si>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</si>
  <si>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</si>
  <si>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</si>
  <si>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</si>
  <si>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</si>
  <si>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</si>
  <si>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</si>
  <si>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</si>
  <si>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</si>
  <si>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</si>
  <si>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</si>
  <si>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</si>
  <si>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</si>
  <si>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</si>
  <si>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</si>
  <si>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</si>
  <si>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</si>
  <si>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</si>
  <si>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</si>
  <si>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</si>
  <si>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</si>
  <si>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</si>
  <si>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</si>
  <si>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</si>
  <si>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</si>
  <si>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</si>
  <si>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</si>
  <si>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</si>
  <si>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</si>
  <si>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</si>
  <si>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</si>
  <si>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</si>
  <si>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</si>
  <si>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</si>
  <si>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</si>
  <si>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</si>
  <si>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</si>
  <si>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</si>
  <si>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</si>
  <si>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</si>
  <si>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</si>
  <si>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</si>
  <si>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</si>
  <si>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</si>
  <si>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</si>
  <si>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</si>
  <si>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</si>
  <si>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</si>
  <si>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</si>
  <si>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</si>
  <si>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</si>
  <si>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</si>
  <si>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</si>
  <si>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</si>
  <si>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</si>
  <si>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</si>
  <si>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</si>
  <si>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</si>
  <si>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</si>
  <si>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</si>
  <si>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</si>
  <si>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</si>
  <si>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</si>
  <si>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</si>
  <si>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</si>
  <si>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</si>
  <si>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</si>
  <si>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</si>
  <si>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</si>
  <si>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</si>
  <si>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</si>
  <si>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</si>
  <si>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</si>
  <si>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</si>
  <si>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</si>
  <si>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</si>
  <si>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</si>
  <si>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</si>
  <si>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</si>
  <si>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</si>
  <si>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</si>
  <si>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</si>
  <si>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</si>
  <si>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</si>
  <si>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</si>
  <si>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</si>
  <si>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</si>
  <si>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</si>
  <si>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</si>
  <si>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</si>
  <si>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</si>
  <si>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</si>
  <si>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</si>
  <si>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</si>
  <si>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</si>
  <si>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</si>
  <si>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</si>
  <si>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</si>
  <si>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</si>
  <si>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</si>
  <si>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</si>
  <si>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</si>
  <si>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</si>
  <si>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</si>
  <si>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</si>
  <si>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</si>
  <si>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</si>
  <si>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</si>
  <si>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</si>
  <si>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</si>
  <si>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</si>
  <si>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</si>
  <si>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</si>
  <si>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</si>
  <si>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</si>
  <si>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</si>
  <si>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</si>
  <si>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</si>
  <si>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</si>
  <si>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</si>
  <si>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</si>
  <si>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</si>
  <si>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</si>
  <si>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</si>
  <si>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</si>
  <si>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</si>
  <si>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</si>
  <si>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</si>
  <si>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</si>
  <si>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</si>
  <si>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</si>
  <si>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</si>
  <si>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</si>
  <si>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</si>
  <si>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</si>
  <si>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</si>
  <si>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</si>
  <si>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</si>
  <si>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</si>
  <si>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</si>
  <si>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</si>
  <si>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</si>
  <si>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</si>
  <si>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</si>
  <si>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</si>
  <si>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</si>
  <si>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</si>
  <si>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</si>
  <si>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</si>
  <si>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</si>
  <si>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</si>
  <si>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</si>
  <si>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</si>
  <si>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</si>
  <si>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</si>
  <si>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</si>
  <si>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</si>
  <si>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</si>
  <si>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</si>
  <si>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</si>
  <si>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</si>
  <si>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</si>
  <si>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</si>
  <si>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</si>
  <si>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</si>
  <si>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</si>
  <si>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</si>
  <si>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</si>
  <si>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</si>
  <si>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</si>
  <si>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</si>
  <si>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</si>
  <si>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</si>
  <si>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</si>
  <si>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</si>
  <si>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</si>
  <si>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</si>
  <si>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</si>
  <si>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</si>
  <si>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</si>
  <si>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</si>
  <si>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</si>
  <si>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</si>
  <si>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</si>
  <si>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</si>
  <si>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</si>
  <si>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</si>
  <si>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</si>
  <si>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</si>
  <si>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</si>
  <si>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</si>
  <si>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</si>
  <si>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</si>
  <si>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</si>
  <si>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</si>
  <si>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</si>
  <si>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</si>
  <si>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</si>
  <si>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</si>
  <si>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</si>
  <si>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</si>
  <si>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</si>
  <si>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</si>
  <si>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</si>
  <si>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</si>
  <si>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</si>
  <si>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</si>
  <si>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</si>
  <si>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</si>
  <si>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</si>
  <si>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</si>
  <si>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</si>
  <si>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</si>
  <si>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</si>
  <si>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</si>
  <si>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</si>
  <si>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</si>
  <si>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</si>
  <si>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</si>
  <si>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</si>
  <si>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</si>
  <si>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</si>
  <si>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</si>
  <si>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</si>
  <si>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</si>
  <si>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</si>
  <si>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</si>
  <si>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</si>
  <si>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</si>
  <si>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</si>
  <si>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</si>
  <si>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</si>
  <si>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</si>
  <si>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</si>
  <si>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</si>
  <si>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</si>
  <si>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</si>
  <si>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</si>
  <si>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</si>
  <si>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</si>
  <si>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</si>
  <si>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</si>
  <si>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</si>
  <si>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</si>
  <si>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</si>
  <si>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</si>
  <si>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</si>
  <si>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</si>
  <si>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</si>
  <si>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</si>
  <si>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</si>
  <si>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</si>
  <si>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</si>
  <si>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</si>
  <si>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</si>
  <si>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</si>
  <si>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</si>
  <si>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</si>
  <si>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</si>
  <si>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</si>
  <si>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</si>
  <si>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</si>
  <si>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</si>
  <si>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</si>
  <si>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</si>
  <si>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</si>
  <si>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</si>
  <si>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</si>
  <si>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</si>
  <si>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</si>
  <si>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</si>
  <si>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</si>
  <si>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</si>
  <si>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</si>
  <si>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</si>
  <si>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</si>
  <si>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</si>
  <si>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</si>
  <si>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</si>
  <si>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</si>
  <si>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</si>
  <si>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</si>
  <si>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</si>
  <si>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</si>
  <si>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</si>
  <si>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</si>
  <si>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</si>
  <si>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</si>
  <si>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</si>
  <si>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</si>
  <si>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</si>
  <si>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</si>
  <si>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</si>
  <si>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</si>
  <si>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</si>
  <si>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</si>
  <si>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</si>
  <si>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</si>
  <si>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</si>
  <si>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</si>
  <si>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</si>
  <si>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</si>
  <si>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</si>
  <si>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</si>
  <si>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</si>
  <si>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</si>
  <si>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</si>
  <si>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</si>
  <si>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</si>
  <si>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</si>
  <si>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</si>
  <si>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</si>
  <si>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</si>
  <si>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</si>
  <si>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</si>
  <si>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</si>
  <si>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</si>
  <si>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</si>
  <si>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</si>
  <si>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</si>
  <si>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</si>
  <si>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</si>
  <si>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</si>
  <si>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</si>
  <si>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</si>
  <si>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</si>
  <si>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</si>
  <si>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</si>
  <si>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</si>
  <si>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</si>
  <si>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</si>
  <si>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</si>
  <si>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</si>
  <si>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</si>
  <si>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</si>
  <si>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</si>
  <si>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</si>
  <si>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</si>
  <si>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</si>
  <si>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</si>
  <si>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</si>
  <si>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</si>
  <si>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</si>
  <si>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</si>
  <si>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</si>
  <si>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</si>
  <si>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</si>
  <si>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</si>
  <si>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</si>
  <si>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</si>
  <si>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</si>
  <si>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</si>
  <si>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</si>
  <si>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</si>
  <si>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</si>
  <si>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</si>
  <si>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</si>
  <si>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</si>
  <si>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</si>
  <si>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</si>
  <si>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</si>
  <si>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</si>
  <si>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</si>
  <si>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</si>
  <si>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</si>
  <si>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</si>
  <si>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</si>
  <si>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</si>
  <si>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</si>
  <si>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</si>
  <si>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</si>
  <si>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</si>
  <si>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</si>
  <si>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</si>
  <si>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</si>
  <si>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</si>
  <si>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</si>
  <si>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</si>
  <si>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</si>
  <si>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</si>
  <si>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</si>
  <si>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</si>
  <si>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</si>
  <si>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</si>
  <si>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</si>
  <si>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</si>
  <si>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</si>
  <si>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</si>
  <si>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</si>
  <si>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</si>
  <si>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</si>
  <si>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</si>
  <si>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</si>
  <si>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</si>
  <si>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</si>
  <si>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</si>
  <si>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</si>
  <si>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</si>
  <si>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</si>
  <si>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</si>
  <si>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</si>
  <si>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</si>
  <si>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</si>
  <si>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</si>
  <si>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</si>
  <si>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</si>
  <si>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</si>
  <si>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</si>
  <si>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</si>
  <si>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</si>
  <si>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</si>
  <si>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</si>
  <si>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</si>
  <si>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</si>
  <si>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</si>
  <si>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</si>
  <si>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</si>
  <si>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</si>
  <si>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</si>
  <si>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</si>
  <si>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</si>
  <si>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</si>
  <si>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</si>
  <si>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</si>
  <si>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</si>
  <si>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</si>
  <si>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</si>
  <si>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</si>
  <si>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</si>
  <si>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</si>
  <si>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</si>
  <si>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</si>
  <si>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</si>
  <si>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</si>
  <si>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</si>
  <si>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</si>
  <si>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</si>
  <si>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</si>
  <si>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</si>
  <si>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</si>
  <si>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</si>
  <si>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</si>
  <si>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</si>
  <si>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</si>
  <si>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</si>
  <si>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</si>
  <si>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</si>
  <si>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</si>
  <si>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</si>
  <si>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</si>
  <si>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</si>
  <si>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</si>
  <si>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</si>
  <si>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</si>
  <si>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</si>
  <si>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</si>
  <si>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</si>
  <si>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</si>
  <si>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</si>
  <si>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</si>
  <si>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</si>
  <si>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</si>
  <si>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</si>
  <si>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</si>
  <si>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</si>
  <si>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</si>
  <si>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</si>
  <si>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</si>
  <si>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</si>
  <si>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</si>
  <si>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</si>
  <si>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</si>
  <si>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</si>
  <si>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</si>
  <si>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</si>
  <si>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</si>
  <si>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</si>
  <si>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</si>
  <si>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</si>
  <si>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</si>
  <si>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</si>
  <si>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</si>
  <si>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</si>
  <si>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</si>
  <si>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</si>
  <si>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</si>
  <si>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</si>
  <si>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</si>
  <si>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</si>
  <si>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</si>
  <si>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</si>
  <si>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</si>
  <si>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</si>
  <si>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</si>
  <si>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</si>
  <si>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</si>
  <si>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</si>
  <si>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</si>
  <si>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</si>
  <si>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</si>
  <si>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</si>
  <si>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</si>
  <si>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</si>
  <si>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</si>
  <si>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</si>
  <si>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</si>
  <si>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</si>
  <si>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</si>
  <si>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</si>
  <si>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</si>
  <si>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</si>
  <si>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</si>
  <si>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</si>
  <si>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IREDA</t>
  </si>
  <si>
    <t>PATANJALI</t>
  </si>
  <si>
    <t>ETERNAL</t>
  </si>
  <si>
    <t>HINDZINC</t>
  </si>
  <si>
    <t>INOXWIND</t>
  </si>
  <si>
    <t>PNBHOUSING</t>
  </si>
  <si>
    <t>BDL</t>
  </si>
  <si>
    <t>MANKIND</t>
  </si>
  <si>
    <t>MAZDOCK</t>
  </si>
  <si>
    <t>UNOMINDA</t>
  </si>
  <si>
    <t>RVNL</t>
  </si>
  <si>
    <t>KAYNES</t>
  </si>
  <si>
    <t>FORTIS</t>
  </si>
  <si>
    <t>BLUESTARCO</t>
  </si>
  <si>
    <t>PGEL</t>
  </si>
  <si>
    <t>AMBER</t>
  </si>
  <si>
    <t>360ONE</t>
  </si>
  <si>
    <t>KFINTECH</t>
  </si>
  <si>
    <t>SUZLON</t>
  </si>
  <si>
    <t>NUVAMA</t>
  </si>
  <si>
    <t>SAMMAANCAP</t>
  </si>
  <si>
    <t>POWERINDIA</t>
  </si>
  <si>
    <t>INDIAVIX</t>
  </si>
  <si>
    <t>TMPV</t>
  </si>
  <si>
    <t>PREMIERENE</t>
  </si>
  <si>
    <t>BAJAJHLDNG</t>
  </si>
  <si>
    <t>WAAREEENER</t>
  </si>
  <si>
    <t>SWIGGY</t>
  </si>
  <si>
    <t>LTM</t>
  </si>
  <si>
    <t>Short_Covering</t>
  </si>
  <si>
    <t>HYUNDAI</t>
  </si>
  <si>
    <t>ADANIPOWER</t>
  </si>
  <si>
    <t>COCHINSHIP</t>
  </si>
  <si>
    <t>VMM</t>
  </si>
  <si>
    <t>MOTILALOFS</t>
  </si>
  <si>
    <t>GODFRYPHLP</t>
  </si>
  <si>
    <t>FORCEMOT</t>
  </si>
  <si>
    <t>F&amp;O Market Trading Kit for 7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</si>
</sst>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2">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2" fontId="31" fillId="40" borderId="1" xfId="0" applyNumberFormat="1" applyFont="1" applyFill="1" applyBorder="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1"/>
  <sheetViews>
    <sheetView tabSelected="1" zoomScale="85" zoomScaleNormal="85" workbookViewId="0">
      <pane ySplit="10" topLeftCell="A76" activePane="bottomLeft" state="frozen"/>
      <selection activeCell="Q163" sqref="Q163"/>
      <selection pane="bottomLeft" activeCell="W93" sqref="W93"/>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4" t="s">
        <v>699</v>
      </c>
      <c r="B6" s="235"/>
      <c r="C6" s="235"/>
      <c r="D6" s="235"/>
      <c r="E6" s="235"/>
      <c r="F6" s="235"/>
      <c r="G6" s="235"/>
      <c r="H6" s="235"/>
      <c r="I6" s="235"/>
      <c r="J6" s="235"/>
      <c r="K6" s="235"/>
      <c r="L6" s="235"/>
      <c r="M6" s="235"/>
      <c r="N6" s="235"/>
      <c r="O6" s="235"/>
      <c r="P6" s="235"/>
      <c r="Q6" s="235"/>
      <c r="R6" s="235"/>
      <c r="S6" s="236"/>
    </row>
    <row r="7" spans="1:19" x14ac:dyDescent="0.25">
      <c r="A7" s="237"/>
      <c r="B7" s="238"/>
      <c r="C7" s="238"/>
      <c r="D7" s="238"/>
      <c r="E7" s="238"/>
      <c r="F7" s="238"/>
      <c r="G7" s="238"/>
      <c r="H7" s="238"/>
      <c r="I7" s="238"/>
      <c r="J7" s="238"/>
      <c r="K7" s="238"/>
      <c r="L7" s="238"/>
      <c r="M7" s="238"/>
      <c r="N7" s="238"/>
      <c r="O7" s="238"/>
      <c r="P7" s="238"/>
      <c r="Q7" s="238"/>
      <c r="R7" s="238"/>
      <c r="S7" s="239"/>
    </row>
    <row r="8" spans="1:19" s="64" customFormat="1" ht="15" customHeight="1" x14ac:dyDescent="0.25">
      <c r="A8" s="240"/>
      <c r="B8" s="2"/>
      <c r="C8" s="242" t="s">
        <v>308</v>
      </c>
      <c r="D8" s="243"/>
      <c r="E8" s="243"/>
      <c r="F8" s="243"/>
      <c r="G8" s="244"/>
      <c r="H8" s="242" t="s">
        <v>309</v>
      </c>
      <c r="I8" s="243"/>
      <c r="J8" s="243"/>
      <c r="K8" s="244"/>
      <c r="L8" s="245" t="s">
        <v>310</v>
      </c>
      <c r="M8" s="246"/>
      <c r="N8" s="246"/>
      <c r="O8" s="247"/>
      <c r="P8" s="242" t="s">
        <v>311</v>
      </c>
      <c r="Q8" s="243"/>
      <c r="R8" s="243"/>
      <c r="S8" s="244"/>
    </row>
    <row r="9" spans="1:19" s="64" customFormat="1" x14ac:dyDescent="0.25">
      <c r="A9" s="241"/>
      <c r="B9" s="2"/>
      <c r="C9" s="2" t="s">
        <v>312</v>
      </c>
      <c r="D9" s="242" t="s">
        <v>313</v>
      </c>
      <c r="E9" s="243"/>
      <c r="F9" s="243"/>
      <c r="G9" s="244"/>
      <c r="H9" s="242" t="s">
        <v>314</v>
      </c>
      <c r="I9" s="243"/>
      <c r="J9" s="243"/>
      <c r="K9" s="244"/>
      <c r="L9" s="242" t="s">
        <v>315</v>
      </c>
      <c r="M9" s="243"/>
      <c r="N9" s="243"/>
      <c r="O9" s="244"/>
      <c r="P9" s="242" t="s">
        <v>316</v>
      </c>
      <c r="Q9" s="244"/>
      <c r="R9" s="242" t="s">
        <v>317</v>
      </c>
      <c r="S9" s="244"/>
    </row>
    <row r="10" spans="1:19" s="67" customFormat="1" ht="27" customHeight="1" x14ac:dyDescent="0.25">
      <c r="A10" s="65" t="s">
        <v>318</v>
      </c>
      <c r="B10" s="65" t="s">
        <v>319</v>
      </c>
      <c r="C10" s="66">
        <f>'Data Vlaue (Cr)'!A2</f>
        <v>46148</v>
      </c>
      <c r="D10" s="66">
        <f>'Data Vlaue (Cr)'!A2</f>
        <v>46148</v>
      </c>
      <c r="E10" s="65" t="s">
        <v>322</v>
      </c>
      <c r="F10" s="65" t="s">
        <v>320</v>
      </c>
      <c r="G10" s="65" t="s">
        <v>321</v>
      </c>
      <c r="H10" s="66">
        <f>D10</f>
        <v>46148</v>
      </c>
      <c r="I10" s="65" t="s">
        <v>322</v>
      </c>
      <c r="J10" s="65" t="s">
        <v>323</v>
      </c>
      <c r="K10" s="65" t="s">
        <v>324</v>
      </c>
      <c r="L10" s="66">
        <f>D10</f>
        <v>46148</v>
      </c>
      <c r="M10" s="65" t="s">
        <v>322</v>
      </c>
      <c r="N10" s="65" t="s">
        <v>323</v>
      </c>
      <c r="O10" s="65" t="s">
        <v>324</v>
      </c>
      <c r="P10" s="66">
        <f>D10</f>
        <v>46148</v>
      </c>
      <c r="Q10" s="65" t="s">
        <v>324</v>
      </c>
      <c r="R10" s="66">
        <f>D10</f>
        <v>46148</v>
      </c>
      <c r="S10" s="65" t="s">
        <v>324</v>
      </c>
    </row>
    <row r="11" spans="1:19" x14ac:dyDescent="0.25">
      <c r="A11" s="96" t="str">
        <f>'Data Vlaue (Cr)'!C2</f>
        <v>360ONE</v>
      </c>
      <c r="B11" s="75">
        <f>VLOOKUP($A11,'Data Vlaue (Cr)'!$C:$FB,2)</f>
        <v>500</v>
      </c>
      <c r="C11" s="75">
        <f>VLOOKUP($A11,'Data Vlaue (Cr)'!$C:$FB,8)</f>
        <v>1084.0999999999999</v>
      </c>
      <c r="D11" s="75">
        <f>VLOOKUP($A11,'Data Vlaue (Cr)'!$C:$FB,4)</f>
        <v>1091.8</v>
      </c>
      <c r="E11" s="75">
        <f>VLOOKUP($A11,'Data Vlaue (Cr)'!$C:$FB,5)</f>
        <v>1076.7</v>
      </c>
      <c r="F11" s="75">
        <f>D11-C11</f>
        <v>7.7000000000000455</v>
      </c>
      <c r="G11" s="75">
        <f>(D11-E11)/D11*100</f>
        <v>1.3830371862978486</v>
      </c>
      <c r="H11" s="75">
        <f>VLOOKUP($A11,'Data Vlaue (Cr)'!$C:$FB,99)</f>
        <v>732</v>
      </c>
      <c r="I11" s="75">
        <f>VLOOKUP($A11,'Data Vlaue (Cr)'!$C:$FB,100)</f>
        <v>691</v>
      </c>
      <c r="J11" s="75">
        <f>H11-I11</f>
        <v>41</v>
      </c>
      <c r="K11" s="75">
        <f>J11/H11*100</f>
        <v>5.6010928961748636</v>
      </c>
      <c r="L11" s="75">
        <f>VLOOKUP($A11,'Data Vlaue (Cr)'!$C:$FB,67)</f>
        <v>278</v>
      </c>
      <c r="M11" s="75">
        <f>VLOOKUP($A11,'Data Vlaue (Cr)'!$C:$FB,68)</f>
        <v>326</v>
      </c>
      <c r="N11" s="75">
        <f>L11-M11</f>
        <v>-48</v>
      </c>
      <c r="O11" s="75">
        <f>N11/L11*100</f>
        <v>-17.266187050359711</v>
      </c>
      <c r="P11" s="75">
        <f>VLOOKUP($A11,'Data Vlaue (Cr)'!$C:$FB,119)</f>
        <v>0.57999999999999996</v>
      </c>
      <c r="Q11" s="75">
        <f>VLOOKUP($A11,'Data Vlaue (Cr)'!$C:$FB,122)*100</f>
        <v>5.45</v>
      </c>
      <c r="R11" s="75">
        <f>VLOOKUP($A11,'Data Vlaue (Cr)'!$C:$FB,125)</f>
        <v>0.24</v>
      </c>
      <c r="S11" s="75">
        <f>VLOOKUP($A11,'Data Vlaue (Cr)'!$C:$FB,128)*100</f>
        <v>-41.46</v>
      </c>
    </row>
    <row r="12" spans="1:19" x14ac:dyDescent="0.25">
      <c r="A12" s="96" t="str">
        <f>'Data Vlaue (Cr)'!C3</f>
        <v>ABB</v>
      </c>
      <c r="B12" s="75">
        <f>VLOOKUP($A12,'Data Vlaue (Cr)'!$C:$FB,2)</f>
        <v>125</v>
      </c>
      <c r="C12" s="75">
        <f>VLOOKUP($A12,'Data Vlaue (Cr)'!$C:$FB,8)</f>
        <v>7182.5</v>
      </c>
      <c r="D12" s="75">
        <f>VLOOKUP($A12,'Data Vlaue (Cr)'!$C:$FB,4)</f>
        <v>7181</v>
      </c>
      <c r="E12" s="75">
        <f>VLOOKUP($A12,'Data Vlaue (Cr)'!$C:$FB,5)</f>
        <v>7327.5</v>
      </c>
      <c r="F12" s="75">
        <f t="shared" ref="F12:F75" si="0">D12-C12</f>
        <v>-1.5</v>
      </c>
      <c r="G12" s="75">
        <f t="shared" ref="G12:G74" si="1">(D12-E12)/D12*100</f>
        <v>-2.0401058348419441</v>
      </c>
      <c r="H12" s="75">
        <f>VLOOKUP($A12,'Data Vlaue (Cr)'!$C:$FB,99)</f>
        <v>2767</v>
      </c>
      <c r="I12" s="75">
        <f>VLOOKUP($A12,'Data Vlaue (Cr)'!$C:$FB,100)</f>
        <v>2653</v>
      </c>
      <c r="J12" s="75">
        <f t="shared" ref="J12:J75" si="2">H12-I12</f>
        <v>114</v>
      </c>
      <c r="K12" s="75">
        <f t="shared" ref="K12:K75" si="3">J12/H12*100</f>
        <v>4.1199855439103716</v>
      </c>
      <c r="L12" s="75">
        <f>VLOOKUP($A12,'Data Vlaue (Cr)'!$C:$FB,67)</f>
        <v>2300</v>
      </c>
      <c r="M12" s="75">
        <f>VLOOKUP($A12,'Data Vlaue (Cr)'!$C:$FB,68)</f>
        <v>1571</v>
      </c>
      <c r="N12" s="75">
        <f t="shared" ref="N12:N75" si="4">L12-M12</f>
        <v>729</v>
      </c>
      <c r="O12" s="75">
        <f t="shared" ref="O12:O75" si="5">N12/L12*100</f>
        <v>31.695652173913043</v>
      </c>
      <c r="P12" s="75">
        <f>VLOOKUP($A12,'Data Vlaue (Cr)'!$C:$FB,119)</f>
        <v>0.5</v>
      </c>
      <c r="Q12" s="75">
        <f>VLOOKUP($A12,'Data Vlaue (Cr)'!$C:$FB,122)*100</f>
        <v>0</v>
      </c>
      <c r="R12" s="75">
        <f>VLOOKUP($A12,'Data Vlaue (Cr)'!$C:$FB,125)</f>
        <v>0.4</v>
      </c>
      <c r="S12" s="75">
        <f>VLOOKUP($A12,'Data Vlaue (Cr)'!$C:$FB,128)*100</f>
        <v>60</v>
      </c>
    </row>
    <row r="13" spans="1:19" x14ac:dyDescent="0.25">
      <c r="A13" s="96" t="str">
        <f>'Data Vlaue (Cr)'!C4</f>
        <v>ABCAPITAL</v>
      </c>
      <c r="B13" s="75">
        <f>VLOOKUP($A13,'Data Vlaue (Cr)'!$C:$FB,2)</f>
        <v>3100</v>
      </c>
      <c r="C13" s="75">
        <f>VLOOKUP($A13,'Data Vlaue (Cr)'!$C:$FB,8)</f>
        <v>369.3</v>
      </c>
      <c r="D13" s="75">
        <f>VLOOKUP($A13,'Data Vlaue (Cr)'!$C:$FB,4)</f>
        <v>371.3</v>
      </c>
      <c r="E13" s="75">
        <f>VLOOKUP($A13,'Data Vlaue (Cr)'!$C:$FB,5)</f>
        <v>361.65</v>
      </c>
      <c r="F13" s="75">
        <f t="shared" si="0"/>
        <v>2</v>
      </c>
      <c r="G13" s="75">
        <f t="shared" si="1"/>
        <v>2.5989765688122906</v>
      </c>
      <c r="H13" s="75">
        <f>VLOOKUP($A13,'Data Vlaue (Cr)'!$C:$FB,99)</f>
        <v>2429</v>
      </c>
      <c r="I13" s="75">
        <f>VLOOKUP($A13,'Data Vlaue (Cr)'!$C:$FB,100)</f>
        <v>2490</v>
      </c>
      <c r="J13" s="75">
        <f t="shared" si="2"/>
        <v>-61</v>
      </c>
      <c r="K13" s="75">
        <f t="shared" si="3"/>
        <v>-2.5113215314944424</v>
      </c>
      <c r="L13" s="75">
        <f>VLOOKUP($A13,'Data Vlaue (Cr)'!$C:$FB,67)</f>
        <v>3199</v>
      </c>
      <c r="M13" s="75">
        <f>VLOOKUP($A13,'Data Vlaue (Cr)'!$C:$FB,68)</f>
        <v>5501</v>
      </c>
      <c r="N13" s="75">
        <f t="shared" si="4"/>
        <v>-2302</v>
      </c>
      <c r="O13" s="75">
        <f t="shared" si="5"/>
        <v>-71.959987496092523</v>
      </c>
      <c r="P13" s="75">
        <f>VLOOKUP($A13,'Data Vlaue (Cr)'!$C:$FB,119)</f>
        <v>0.87</v>
      </c>
      <c r="Q13" s="75">
        <f>VLOOKUP($A13,'Data Vlaue (Cr)'!$C:$FB,122)*100</f>
        <v>11.540000000000001</v>
      </c>
      <c r="R13" s="75">
        <f>VLOOKUP($A13,'Data Vlaue (Cr)'!$C:$FB,125)</f>
        <v>0.56000000000000005</v>
      </c>
      <c r="S13" s="75">
        <f>VLOOKUP($A13,'Data Vlaue (Cr)'!$C:$FB,128)*100</f>
        <v>24.44</v>
      </c>
    </row>
    <row r="14" spans="1:19" x14ac:dyDescent="0.25">
      <c r="A14" s="96" t="str">
        <f>'Data Vlaue (Cr)'!C5</f>
        <v>ADANIENSOL</v>
      </c>
      <c r="B14" s="75">
        <f>VLOOKUP($A14,'Data Vlaue (Cr)'!$C:$FB,2)</f>
        <v>675</v>
      </c>
      <c r="C14" s="75">
        <f>VLOOKUP($A14,'Data Vlaue (Cr)'!$C:$FB,8)</f>
        <v>1407.3</v>
      </c>
      <c r="D14" s="75">
        <f>VLOOKUP($A14,'Data Vlaue (Cr)'!$C:$FB,4)</f>
        <v>1416.8</v>
      </c>
      <c r="E14" s="75">
        <f>VLOOKUP($A14,'Data Vlaue (Cr)'!$C:$FB,5)</f>
        <v>1418.1</v>
      </c>
      <c r="F14" s="75">
        <f t="shared" si="0"/>
        <v>9.5</v>
      </c>
      <c r="G14" s="75">
        <f t="shared" si="1"/>
        <v>-9.1756070016936378E-2</v>
      </c>
      <c r="H14" s="75">
        <f>VLOOKUP($A14,'Data Vlaue (Cr)'!$C:$FB,99)</f>
        <v>4323</v>
      </c>
      <c r="I14" s="75">
        <f>VLOOKUP($A14,'Data Vlaue (Cr)'!$C:$FB,100)</f>
        <v>4170</v>
      </c>
      <c r="J14" s="75">
        <f t="shared" si="2"/>
        <v>153</v>
      </c>
      <c r="K14" s="75">
        <f t="shared" si="3"/>
        <v>3.5392088827203327</v>
      </c>
      <c r="L14" s="75">
        <f>VLOOKUP($A14,'Data Vlaue (Cr)'!$C:$FB,67)</f>
        <v>2258</v>
      </c>
      <c r="M14" s="75">
        <f>VLOOKUP($A14,'Data Vlaue (Cr)'!$C:$FB,68)</f>
        <v>2324</v>
      </c>
      <c r="N14" s="75">
        <f t="shared" si="4"/>
        <v>-66</v>
      </c>
      <c r="O14" s="75">
        <f>N14/L14*100</f>
        <v>-2.9229406554472983</v>
      </c>
      <c r="P14" s="75">
        <f>VLOOKUP($A14,'Data Vlaue (Cr)'!$C:$FB,119)</f>
        <v>0.78</v>
      </c>
      <c r="Q14" s="75">
        <f>VLOOKUP($A14,'Data Vlaue (Cr)'!$C:$FB,122)*100</f>
        <v>0</v>
      </c>
      <c r="R14" s="75">
        <f>VLOOKUP($A14,'Data Vlaue (Cr)'!$C:$FB,125)</f>
        <v>0.44</v>
      </c>
      <c r="S14" s="75">
        <f>VLOOKUP($A14,'Data Vlaue (Cr)'!$C:$FB,128)*100</f>
        <v>-13.73</v>
      </c>
    </row>
    <row r="15" spans="1:19" x14ac:dyDescent="0.25">
      <c r="A15" s="96" t="str">
        <f>'Data Vlaue (Cr)'!C6</f>
        <v>ADANIENT</v>
      </c>
      <c r="B15" s="75">
        <f>VLOOKUP($A15,'Data Vlaue (Cr)'!$C:$FB,2)</f>
        <v>309</v>
      </c>
      <c r="C15" s="75">
        <f>VLOOKUP($A15,'Data Vlaue (Cr)'!$C:$FB,8)</f>
        <v>2540.3000000000002</v>
      </c>
      <c r="D15" s="75">
        <f>VLOOKUP($A15,'Data Vlaue (Cr)'!$C:$FB,4)</f>
        <v>2553.3000000000002</v>
      </c>
      <c r="E15" s="75">
        <f>VLOOKUP($A15,'Data Vlaue (Cr)'!$C:$FB,5)</f>
        <v>2473.1999999999998</v>
      </c>
      <c r="F15" s="75">
        <f t="shared" si="0"/>
        <v>13</v>
      </c>
      <c r="G15" s="75">
        <f t="shared" si="1"/>
        <v>3.1371166725414312</v>
      </c>
      <c r="H15" s="75">
        <f>VLOOKUP($A15,'Data Vlaue (Cr)'!$C:$FB,99)</f>
        <v>8467</v>
      </c>
      <c r="I15" s="75">
        <f>VLOOKUP($A15,'Data Vlaue (Cr)'!$C:$FB,100)</f>
        <v>8461</v>
      </c>
      <c r="J15" s="75">
        <f t="shared" si="2"/>
        <v>6</v>
      </c>
      <c r="K15" s="75">
        <f t="shared" si="3"/>
        <v>7.0863351836541869E-2</v>
      </c>
      <c r="L15" s="75">
        <f>VLOOKUP($A15,'Data Vlaue (Cr)'!$C:$FB,67)</f>
        <v>7377</v>
      </c>
      <c r="M15" s="75">
        <f>VLOOKUP($A15,'Data Vlaue (Cr)'!$C:$FB,68)</f>
        <v>3599</v>
      </c>
      <c r="N15" s="75">
        <f t="shared" si="4"/>
        <v>3778</v>
      </c>
      <c r="O15" s="75">
        <f t="shared" si="5"/>
        <v>51.213230310424294</v>
      </c>
      <c r="P15" s="75">
        <f>VLOOKUP($A15,'Data Vlaue (Cr)'!$C:$FB,119)</f>
        <v>0.84</v>
      </c>
      <c r="Q15" s="75">
        <f>VLOOKUP($A15,'Data Vlaue (Cr)'!$C:$FB,122)*100</f>
        <v>13.51</v>
      </c>
      <c r="R15" s="75">
        <f>VLOOKUP($A15,'Data Vlaue (Cr)'!$C:$FB,125)</f>
        <v>0.56999999999999995</v>
      </c>
      <c r="S15" s="75">
        <f>VLOOKUP($A15,'Data Vlaue (Cr)'!$C:$FB,128)*100</f>
        <v>-20.830000000000002</v>
      </c>
    </row>
    <row r="16" spans="1:19" x14ac:dyDescent="0.25">
      <c r="A16" s="96" t="str">
        <f>'Data Vlaue (Cr)'!C7</f>
        <v>ADANIGREEN</v>
      </c>
      <c r="B16" s="75">
        <f>VLOOKUP($A16,'Data Vlaue (Cr)'!$C:$FB,2)</f>
        <v>600</v>
      </c>
      <c r="C16" s="75">
        <f>VLOOKUP($A16,'Data Vlaue (Cr)'!$C:$FB,8)</f>
        <v>1353</v>
      </c>
      <c r="D16" s="75">
        <f>VLOOKUP($A16,'Data Vlaue (Cr)'!$C:$FB,4)</f>
        <v>1362.2</v>
      </c>
      <c r="E16" s="75">
        <f>VLOOKUP($A16,'Data Vlaue (Cr)'!$C:$FB,5)</f>
        <v>1336.9</v>
      </c>
      <c r="F16" s="75">
        <f t="shared" si="0"/>
        <v>9.2000000000000455</v>
      </c>
      <c r="G16" s="75">
        <f t="shared" si="1"/>
        <v>1.8572896784613091</v>
      </c>
      <c r="H16" s="75">
        <f>VLOOKUP($A16,'Data Vlaue (Cr)'!$C:$FB,99)</f>
        <v>4821</v>
      </c>
      <c r="I16" s="75">
        <f>VLOOKUP($A16,'Data Vlaue (Cr)'!$C:$FB,100)</f>
        <v>4646</v>
      </c>
      <c r="J16" s="75">
        <f t="shared" si="2"/>
        <v>175</v>
      </c>
      <c r="K16" s="75">
        <f t="shared" si="3"/>
        <v>3.6299522920555902</v>
      </c>
      <c r="L16" s="75">
        <f>VLOOKUP($A16,'Data Vlaue (Cr)'!$C:$FB,67)</f>
        <v>3506</v>
      </c>
      <c r="M16" s="75">
        <f>VLOOKUP($A16,'Data Vlaue (Cr)'!$C:$FB,68)</f>
        <v>3771</v>
      </c>
      <c r="N16" s="75">
        <f t="shared" si="4"/>
        <v>-265</v>
      </c>
      <c r="O16" s="75">
        <f t="shared" si="5"/>
        <v>-7.5584711922418713</v>
      </c>
      <c r="P16" s="75">
        <f>VLOOKUP($A16,'Data Vlaue (Cr)'!$C:$FB,119)</f>
        <v>0.72</v>
      </c>
      <c r="Q16" s="75">
        <f>VLOOKUP($A16,'Data Vlaue (Cr)'!$C:$FB,122)*100</f>
        <v>0</v>
      </c>
      <c r="R16" s="75">
        <f>VLOOKUP($A16,'Data Vlaue (Cr)'!$C:$FB,125)</f>
        <v>0.42</v>
      </c>
      <c r="S16" s="75">
        <f>VLOOKUP($A16,'Data Vlaue (Cr)'!$C:$FB,128)*100</f>
        <v>-2.33</v>
      </c>
    </row>
    <row r="17" spans="1:19" x14ac:dyDescent="0.25">
      <c r="A17" s="96" t="str">
        <f>'Data Vlaue (Cr)'!C8</f>
        <v>ADANIPORTS</v>
      </c>
      <c r="B17" s="75">
        <f>VLOOKUP($A17,'Data Vlaue (Cr)'!$C:$FB,2)</f>
        <v>475</v>
      </c>
      <c r="C17" s="75">
        <f>VLOOKUP($A17,'Data Vlaue (Cr)'!$C:$FB,8)</f>
        <v>1748.3</v>
      </c>
      <c r="D17" s="75">
        <f>VLOOKUP($A17,'Data Vlaue (Cr)'!$C:$FB,4)</f>
        <v>1758.1</v>
      </c>
      <c r="E17" s="75">
        <f>VLOOKUP($A17,'Data Vlaue (Cr)'!$C:$FB,5)</f>
        <v>1730.8</v>
      </c>
      <c r="F17" s="75">
        <f t="shared" si="0"/>
        <v>9.7999999999999545</v>
      </c>
      <c r="G17" s="75">
        <f t="shared" si="1"/>
        <v>1.5528126955235741</v>
      </c>
      <c r="H17" s="75">
        <f>VLOOKUP($A17,'Data Vlaue (Cr)'!$C:$FB,99)</f>
        <v>6581</v>
      </c>
      <c r="I17" s="75">
        <f>VLOOKUP($A17,'Data Vlaue (Cr)'!$C:$FB,100)</f>
        <v>6568</v>
      </c>
      <c r="J17" s="75">
        <f t="shared" si="2"/>
        <v>13</v>
      </c>
      <c r="K17" s="75">
        <f t="shared" si="3"/>
        <v>0.1975383680291749</v>
      </c>
      <c r="L17" s="75">
        <f>VLOOKUP($A17,'Data Vlaue (Cr)'!$C:$FB,67)</f>
        <v>4453</v>
      </c>
      <c r="M17" s="75">
        <f>VLOOKUP($A17,'Data Vlaue (Cr)'!$C:$FB,68)</f>
        <v>5543</v>
      </c>
      <c r="N17" s="75">
        <f t="shared" si="4"/>
        <v>-1090</v>
      </c>
      <c r="O17" s="75">
        <f t="shared" si="5"/>
        <v>-24.477880080844375</v>
      </c>
      <c r="P17" s="75">
        <f>VLOOKUP($A17,'Data Vlaue (Cr)'!$C:$FB,119)</f>
        <v>0.79</v>
      </c>
      <c r="Q17" s="75">
        <f>VLOOKUP($A17,'Data Vlaue (Cr)'!$C:$FB,122)*100</f>
        <v>3.95</v>
      </c>
      <c r="R17" s="75">
        <f>VLOOKUP($A17,'Data Vlaue (Cr)'!$C:$FB,125)</f>
        <v>0.57999999999999996</v>
      </c>
      <c r="S17" s="75">
        <f>VLOOKUP($A17,'Data Vlaue (Cr)'!$C:$FB,128)*100</f>
        <v>3.5700000000000003</v>
      </c>
    </row>
    <row r="18" spans="1:19" x14ac:dyDescent="0.25">
      <c r="A18" s="96" t="str">
        <f>'Data Vlaue (Cr)'!C9</f>
        <v>ADANIPOWER</v>
      </c>
      <c r="B18" s="75">
        <f>VLOOKUP($A18,'Data Vlaue (Cr)'!$C:$FB,2)</f>
        <v>3550</v>
      </c>
      <c r="C18" s="75">
        <f>VLOOKUP($A18,'Data Vlaue (Cr)'!$C:$FB,8)</f>
        <v>229.12</v>
      </c>
      <c r="D18" s="75">
        <f>VLOOKUP($A18,'Data Vlaue (Cr)'!$C:$FB,4)</f>
        <v>230.63</v>
      </c>
      <c r="E18" s="75">
        <f>VLOOKUP($A18,'Data Vlaue (Cr)'!$C:$FB,5)</f>
        <v>230.57</v>
      </c>
      <c r="F18" s="75">
        <f t="shared" si="0"/>
        <v>1.5099999999999909</v>
      </c>
      <c r="G18" s="75">
        <f t="shared" si="1"/>
        <v>2.6015696136670107E-2</v>
      </c>
      <c r="H18" s="75">
        <f>VLOOKUP($A18,'Data Vlaue (Cr)'!$C:$FB,99)</f>
        <v>3118</v>
      </c>
      <c r="I18" s="75">
        <f>VLOOKUP($A18,'Data Vlaue (Cr)'!$C:$FB,100)</f>
        <v>3038</v>
      </c>
      <c r="J18" s="75">
        <f t="shared" si="2"/>
        <v>80</v>
      </c>
      <c r="K18" s="75">
        <f t="shared" si="3"/>
        <v>2.5657472738935216</v>
      </c>
      <c r="L18" s="75">
        <f>VLOOKUP($A18,'Data Vlaue (Cr)'!$C:$FB,67)</f>
        <v>1908</v>
      </c>
      <c r="M18" s="75">
        <f>VLOOKUP($A18,'Data Vlaue (Cr)'!$C:$FB,68)</f>
        <v>1794</v>
      </c>
      <c r="N18" s="75">
        <f t="shared" si="4"/>
        <v>114</v>
      </c>
      <c r="O18" s="75">
        <f t="shared" si="5"/>
        <v>5.9748427672955975</v>
      </c>
      <c r="P18" s="75">
        <f>VLOOKUP($A18,'Data Vlaue (Cr)'!$C:$FB,119)</f>
        <v>0.7</v>
      </c>
      <c r="Q18" s="75">
        <f>VLOOKUP($A18,'Data Vlaue (Cr)'!$C:$FB,122)*100</f>
        <v>2.94</v>
      </c>
      <c r="R18" s="75">
        <f>VLOOKUP($A18,'Data Vlaue (Cr)'!$C:$FB,125)</f>
        <v>0.43</v>
      </c>
      <c r="S18" s="75">
        <f>VLOOKUP($A18,'Data Vlaue (Cr)'!$C:$FB,128)*100</f>
        <v>26.47</v>
      </c>
    </row>
    <row r="19" spans="1:19" x14ac:dyDescent="0.25">
      <c r="A19" s="96" t="str">
        <f>'Data Vlaue (Cr)'!C10</f>
        <v>ALKEM</v>
      </c>
      <c r="B19" s="75">
        <f>VLOOKUP($A19,'Data Vlaue (Cr)'!$C:$FB,2)</f>
        <v>125</v>
      </c>
      <c r="C19" s="75">
        <f>VLOOKUP($A19,'Data Vlaue (Cr)'!$C:$FB,8)</f>
        <v>5557</v>
      </c>
      <c r="D19" s="75">
        <f>VLOOKUP($A19,'Data Vlaue (Cr)'!$C:$FB,4)</f>
        <v>5549</v>
      </c>
      <c r="E19" s="75">
        <f>VLOOKUP($A19,'Data Vlaue (Cr)'!$C:$FB,5)</f>
        <v>5424.5</v>
      </c>
      <c r="F19" s="75">
        <f t="shared" si="0"/>
        <v>-8</v>
      </c>
      <c r="G19" s="75">
        <f t="shared" si="1"/>
        <v>2.2436475040547847</v>
      </c>
      <c r="H19" s="75">
        <f>VLOOKUP($A19,'Data Vlaue (Cr)'!$C:$FB,99)</f>
        <v>830</v>
      </c>
      <c r="I19" s="75">
        <f>VLOOKUP($A19,'Data Vlaue (Cr)'!$C:$FB,100)</f>
        <v>792</v>
      </c>
      <c r="J19" s="75">
        <f t="shared" si="2"/>
        <v>38</v>
      </c>
      <c r="K19" s="75">
        <f t="shared" si="3"/>
        <v>4.5783132530120483</v>
      </c>
      <c r="L19" s="75">
        <f>VLOOKUP($A19,'Data Vlaue (Cr)'!$C:$FB,67)</f>
        <v>828</v>
      </c>
      <c r="M19" s="75">
        <f>VLOOKUP($A19,'Data Vlaue (Cr)'!$C:$FB,68)</f>
        <v>202</v>
      </c>
      <c r="N19" s="75">
        <f t="shared" si="4"/>
        <v>626</v>
      </c>
      <c r="O19" s="75">
        <f t="shared" si="5"/>
        <v>75.60386473429952</v>
      </c>
      <c r="P19" s="75">
        <f>VLOOKUP($A19,'Data Vlaue (Cr)'!$C:$FB,119)</f>
        <v>0.65</v>
      </c>
      <c r="Q19" s="75">
        <f>VLOOKUP($A19,'Data Vlaue (Cr)'!$C:$FB,122)*100</f>
        <v>-7.1400000000000006</v>
      </c>
      <c r="R19" s="75">
        <f>VLOOKUP($A19,'Data Vlaue (Cr)'!$C:$FB,125)</f>
        <v>0.28999999999999998</v>
      </c>
      <c r="S19" s="75">
        <f>VLOOKUP($A19,'Data Vlaue (Cr)'!$C:$FB,128)*100</f>
        <v>-21.62</v>
      </c>
    </row>
    <row r="20" spans="1:19" x14ac:dyDescent="0.25">
      <c r="A20" s="96" t="str">
        <f>'Data Vlaue (Cr)'!C11</f>
        <v>AMBER</v>
      </c>
      <c r="B20" s="75">
        <f>VLOOKUP($A20,'Data Vlaue (Cr)'!$C:$FB,2)</f>
        <v>100</v>
      </c>
      <c r="C20" s="75">
        <f>VLOOKUP($A20,'Data Vlaue (Cr)'!$C:$FB,8)</f>
        <v>8661.5</v>
      </c>
      <c r="D20" s="75">
        <f>VLOOKUP($A20,'Data Vlaue (Cr)'!$C:$FB,4)</f>
        <v>8737.5</v>
      </c>
      <c r="E20" s="75">
        <f>VLOOKUP($A20,'Data Vlaue (Cr)'!$C:$FB,5)</f>
        <v>8248</v>
      </c>
      <c r="F20" s="75">
        <f t="shared" si="0"/>
        <v>76</v>
      </c>
      <c r="G20" s="75">
        <f t="shared" si="1"/>
        <v>5.6022889842632333</v>
      </c>
      <c r="H20" s="75">
        <f>VLOOKUP($A20,'Data Vlaue (Cr)'!$C:$FB,99)</f>
        <v>2306</v>
      </c>
      <c r="I20" s="75">
        <f>VLOOKUP($A20,'Data Vlaue (Cr)'!$C:$FB,100)</f>
        <v>1665</v>
      </c>
      <c r="J20" s="75">
        <f t="shared" si="2"/>
        <v>641</v>
      </c>
      <c r="K20" s="75">
        <f t="shared" si="3"/>
        <v>27.797051170858627</v>
      </c>
      <c r="L20" s="75">
        <f>VLOOKUP($A20,'Data Vlaue (Cr)'!$C:$FB,67)</f>
        <v>4216</v>
      </c>
      <c r="M20" s="75">
        <f>VLOOKUP($A20,'Data Vlaue (Cr)'!$C:$FB,68)</f>
        <v>1208</v>
      </c>
      <c r="N20" s="75">
        <f t="shared" si="4"/>
        <v>3008</v>
      </c>
      <c r="O20" s="75">
        <f t="shared" si="5"/>
        <v>71.347248576850092</v>
      </c>
      <c r="P20" s="75">
        <f>VLOOKUP($A20,'Data Vlaue (Cr)'!$C:$FB,119)</f>
        <v>0.51</v>
      </c>
      <c r="Q20" s="75">
        <f>VLOOKUP($A20,'Data Vlaue (Cr)'!$C:$FB,122)*100</f>
        <v>2</v>
      </c>
      <c r="R20" s="75">
        <f>VLOOKUP($A20,'Data Vlaue (Cr)'!$C:$FB,125)</f>
        <v>0.4</v>
      </c>
      <c r="S20" s="75">
        <f>VLOOKUP($A20,'Data Vlaue (Cr)'!$C:$FB,128)*100</f>
        <v>14.29</v>
      </c>
    </row>
    <row r="21" spans="1:19" x14ac:dyDescent="0.25">
      <c r="A21" s="96" t="str">
        <f>'Data Vlaue (Cr)'!C12</f>
        <v>AMBUJACEM</v>
      </c>
      <c r="B21" s="75">
        <f>VLOOKUP($A21,'Data Vlaue (Cr)'!$C:$FB,2)</f>
        <v>1050</v>
      </c>
      <c r="C21" s="75">
        <f>VLOOKUP($A21,'Data Vlaue (Cr)'!$C:$FB,8)</f>
        <v>446.9</v>
      </c>
      <c r="D21" s="75">
        <f>VLOOKUP($A21,'Data Vlaue (Cr)'!$C:$FB,4)</f>
        <v>448.95</v>
      </c>
      <c r="E21" s="75">
        <f>VLOOKUP($A21,'Data Vlaue (Cr)'!$C:$FB,5)</f>
        <v>435.3</v>
      </c>
      <c r="F21" s="75">
        <f t="shared" si="0"/>
        <v>2.0500000000000114</v>
      </c>
      <c r="G21" s="75">
        <f t="shared" si="1"/>
        <v>3.0404276645506134</v>
      </c>
      <c r="H21" s="75">
        <f>VLOOKUP($A21,'Data Vlaue (Cr)'!$C:$FB,99)</f>
        <v>4930</v>
      </c>
      <c r="I21" s="75">
        <f>VLOOKUP($A21,'Data Vlaue (Cr)'!$C:$FB,100)</f>
        <v>4811</v>
      </c>
      <c r="J21" s="75">
        <f t="shared" si="2"/>
        <v>119</v>
      </c>
      <c r="K21" s="75">
        <f t="shared" si="3"/>
        <v>2.4137931034482758</v>
      </c>
      <c r="L21" s="75">
        <f>VLOOKUP($A21,'Data Vlaue (Cr)'!$C:$FB,67)</f>
        <v>3262</v>
      </c>
      <c r="M21" s="75">
        <f>VLOOKUP($A21,'Data Vlaue (Cr)'!$C:$FB,68)</f>
        <v>3193</v>
      </c>
      <c r="N21" s="75">
        <f t="shared" si="4"/>
        <v>69</v>
      </c>
      <c r="O21" s="75">
        <f t="shared" si="5"/>
        <v>2.1152667075413856</v>
      </c>
      <c r="P21" s="75">
        <f>VLOOKUP($A21,'Data Vlaue (Cr)'!$C:$FB,119)</f>
        <v>0.56999999999999995</v>
      </c>
      <c r="Q21" s="75">
        <f>VLOOKUP($A21,'Data Vlaue (Cr)'!$C:$FB,122)*100</f>
        <v>5.56</v>
      </c>
      <c r="R21" s="75">
        <f>VLOOKUP($A21,'Data Vlaue (Cr)'!$C:$FB,125)</f>
        <v>0.33</v>
      </c>
      <c r="S21" s="75">
        <f>VLOOKUP($A21,'Data Vlaue (Cr)'!$C:$FB,128)*100</f>
        <v>-26.669999999999998</v>
      </c>
    </row>
    <row r="22" spans="1:19" x14ac:dyDescent="0.25">
      <c r="A22" s="96" t="str">
        <f>'Data Vlaue (Cr)'!C13</f>
        <v>ANGELONE</v>
      </c>
      <c r="B22" s="75">
        <f>VLOOKUP($A22,'Data Vlaue (Cr)'!$C:$FB,2)</f>
        <v>2500</v>
      </c>
      <c r="C22" s="75">
        <f>VLOOKUP($A22,'Data Vlaue (Cr)'!$C:$FB,8)</f>
        <v>316.85000000000002</v>
      </c>
      <c r="D22" s="75">
        <f>VLOOKUP($A22,'Data Vlaue (Cr)'!$C:$FB,4)</f>
        <v>318.5</v>
      </c>
      <c r="E22" s="75">
        <f>VLOOKUP($A22,'Data Vlaue (Cr)'!$C:$FB,5)</f>
        <v>315.89999999999998</v>
      </c>
      <c r="F22" s="75">
        <f t="shared" si="0"/>
        <v>1.6499999999999773</v>
      </c>
      <c r="G22" s="75">
        <f t="shared" si="1"/>
        <v>0.81632653061225213</v>
      </c>
      <c r="H22" s="75">
        <f>VLOOKUP($A22,'Data Vlaue (Cr)'!$C:$FB,99)</f>
        <v>1567</v>
      </c>
      <c r="I22" s="75">
        <f>VLOOKUP($A22,'Data Vlaue (Cr)'!$C:$FB,100)</f>
        <v>1521</v>
      </c>
      <c r="J22" s="75">
        <f t="shared" si="2"/>
        <v>46</v>
      </c>
      <c r="K22" s="75">
        <f t="shared" si="3"/>
        <v>2.9355456285896619</v>
      </c>
      <c r="L22" s="75">
        <f>VLOOKUP($A22,'Data Vlaue (Cr)'!$C:$FB,67)</f>
        <v>1587</v>
      </c>
      <c r="M22" s="75">
        <f>VLOOKUP($A22,'Data Vlaue (Cr)'!$C:$FB,68)</f>
        <v>1557</v>
      </c>
      <c r="N22" s="75">
        <f t="shared" si="4"/>
        <v>30</v>
      </c>
      <c r="O22" s="75">
        <f t="shared" si="5"/>
        <v>1.890359168241966</v>
      </c>
      <c r="P22" s="75">
        <f>VLOOKUP($A22,'Data Vlaue (Cr)'!$C:$FB,119)</f>
        <v>0.49</v>
      </c>
      <c r="Q22" s="75">
        <f>VLOOKUP($A22,'Data Vlaue (Cr)'!$C:$FB,122)*100</f>
        <v>-5.7700000000000005</v>
      </c>
      <c r="R22" s="75">
        <f>VLOOKUP($A22,'Data Vlaue (Cr)'!$C:$FB,125)</f>
        <v>0.32</v>
      </c>
      <c r="S22" s="75">
        <f>VLOOKUP($A22,'Data Vlaue (Cr)'!$C:$FB,128)*100</f>
        <v>-23.810000000000002</v>
      </c>
    </row>
    <row r="23" spans="1:19" x14ac:dyDescent="0.25">
      <c r="A23" s="96" t="str">
        <f>'Data Vlaue (Cr)'!C14</f>
        <v>APLAPOLLO</v>
      </c>
      <c r="B23" s="75">
        <f>VLOOKUP($A23,'Data Vlaue (Cr)'!$C:$FB,2)</f>
        <v>350</v>
      </c>
      <c r="C23" s="75">
        <f>VLOOKUP($A23,'Data Vlaue (Cr)'!$C:$FB,8)</f>
        <v>1914.7</v>
      </c>
      <c r="D23" s="75">
        <f>VLOOKUP($A23,'Data Vlaue (Cr)'!$C:$FB,4)</f>
        <v>1927.3</v>
      </c>
      <c r="E23" s="75">
        <f>VLOOKUP($A23,'Data Vlaue (Cr)'!$C:$FB,5)</f>
        <v>1881.6</v>
      </c>
      <c r="F23" s="75">
        <f t="shared" si="0"/>
        <v>12.599999999999909</v>
      </c>
      <c r="G23" s="75">
        <f t="shared" si="1"/>
        <v>2.3711928604783918</v>
      </c>
      <c r="H23" s="75">
        <f>VLOOKUP($A23,'Data Vlaue (Cr)'!$C:$FB,99)</f>
        <v>1729</v>
      </c>
      <c r="I23" s="75">
        <f>VLOOKUP($A23,'Data Vlaue (Cr)'!$C:$FB,100)</f>
        <v>1714</v>
      </c>
      <c r="J23" s="75">
        <f t="shared" si="2"/>
        <v>15</v>
      </c>
      <c r="K23" s="75">
        <f t="shared" si="3"/>
        <v>0.8675534991324465</v>
      </c>
      <c r="L23" s="75">
        <f>VLOOKUP($A23,'Data Vlaue (Cr)'!$C:$FB,67)</f>
        <v>802</v>
      </c>
      <c r="M23" s="75">
        <f>VLOOKUP($A23,'Data Vlaue (Cr)'!$C:$FB,68)</f>
        <v>818</v>
      </c>
      <c r="N23" s="75">
        <f t="shared" si="4"/>
        <v>-16</v>
      </c>
      <c r="O23" s="75">
        <f t="shared" si="5"/>
        <v>-1.99501246882793</v>
      </c>
      <c r="P23" s="75">
        <f>VLOOKUP($A23,'Data Vlaue (Cr)'!$C:$FB,119)</f>
        <v>0.53</v>
      </c>
      <c r="Q23" s="75">
        <f>VLOOKUP($A23,'Data Vlaue (Cr)'!$C:$FB,122)*100</f>
        <v>-3.64</v>
      </c>
      <c r="R23" s="75">
        <f>VLOOKUP($A23,'Data Vlaue (Cr)'!$C:$FB,125)</f>
        <v>0.26</v>
      </c>
      <c r="S23" s="75">
        <f>VLOOKUP($A23,'Data Vlaue (Cr)'!$C:$FB,128)*100</f>
        <v>-50</v>
      </c>
    </row>
    <row r="24" spans="1:19" x14ac:dyDescent="0.25">
      <c r="A24" s="96" t="str">
        <f>'Data Vlaue (Cr)'!C15</f>
        <v>APOLLOHOSP</v>
      </c>
      <c r="B24" s="75">
        <f>VLOOKUP($A24,'Data Vlaue (Cr)'!$C:$FB,2)</f>
        <v>125</v>
      </c>
      <c r="C24" s="75">
        <f>VLOOKUP($A24,'Data Vlaue (Cr)'!$C:$FB,8)</f>
        <v>7760.5</v>
      </c>
      <c r="D24" s="75">
        <f>VLOOKUP($A24,'Data Vlaue (Cr)'!$C:$FB,4)</f>
        <v>7814.5</v>
      </c>
      <c r="E24" s="75">
        <f>VLOOKUP($A24,'Data Vlaue (Cr)'!$C:$FB,5)</f>
        <v>7789.5</v>
      </c>
      <c r="F24" s="75">
        <f t="shared" si="0"/>
        <v>54</v>
      </c>
      <c r="G24" s="75">
        <f t="shared" si="1"/>
        <v>0.31991810096615264</v>
      </c>
      <c r="H24" s="75">
        <f>VLOOKUP($A24,'Data Vlaue (Cr)'!$C:$FB,99)</f>
        <v>2537</v>
      </c>
      <c r="I24" s="75">
        <f>VLOOKUP($A24,'Data Vlaue (Cr)'!$C:$FB,100)</f>
        <v>2475</v>
      </c>
      <c r="J24" s="75">
        <f t="shared" si="2"/>
        <v>62</v>
      </c>
      <c r="K24" s="75">
        <f t="shared" si="3"/>
        <v>2.4438312968072524</v>
      </c>
      <c r="L24" s="75">
        <f>VLOOKUP($A24,'Data Vlaue (Cr)'!$C:$FB,67)</f>
        <v>935</v>
      </c>
      <c r="M24" s="75">
        <f>VLOOKUP($A24,'Data Vlaue (Cr)'!$C:$FB,68)</f>
        <v>929</v>
      </c>
      <c r="N24" s="75">
        <f t="shared" si="4"/>
        <v>6</v>
      </c>
      <c r="O24" s="75">
        <f t="shared" si="5"/>
        <v>0.64171122994652408</v>
      </c>
      <c r="P24" s="75">
        <f>VLOOKUP($A24,'Data Vlaue (Cr)'!$C:$FB,119)</f>
        <v>0.6</v>
      </c>
      <c r="Q24" s="75">
        <f>VLOOKUP($A24,'Data Vlaue (Cr)'!$C:$FB,122)*100</f>
        <v>-4.7600000000000007</v>
      </c>
      <c r="R24" s="75">
        <f>VLOOKUP($A24,'Data Vlaue (Cr)'!$C:$FB,125)</f>
        <v>0.41</v>
      </c>
      <c r="S24" s="75">
        <f>VLOOKUP($A24,'Data Vlaue (Cr)'!$C:$FB,128)*100</f>
        <v>-22.64</v>
      </c>
    </row>
    <row r="25" spans="1:19" x14ac:dyDescent="0.25">
      <c r="A25" s="96" t="str">
        <f>'Data Vlaue (Cr)'!C16</f>
        <v>ASHOKLEY</v>
      </c>
      <c r="B25" s="75">
        <f>VLOOKUP($A25,'Data Vlaue (Cr)'!$C:$FB,2)</f>
        <v>5000</v>
      </c>
      <c r="C25" s="75">
        <f>VLOOKUP($A25,'Data Vlaue (Cr)'!$C:$FB,8)</f>
        <v>167.8</v>
      </c>
      <c r="D25" s="75">
        <f>VLOOKUP($A25,'Data Vlaue (Cr)'!$C:$FB,4)</f>
        <v>168.83</v>
      </c>
      <c r="E25" s="75">
        <f>VLOOKUP($A25,'Data Vlaue (Cr)'!$C:$FB,5)</f>
        <v>159.91</v>
      </c>
      <c r="F25" s="75">
        <f t="shared" si="0"/>
        <v>1.0300000000000011</v>
      </c>
      <c r="G25" s="75">
        <f t="shared" si="1"/>
        <v>5.2834211929159602</v>
      </c>
      <c r="H25" s="75">
        <f>VLOOKUP($A25,'Data Vlaue (Cr)'!$C:$FB,99)</f>
        <v>4789</v>
      </c>
      <c r="I25" s="75">
        <f>VLOOKUP($A25,'Data Vlaue (Cr)'!$C:$FB,100)</f>
        <v>4736</v>
      </c>
      <c r="J25" s="75">
        <f t="shared" si="2"/>
        <v>53</v>
      </c>
      <c r="K25" s="75">
        <f t="shared" si="3"/>
        <v>1.1067028607224889</v>
      </c>
      <c r="L25" s="75">
        <f>VLOOKUP($A25,'Data Vlaue (Cr)'!$C:$FB,67)</f>
        <v>4880</v>
      </c>
      <c r="M25" s="75">
        <f>VLOOKUP($A25,'Data Vlaue (Cr)'!$C:$FB,68)</f>
        <v>1845</v>
      </c>
      <c r="N25" s="75">
        <f t="shared" si="4"/>
        <v>3035</v>
      </c>
      <c r="O25" s="75">
        <f t="shared" si="5"/>
        <v>62.192622950819676</v>
      </c>
      <c r="P25" s="75">
        <f>VLOOKUP($A25,'Data Vlaue (Cr)'!$C:$FB,119)</f>
        <v>0.56000000000000005</v>
      </c>
      <c r="Q25" s="75">
        <f>VLOOKUP($A25,'Data Vlaue (Cr)'!$C:$FB,122)*100</f>
        <v>-1.7500000000000002</v>
      </c>
      <c r="R25" s="75">
        <f>VLOOKUP($A25,'Data Vlaue (Cr)'!$C:$FB,125)</f>
        <v>0.33</v>
      </c>
      <c r="S25" s="75">
        <f>VLOOKUP($A25,'Data Vlaue (Cr)'!$C:$FB,128)*100</f>
        <v>-42.11</v>
      </c>
    </row>
    <row r="26" spans="1:19" x14ac:dyDescent="0.25">
      <c r="A26" s="96" t="str">
        <f>'Data Vlaue (Cr)'!C17</f>
        <v>ASIANPAINT</v>
      </c>
      <c r="B26" s="75">
        <f>VLOOKUP($A26,'Data Vlaue (Cr)'!$C:$FB,2)</f>
        <v>250</v>
      </c>
      <c r="C26" s="75">
        <f>VLOOKUP($A26,'Data Vlaue (Cr)'!$C:$FB,8)</f>
        <v>2519</v>
      </c>
      <c r="D26" s="75">
        <f>VLOOKUP($A26,'Data Vlaue (Cr)'!$C:$FB,4)</f>
        <v>2530.5</v>
      </c>
      <c r="E26" s="75">
        <f>VLOOKUP($A26,'Data Vlaue (Cr)'!$C:$FB,5)</f>
        <v>2441.1</v>
      </c>
      <c r="F26" s="75">
        <f t="shared" si="0"/>
        <v>11.5</v>
      </c>
      <c r="G26" s="75">
        <f t="shared" si="1"/>
        <v>3.5328986366330799</v>
      </c>
      <c r="H26" s="75">
        <f>VLOOKUP($A26,'Data Vlaue (Cr)'!$C:$FB,99)</f>
        <v>5543</v>
      </c>
      <c r="I26" s="75">
        <f>VLOOKUP($A26,'Data Vlaue (Cr)'!$C:$FB,100)</f>
        <v>5444</v>
      </c>
      <c r="J26" s="75">
        <f t="shared" si="2"/>
        <v>99</v>
      </c>
      <c r="K26" s="75">
        <f t="shared" si="3"/>
        <v>1.786036442359733</v>
      </c>
      <c r="L26" s="75">
        <f>VLOOKUP($A26,'Data Vlaue (Cr)'!$C:$FB,67)</f>
        <v>4244</v>
      </c>
      <c r="M26" s="75">
        <f>VLOOKUP($A26,'Data Vlaue (Cr)'!$C:$FB,68)</f>
        <v>1499</v>
      </c>
      <c r="N26" s="75">
        <f t="shared" si="4"/>
        <v>2745</v>
      </c>
      <c r="O26" s="75">
        <f t="shared" si="5"/>
        <v>64.67954759660698</v>
      </c>
      <c r="P26" s="75">
        <f>VLOOKUP($A26,'Data Vlaue (Cr)'!$C:$FB,119)</f>
        <v>0.78</v>
      </c>
      <c r="Q26" s="75">
        <f>VLOOKUP($A26,'Data Vlaue (Cr)'!$C:$FB,122)*100</f>
        <v>-8.24</v>
      </c>
      <c r="R26" s="75">
        <f>VLOOKUP($A26,'Data Vlaue (Cr)'!$C:$FB,125)</f>
        <v>0.6</v>
      </c>
      <c r="S26" s="75">
        <f>VLOOKUP($A26,'Data Vlaue (Cr)'!$C:$FB,128)*100</f>
        <v>-16.669999999999998</v>
      </c>
    </row>
    <row r="27" spans="1:19" x14ac:dyDescent="0.25">
      <c r="A27" s="96" t="str">
        <f>'Data Vlaue (Cr)'!C18</f>
        <v>ASTRAL</v>
      </c>
      <c r="B27" s="75">
        <f>VLOOKUP($A27,'Data Vlaue (Cr)'!$C:$FB,2)</f>
        <v>425</v>
      </c>
      <c r="C27" s="75">
        <f>VLOOKUP($A27,'Data Vlaue (Cr)'!$C:$FB,8)</f>
        <v>1576.1</v>
      </c>
      <c r="D27" s="75">
        <f>VLOOKUP($A27,'Data Vlaue (Cr)'!$C:$FB,4)</f>
        <v>1583.4</v>
      </c>
      <c r="E27" s="75">
        <f>VLOOKUP($A27,'Data Vlaue (Cr)'!$C:$FB,5)</f>
        <v>1535.1</v>
      </c>
      <c r="F27" s="75">
        <f t="shared" si="0"/>
        <v>7.3000000000001819</v>
      </c>
      <c r="G27" s="75">
        <f t="shared" si="1"/>
        <v>3.0503978779840959</v>
      </c>
      <c r="H27" s="75">
        <f>VLOOKUP($A27,'Data Vlaue (Cr)'!$C:$FB,99)</f>
        <v>1877</v>
      </c>
      <c r="I27" s="75">
        <f>VLOOKUP($A27,'Data Vlaue (Cr)'!$C:$FB,100)</f>
        <v>1871</v>
      </c>
      <c r="J27" s="75">
        <f t="shared" si="2"/>
        <v>6</v>
      </c>
      <c r="K27" s="75">
        <f t="shared" si="3"/>
        <v>0.31965903036760784</v>
      </c>
      <c r="L27" s="75">
        <f>VLOOKUP($A27,'Data Vlaue (Cr)'!$C:$FB,67)</f>
        <v>1489</v>
      </c>
      <c r="M27" s="75">
        <f>VLOOKUP($A27,'Data Vlaue (Cr)'!$C:$FB,68)</f>
        <v>381</v>
      </c>
      <c r="N27" s="75">
        <f t="shared" si="4"/>
        <v>1108</v>
      </c>
      <c r="O27" s="75">
        <f t="shared" si="5"/>
        <v>74.412357286769648</v>
      </c>
      <c r="P27" s="75">
        <f>VLOOKUP($A27,'Data Vlaue (Cr)'!$C:$FB,119)</f>
        <v>0.57999999999999996</v>
      </c>
      <c r="Q27" s="75">
        <f>VLOOKUP($A27,'Data Vlaue (Cr)'!$C:$FB,122)*100</f>
        <v>-3.3300000000000005</v>
      </c>
      <c r="R27" s="75">
        <f>VLOOKUP($A27,'Data Vlaue (Cr)'!$C:$FB,125)</f>
        <v>0.31</v>
      </c>
      <c r="S27" s="75">
        <f>VLOOKUP($A27,'Data Vlaue (Cr)'!$C:$FB,128)*100</f>
        <v>-11.43</v>
      </c>
    </row>
    <row r="28" spans="1:19" x14ac:dyDescent="0.25">
      <c r="A28" s="96" t="str">
        <f>'Data Vlaue (Cr)'!C19</f>
        <v>AUBANK</v>
      </c>
      <c r="B28" s="75">
        <f>VLOOKUP($A28,'Data Vlaue (Cr)'!$C:$FB,2)</f>
        <v>1000</v>
      </c>
      <c r="C28" s="75">
        <f>VLOOKUP($A28,'Data Vlaue (Cr)'!$C:$FB,8)</f>
        <v>1024</v>
      </c>
      <c r="D28" s="75">
        <f>VLOOKUP($A28,'Data Vlaue (Cr)'!$C:$FB,4)</f>
        <v>1031.2</v>
      </c>
      <c r="E28" s="75">
        <f>VLOOKUP($A28,'Data Vlaue (Cr)'!$C:$FB,5)</f>
        <v>1012.9</v>
      </c>
      <c r="F28" s="75">
        <f t="shared" si="0"/>
        <v>7.2000000000000455</v>
      </c>
      <c r="G28" s="75">
        <f t="shared" si="1"/>
        <v>1.7746314972847232</v>
      </c>
      <c r="H28" s="75">
        <f>VLOOKUP($A28,'Data Vlaue (Cr)'!$C:$FB,99)</f>
        <v>4158</v>
      </c>
      <c r="I28" s="75">
        <f>VLOOKUP($A28,'Data Vlaue (Cr)'!$C:$FB,100)</f>
        <v>4106</v>
      </c>
      <c r="J28" s="75">
        <f t="shared" si="2"/>
        <v>52</v>
      </c>
      <c r="K28" s="75">
        <f t="shared" si="3"/>
        <v>1.2506012506012507</v>
      </c>
      <c r="L28" s="75">
        <f>VLOOKUP($A28,'Data Vlaue (Cr)'!$C:$FB,67)</f>
        <v>2181</v>
      </c>
      <c r="M28" s="75">
        <f>VLOOKUP($A28,'Data Vlaue (Cr)'!$C:$FB,68)</f>
        <v>1068</v>
      </c>
      <c r="N28" s="75">
        <f t="shared" si="4"/>
        <v>1113</v>
      </c>
      <c r="O28" s="75">
        <f t="shared" si="5"/>
        <v>51.031636863823934</v>
      </c>
      <c r="P28" s="75">
        <f>VLOOKUP($A28,'Data Vlaue (Cr)'!$C:$FB,119)</f>
        <v>0.55000000000000004</v>
      </c>
      <c r="Q28" s="75">
        <f>VLOOKUP($A28,'Data Vlaue (Cr)'!$C:$FB,122)*100</f>
        <v>5.7700000000000005</v>
      </c>
      <c r="R28" s="75">
        <f>VLOOKUP($A28,'Data Vlaue (Cr)'!$C:$FB,125)</f>
        <v>0.43</v>
      </c>
      <c r="S28" s="75">
        <f>VLOOKUP($A28,'Data Vlaue (Cr)'!$C:$FB,128)*100</f>
        <v>4.88</v>
      </c>
    </row>
    <row r="29" spans="1:19" x14ac:dyDescent="0.25">
      <c r="A29" s="96" t="str">
        <f>'Data Vlaue (Cr)'!C20</f>
        <v>AUROPHARMA</v>
      </c>
      <c r="B29" s="75">
        <f>VLOOKUP($A29,'Data Vlaue (Cr)'!$C:$FB,2)</f>
        <v>550</v>
      </c>
      <c r="C29" s="75">
        <f>VLOOKUP($A29,'Data Vlaue (Cr)'!$C:$FB,8)</f>
        <v>1484</v>
      </c>
      <c r="D29" s="75">
        <f>VLOOKUP($A29,'Data Vlaue (Cr)'!$C:$FB,4)</f>
        <v>1491.4</v>
      </c>
      <c r="E29" s="75">
        <f>VLOOKUP($A29,'Data Vlaue (Cr)'!$C:$FB,5)</f>
        <v>1431.7</v>
      </c>
      <c r="F29" s="75">
        <f t="shared" si="0"/>
        <v>7.4000000000000909</v>
      </c>
      <c r="G29" s="75">
        <f t="shared" si="1"/>
        <v>4.0029502480890464</v>
      </c>
      <c r="H29" s="75">
        <f>VLOOKUP($A29,'Data Vlaue (Cr)'!$C:$FB,99)</f>
        <v>3618</v>
      </c>
      <c r="I29" s="75">
        <f>VLOOKUP($A29,'Data Vlaue (Cr)'!$C:$FB,100)</f>
        <v>3546</v>
      </c>
      <c r="J29" s="75">
        <f t="shared" si="2"/>
        <v>72</v>
      </c>
      <c r="K29" s="75">
        <f t="shared" si="3"/>
        <v>1.9900497512437811</v>
      </c>
      <c r="L29" s="75">
        <f>VLOOKUP($A29,'Data Vlaue (Cr)'!$C:$FB,67)</f>
        <v>3249</v>
      </c>
      <c r="M29" s="75">
        <f>VLOOKUP($A29,'Data Vlaue (Cr)'!$C:$FB,68)</f>
        <v>1529</v>
      </c>
      <c r="N29" s="75">
        <f t="shared" si="4"/>
        <v>1720</v>
      </c>
      <c r="O29" s="75">
        <f t="shared" si="5"/>
        <v>52.939365958756547</v>
      </c>
      <c r="P29" s="75">
        <f>VLOOKUP($A29,'Data Vlaue (Cr)'!$C:$FB,119)</f>
        <v>0.8</v>
      </c>
      <c r="Q29" s="75">
        <f>VLOOKUP($A29,'Data Vlaue (Cr)'!$C:$FB,122)*100</f>
        <v>33.33</v>
      </c>
      <c r="R29" s="75">
        <f>VLOOKUP($A29,'Data Vlaue (Cr)'!$C:$FB,125)</f>
        <v>0.41</v>
      </c>
      <c r="S29" s="75">
        <f>VLOOKUP($A29,'Data Vlaue (Cr)'!$C:$FB,128)*100</f>
        <v>64</v>
      </c>
    </row>
    <row r="30" spans="1:19" x14ac:dyDescent="0.25">
      <c r="A30" s="96" t="str">
        <f>'Data Vlaue (Cr)'!C21</f>
        <v>AXISBANK</v>
      </c>
      <c r="B30" s="75">
        <f>VLOOKUP($A30,'Data Vlaue (Cr)'!$C:$FB,2)</f>
        <v>625</v>
      </c>
      <c r="C30" s="75">
        <f>VLOOKUP($A30,'Data Vlaue (Cr)'!$C:$FB,8)</f>
        <v>1294.2</v>
      </c>
      <c r="D30" s="75">
        <f>VLOOKUP($A30,'Data Vlaue (Cr)'!$C:$FB,4)</f>
        <v>1304.0999999999999</v>
      </c>
      <c r="E30" s="75">
        <f>VLOOKUP($A30,'Data Vlaue (Cr)'!$C:$FB,5)</f>
        <v>1265.7</v>
      </c>
      <c r="F30" s="75">
        <f t="shared" si="0"/>
        <v>9.8999999999998636</v>
      </c>
      <c r="G30" s="75">
        <f t="shared" si="1"/>
        <v>2.9445594662985868</v>
      </c>
      <c r="H30" s="75">
        <f>VLOOKUP($A30,'Data Vlaue (Cr)'!$C:$FB,99)</f>
        <v>12522</v>
      </c>
      <c r="I30" s="75">
        <f>VLOOKUP($A30,'Data Vlaue (Cr)'!$C:$FB,100)</f>
        <v>12458</v>
      </c>
      <c r="J30" s="75">
        <f t="shared" si="2"/>
        <v>64</v>
      </c>
      <c r="K30" s="75">
        <f t="shared" si="3"/>
        <v>0.51110046318479474</v>
      </c>
      <c r="L30" s="75">
        <f>VLOOKUP($A30,'Data Vlaue (Cr)'!$C:$FB,67)</f>
        <v>8388</v>
      </c>
      <c r="M30" s="75">
        <f>VLOOKUP($A30,'Data Vlaue (Cr)'!$C:$FB,68)</f>
        <v>4468</v>
      </c>
      <c r="N30" s="75">
        <f t="shared" si="4"/>
        <v>3920</v>
      </c>
      <c r="O30" s="75">
        <f t="shared" si="5"/>
        <v>46.733428707677632</v>
      </c>
      <c r="P30" s="75">
        <f>VLOOKUP($A30,'Data Vlaue (Cr)'!$C:$FB,119)</f>
        <v>0.73</v>
      </c>
      <c r="Q30" s="75">
        <f>VLOOKUP($A30,'Data Vlaue (Cr)'!$C:$FB,122)*100</f>
        <v>10.61</v>
      </c>
      <c r="R30" s="75">
        <f>VLOOKUP($A30,'Data Vlaue (Cr)'!$C:$FB,125)</f>
        <v>0.56000000000000005</v>
      </c>
      <c r="S30" s="75">
        <f>VLOOKUP($A30,'Data Vlaue (Cr)'!$C:$FB,128)*100</f>
        <v>16.669999999999998</v>
      </c>
    </row>
    <row r="31" spans="1:19" x14ac:dyDescent="0.25">
      <c r="A31" s="96" t="str">
        <f>'Data Vlaue (Cr)'!C22</f>
        <v>BAJAJ-AUTO</v>
      </c>
      <c r="B31" s="75">
        <f>VLOOKUP($A31,'Data Vlaue (Cr)'!$C:$FB,2)</f>
        <v>75</v>
      </c>
      <c r="C31" s="75">
        <f>VLOOKUP($A31,'Data Vlaue (Cr)'!$C:$FB,8)</f>
        <v>10319</v>
      </c>
      <c r="D31" s="75">
        <f>VLOOKUP($A31,'Data Vlaue (Cr)'!$C:$FB,4)</f>
        <v>10361</v>
      </c>
      <c r="E31" s="75">
        <f>VLOOKUP($A31,'Data Vlaue (Cr)'!$C:$FB,5)</f>
        <v>10090</v>
      </c>
      <c r="F31" s="75">
        <f t="shared" si="0"/>
        <v>42</v>
      </c>
      <c r="G31" s="75">
        <f t="shared" si="1"/>
        <v>2.6155776469452756</v>
      </c>
      <c r="H31" s="75">
        <f>VLOOKUP($A31,'Data Vlaue (Cr)'!$C:$FB,99)</f>
        <v>5956</v>
      </c>
      <c r="I31" s="75">
        <f>VLOOKUP($A31,'Data Vlaue (Cr)'!$C:$FB,100)</f>
        <v>5484</v>
      </c>
      <c r="J31" s="75">
        <f t="shared" si="2"/>
        <v>472</v>
      </c>
      <c r="K31" s="75">
        <f t="shared" si="3"/>
        <v>7.9247817327065153</v>
      </c>
      <c r="L31" s="75">
        <f>VLOOKUP($A31,'Data Vlaue (Cr)'!$C:$FB,67)</f>
        <v>9880</v>
      </c>
      <c r="M31" s="75">
        <f>VLOOKUP($A31,'Data Vlaue (Cr)'!$C:$FB,68)</f>
        <v>3049</v>
      </c>
      <c r="N31" s="75">
        <f t="shared" si="4"/>
        <v>6831</v>
      </c>
      <c r="O31" s="75">
        <f t="shared" si="5"/>
        <v>69.139676113360323</v>
      </c>
      <c r="P31" s="75">
        <f>VLOOKUP($A31,'Data Vlaue (Cr)'!$C:$FB,119)</f>
        <v>0.77</v>
      </c>
      <c r="Q31" s="75">
        <f>VLOOKUP($A31,'Data Vlaue (Cr)'!$C:$FB,122)*100</f>
        <v>-2.5299999999999998</v>
      </c>
      <c r="R31" s="75">
        <f>VLOOKUP($A31,'Data Vlaue (Cr)'!$C:$FB,125)</f>
        <v>0.43</v>
      </c>
      <c r="S31" s="75">
        <f>VLOOKUP($A31,'Data Vlaue (Cr)'!$C:$FB,128)*100</f>
        <v>-37.68</v>
      </c>
    </row>
    <row r="32" spans="1:19" x14ac:dyDescent="0.25">
      <c r="A32" s="96" t="str">
        <f>'Data Vlaue (Cr)'!C23</f>
        <v>BAJAJFINSV</v>
      </c>
      <c r="B32" s="75">
        <f>VLOOKUP($A32,'Data Vlaue (Cr)'!$C:$FB,2)</f>
        <v>250</v>
      </c>
      <c r="C32" s="75">
        <f>VLOOKUP($A32,'Data Vlaue (Cr)'!$C:$FB,8)</f>
        <v>1836.1</v>
      </c>
      <c r="D32" s="75">
        <f>VLOOKUP($A32,'Data Vlaue (Cr)'!$C:$FB,4)</f>
        <v>1846.9</v>
      </c>
      <c r="E32" s="75">
        <f>VLOOKUP($A32,'Data Vlaue (Cr)'!$C:$FB,5)</f>
        <v>1800</v>
      </c>
      <c r="F32" s="75">
        <f t="shared" si="0"/>
        <v>10.800000000000182</v>
      </c>
      <c r="G32" s="75">
        <f t="shared" si="1"/>
        <v>2.5393903297417344</v>
      </c>
      <c r="H32" s="75">
        <f>VLOOKUP($A32,'Data Vlaue (Cr)'!$C:$FB,99)</f>
        <v>3206</v>
      </c>
      <c r="I32" s="75">
        <f>VLOOKUP($A32,'Data Vlaue (Cr)'!$C:$FB,100)</f>
        <v>3230</v>
      </c>
      <c r="J32" s="75">
        <f t="shared" si="2"/>
        <v>-24</v>
      </c>
      <c r="K32" s="75">
        <f t="shared" si="3"/>
        <v>-0.74859638178415466</v>
      </c>
      <c r="L32" s="75">
        <f>VLOOKUP($A32,'Data Vlaue (Cr)'!$C:$FB,67)</f>
        <v>1858</v>
      </c>
      <c r="M32" s="75">
        <f>VLOOKUP($A32,'Data Vlaue (Cr)'!$C:$FB,68)</f>
        <v>1321</v>
      </c>
      <c r="N32" s="75">
        <f t="shared" si="4"/>
        <v>537</v>
      </c>
      <c r="O32" s="75">
        <f t="shared" si="5"/>
        <v>28.902045209903122</v>
      </c>
      <c r="P32" s="75">
        <f>VLOOKUP($A32,'Data Vlaue (Cr)'!$C:$FB,119)</f>
        <v>0.99</v>
      </c>
      <c r="Q32" s="75">
        <f>VLOOKUP($A32,'Data Vlaue (Cr)'!$C:$FB,122)*100</f>
        <v>2.06</v>
      </c>
      <c r="R32" s="75">
        <f>VLOOKUP($A32,'Data Vlaue (Cr)'!$C:$FB,125)</f>
        <v>0.5</v>
      </c>
      <c r="S32" s="75">
        <f>VLOOKUP($A32,'Data Vlaue (Cr)'!$C:$FB,128)*100</f>
        <v>-26.47</v>
      </c>
    </row>
    <row r="33" spans="1:19" x14ac:dyDescent="0.25">
      <c r="A33" s="96" t="str">
        <f>'Data Vlaue (Cr)'!C24</f>
        <v>BAJAJHLDNG</v>
      </c>
      <c r="B33" s="75">
        <f>VLOOKUP($A33,'Data Vlaue (Cr)'!$C:$FB,2)</f>
        <v>50</v>
      </c>
      <c r="C33" s="75">
        <f>VLOOKUP($A33,'Data Vlaue (Cr)'!$C:$FB,8)</f>
        <v>10612</v>
      </c>
      <c r="D33" s="75">
        <f>VLOOKUP($A33,'Data Vlaue (Cr)'!$C:$FB,4)</f>
        <v>10685</v>
      </c>
      <c r="E33" s="75">
        <f>VLOOKUP($A33,'Data Vlaue (Cr)'!$C:$FB,5)</f>
        <v>10531</v>
      </c>
      <c r="F33" s="75">
        <f t="shared" si="0"/>
        <v>73</v>
      </c>
      <c r="G33" s="75">
        <f t="shared" si="1"/>
        <v>1.441272812353767</v>
      </c>
      <c r="H33" s="75">
        <f>VLOOKUP($A33,'Data Vlaue (Cr)'!$C:$FB,99)</f>
        <v>395</v>
      </c>
      <c r="I33" s="75">
        <f>VLOOKUP($A33,'Data Vlaue (Cr)'!$C:$FB,100)</f>
        <v>371</v>
      </c>
      <c r="J33" s="75">
        <f t="shared" si="2"/>
        <v>24</v>
      </c>
      <c r="K33" s="75">
        <f t="shared" si="3"/>
        <v>6.0759493670886071</v>
      </c>
      <c r="L33" s="75">
        <f>VLOOKUP($A33,'Data Vlaue (Cr)'!$C:$FB,67)</f>
        <v>269</v>
      </c>
      <c r="M33" s="75">
        <f>VLOOKUP($A33,'Data Vlaue (Cr)'!$C:$FB,68)</f>
        <v>127</v>
      </c>
      <c r="N33" s="75">
        <f t="shared" si="4"/>
        <v>142</v>
      </c>
      <c r="O33" s="75">
        <f t="shared" si="5"/>
        <v>52.788104089219331</v>
      </c>
      <c r="P33" s="75">
        <f>VLOOKUP($A33,'Data Vlaue (Cr)'!$C:$FB,119)</f>
        <v>0.44</v>
      </c>
      <c r="Q33" s="75">
        <f>VLOOKUP($A33,'Data Vlaue (Cr)'!$C:$FB,122)*100</f>
        <v>10</v>
      </c>
      <c r="R33" s="75">
        <f>VLOOKUP($A33,'Data Vlaue (Cr)'!$C:$FB,125)</f>
        <v>0.11</v>
      </c>
      <c r="S33" s="75">
        <f>VLOOKUP($A33,'Data Vlaue (Cr)'!$C:$FB,128)*100</f>
        <v>-59.260000000000005</v>
      </c>
    </row>
    <row r="34" spans="1:19" x14ac:dyDescent="0.25">
      <c r="A34" s="96" t="str">
        <f>'Data Vlaue (Cr)'!C25</f>
        <v>BAJFINANCE</v>
      </c>
      <c r="B34" s="75">
        <f>VLOOKUP($A34,'Data Vlaue (Cr)'!$C:$FB,2)</f>
        <v>750</v>
      </c>
      <c r="C34" s="75">
        <f>VLOOKUP($A34,'Data Vlaue (Cr)'!$C:$FB,8)</f>
        <v>980.75</v>
      </c>
      <c r="D34" s="75">
        <f>VLOOKUP($A34,'Data Vlaue (Cr)'!$C:$FB,4)</f>
        <v>985.45</v>
      </c>
      <c r="E34" s="75">
        <f>VLOOKUP($A34,'Data Vlaue (Cr)'!$C:$FB,5)</f>
        <v>960.6</v>
      </c>
      <c r="F34" s="75">
        <f t="shared" si="0"/>
        <v>4.7000000000000455</v>
      </c>
      <c r="G34" s="75">
        <f t="shared" si="1"/>
        <v>2.5216905982038682</v>
      </c>
      <c r="H34" s="180">
        <f>VLOOKUP($A34,'Data Vlaue (Cr)'!$C:$FB,99)</f>
        <v>9822</v>
      </c>
      <c r="I34" s="180">
        <f>VLOOKUP($A34,'Data Vlaue (Cr)'!$C:$FB,100)</f>
        <v>9880</v>
      </c>
      <c r="J34" s="180">
        <f t="shared" si="2"/>
        <v>-58</v>
      </c>
      <c r="K34" s="180">
        <f t="shared" si="3"/>
        <v>-0.59051109753614339</v>
      </c>
      <c r="L34" s="180">
        <f>VLOOKUP($A34,'Data Vlaue (Cr)'!$C:$FB,67)</f>
        <v>6788</v>
      </c>
      <c r="M34" s="180">
        <f>VLOOKUP($A34,'Data Vlaue (Cr)'!$C:$FB,68)</f>
        <v>4232</v>
      </c>
      <c r="N34" s="180">
        <f t="shared" si="4"/>
        <v>2556</v>
      </c>
      <c r="O34" s="180">
        <f t="shared" si="5"/>
        <v>37.654684737772541</v>
      </c>
      <c r="P34" s="180">
        <f>VLOOKUP($A34,'Data Vlaue (Cr)'!$C:$FB,119)</f>
        <v>0.86</v>
      </c>
      <c r="Q34" s="180">
        <f>VLOOKUP($A34,'Data Vlaue (Cr)'!$C:$FB,122)*100</f>
        <v>10.26</v>
      </c>
      <c r="R34" s="180">
        <f>VLOOKUP($A34,'Data Vlaue (Cr)'!$C:$FB,125)</f>
        <v>0.51</v>
      </c>
      <c r="S34" s="180">
        <f>VLOOKUP($A34,'Data Vlaue (Cr)'!$C:$FB,128)*100</f>
        <v>-31.080000000000002</v>
      </c>
    </row>
    <row r="35" spans="1:19" x14ac:dyDescent="0.25">
      <c r="A35" s="96" t="str">
        <f>'Data Vlaue (Cr)'!C26</f>
        <v>BANDHANBNK</v>
      </c>
      <c r="B35" s="75">
        <f>VLOOKUP($A35,'Data Vlaue (Cr)'!$C:$FB,2)</f>
        <v>3600</v>
      </c>
      <c r="C35" s="75">
        <f>VLOOKUP($A35,'Data Vlaue (Cr)'!$C:$FB,8)</f>
        <v>208.88</v>
      </c>
      <c r="D35" s="75">
        <f>VLOOKUP($A35,'Data Vlaue (Cr)'!$C:$FB,4)</f>
        <v>210.34</v>
      </c>
      <c r="E35" s="75">
        <f>VLOOKUP($A35,'Data Vlaue (Cr)'!$C:$FB,5)</f>
        <v>207.7</v>
      </c>
      <c r="F35" s="75">
        <f t="shared" si="0"/>
        <v>1.460000000000008</v>
      </c>
      <c r="G35" s="75">
        <f t="shared" si="1"/>
        <v>1.2551107730341422</v>
      </c>
      <c r="H35" s="75">
        <f>VLOOKUP($A35,'Data Vlaue (Cr)'!$C:$FB,99)</f>
        <v>3668</v>
      </c>
      <c r="I35" s="75">
        <f>VLOOKUP($A35,'Data Vlaue (Cr)'!$C:$FB,100)</f>
        <v>3706</v>
      </c>
      <c r="J35" s="75">
        <f t="shared" si="2"/>
        <v>-38</v>
      </c>
      <c r="K35" s="75">
        <f t="shared" si="3"/>
        <v>-1.0359869138495092</v>
      </c>
      <c r="L35" s="75">
        <f>VLOOKUP($A35,'Data Vlaue (Cr)'!$C:$FB,67)</f>
        <v>1753</v>
      </c>
      <c r="M35" s="75">
        <f>VLOOKUP($A35,'Data Vlaue (Cr)'!$C:$FB,68)</f>
        <v>1843</v>
      </c>
      <c r="N35" s="75">
        <f t="shared" si="4"/>
        <v>-90</v>
      </c>
      <c r="O35" s="75">
        <f t="shared" si="5"/>
        <v>-5.1340559041642901</v>
      </c>
      <c r="P35" s="75">
        <f>VLOOKUP($A35,'Data Vlaue (Cr)'!$C:$FB,119)</f>
        <v>0.76</v>
      </c>
      <c r="Q35" s="75">
        <f>VLOOKUP($A35,'Data Vlaue (Cr)'!$C:$FB,122)*100</f>
        <v>0</v>
      </c>
      <c r="R35" s="75">
        <f>VLOOKUP($A35,'Data Vlaue (Cr)'!$C:$FB,125)</f>
        <v>0.63</v>
      </c>
      <c r="S35" s="75">
        <f>VLOOKUP($A35,'Data Vlaue (Cr)'!$C:$FB,128)*100</f>
        <v>-22.220000000000002</v>
      </c>
    </row>
    <row r="36" spans="1:19" x14ac:dyDescent="0.25">
      <c r="A36" s="96" t="str">
        <f>'Data Vlaue (Cr)'!C27</f>
        <v>BANKBARODA</v>
      </c>
      <c r="B36" s="75">
        <f>VLOOKUP($A36,'Data Vlaue (Cr)'!$C:$FB,2)</f>
        <v>2925</v>
      </c>
      <c r="C36" s="75">
        <f>VLOOKUP($A36,'Data Vlaue (Cr)'!$C:$FB,8)</f>
        <v>270.3</v>
      </c>
      <c r="D36" s="75">
        <f>VLOOKUP($A36,'Data Vlaue (Cr)'!$C:$FB,4)</f>
        <v>272.39999999999998</v>
      </c>
      <c r="E36" s="75">
        <f>VLOOKUP($A36,'Data Vlaue (Cr)'!$C:$FB,5)</f>
        <v>264.75</v>
      </c>
      <c r="F36" s="75">
        <f t="shared" si="0"/>
        <v>2.0999999999999659</v>
      </c>
      <c r="G36" s="75">
        <f t="shared" si="1"/>
        <v>2.8083700440528556</v>
      </c>
      <c r="H36" s="75">
        <f>VLOOKUP($A36,'Data Vlaue (Cr)'!$C:$FB,99)</f>
        <v>4803</v>
      </c>
      <c r="I36" s="75">
        <f>VLOOKUP($A36,'Data Vlaue (Cr)'!$C:$FB,100)</f>
        <v>4763</v>
      </c>
      <c r="J36" s="75">
        <f t="shared" si="2"/>
        <v>40</v>
      </c>
      <c r="K36" s="75">
        <f t="shared" si="3"/>
        <v>0.83281282531751</v>
      </c>
      <c r="L36" s="75">
        <f>VLOOKUP($A36,'Data Vlaue (Cr)'!$C:$FB,67)</f>
        <v>2445</v>
      </c>
      <c r="M36" s="75">
        <f>VLOOKUP($A36,'Data Vlaue (Cr)'!$C:$FB,68)</f>
        <v>926</v>
      </c>
      <c r="N36" s="75">
        <f t="shared" si="4"/>
        <v>1519</v>
      </c>
      <c r="O36" s="75">
        <f t="shared" si="5"/>
        <v>62.126789366053167</v>
      </c>
      <c r="P36" s="75">
        <f>VLOOKUP($A36,'Data Vlaue (Cr)'!$C:$FB,119)</f>
        <v>0.79</v>
      </c>
      <c r="Q36" s="75">
        <f>VLOOKUP($A36,'Data Vlaue (Cr)'!$C:$FB,122)*100</f>
        <v>1.28</v>
      </c>
      <c r="R36" s="75">
        <f>VLOOKUP($A36,'Data Vlaue (Cr)'!$C:$FB,125)</f>
        <v>0.35</v>
      </c>
      <c r="S36" s="75">
        <f>VLOOKUP($A36,'Data Vlaue (Cr)'!$C:$FB,128)*100</f>
        <v>-7.89</v>
      </c>
    </row>
    <row r="37" spans="1:19" x14ac:dyDescent="0.25">
      <c r="A37" s="96" t="str">
        <f>'Data Vlaue (Cr)'!C28</f>
        <v>BANKINDIA</v>
      </c>
      <c r="B37" s="75">
        <f>VLOOKUP($A37,'Data Vlaue (Cr)'!$C:$FB,2)</f>
        <v>5200</v>
      </c>
      <c r="C37" s="75">
        <f>VLOOKUP($A37,'Data Vlaue (Cr)'!$C:$FB,8)</f>
        <v>142.34</v>
      </c>
      <c r="D37" s="75">
        <f>VLOOKUP($A37,'Data Vlaue (Cr)'!$C:$FB,4)</f>
        <v>143.44</v>
      </c>
      <c r="E37" s="75">
        <f>VLOOKUP($A37,'Data Vlaue (Cr)'!$C:$FB,5)</f>
        <v>139.34</v>
      </c>
      <c r="F37" s="75">
        <f t="shared" si="0"/>
        <v>1.0999999999999943</v>
      </c>
      <c r="G37" s="75">
        <f t="shared" si="1"/>
        <v>2.8583379810373635</v>
      </c>
      <c r="H37" s="75">
        <f>VLOOKUP($A37,'Data Vlaue (Cr)'!$C:$FB,99)</f>
        <v>1378</v>
      </c>
      <c r="I37" s="75">
        <f>VLOOKUP($A37,'Data Vlaue (Cr)'!$C:$FB,100)</f>
        <v>1299</v>
      </c>
      <c r="J37" s="75">
        <f t="shared" si="2"/>
        <v>79</v>
      </c>
      <c r="K37" s="75">
        <f t="shared" si="3"/>
        <v>5.732946298984035</v>
      </c>
      <c r="L37" s="75">
        <f>VLOOKUP($A37,'Data Vlaue (Cr)'!$C:$FB,67)</f>
        <v>871</v>
      </c>
      <c r="M37" s="75">
        <f>VLOOKUP($A37,'Data Vlaue (Cr)'!$C:$FB,68)</f>
        <v>431</v>
      </c>
      <c r="N37" s="75">
        <f t="shared" si="4"/>
        <v>440</v>
      </c>
      <c r="O37" s="75">
        <f t="shared" si="5"/>
        <v>50.5166475315729</v>
      </c>
      <c r="P37" s="75">
        <f>VLOOKUP($A37,'Data Vlaue (Cr)'!$C:$FB,119)</f>
        <v>0.71</v>
      </c>
      <c r="Q37" s="75">
        <f>VLOOKUP($A37,'Data Vlaue (Cr)'!$C:$FB,122)*100</f>
        <v>-8.9700000000000006</v>
      </c>
      <c r="R37" s="75">
        <f>VLOOKUP($A37,'Data Vlaue (Cr)'!$C:$FB,125)</f>
        <v>0.47</v>
      </c>
      <c r="S37" s="75">
        <f>VLOOKUP($A37,'Data Vlaue (Cr)'!$C:$FB,128)*100</f>
        <v>17.5</v>
      </c>
    </row>
    <row r="38" spans="1:19" x14ac:dyDescent="0.25">
      <c r="A38" s="96" t="str">
        <f>'Data Vlaue (Cr)'!C29</f>
        <v>BANKNIFTY</v>
      </c>
      <c r="B38" s="75">
        <f>VLOOKUP($A38,'Data Vlaue (Cr)'!$C:$FB,2)</f>
        <v>30</v>
      </c>
      <c r="C38" s="75">
        <f>VLOOKUP($A38,'Data Vlaue (Cr)'!$C:$FB,8)</f>
        <v>55981.05</v>
      </c>
      <c r="D38" s="75">
        <f>VLOOKUP($A38,'Data Vlaue (Cr)'!$C:$FB,4)</f>
        <v>56348.6</v>
      </c>
      <c r="E38" s="75">
        <f>VLOOKUP($A38,'Data Vlaue (Cr)'!$C:$FB,5)</f>
        <v>54808</v>
      </c>
      <c r="F38" s="75">
        <f t="shared" si="0"/>
        <v>367.54999999999563</v>
      </c>
      <c r="G38" s="75">
        <f t="shared" si="1"/>
        <v>2.7340519551506133</v>
      </c>
      <c r="H38" s="75">
        <f>VLOOKUP($A38,'Data Vlaue (Cr)'!$C:$FB,99)</f>
        <v>165425</v>
      </c>
      <c r="I38" s="75">
        <f>VLOOKUP($A38,'Data Vlaue (Cr)'!$C:$FB,100)</f>
        <v>164234</v>
      </c>
      <c r="J38" s="75">
        <f t="shared" si="2"/>
        <v>1191</v>
      </c>
      <c r="K38" s="75">
        <f t="shared" si="3"/>
        <v>0.71996372978691248</v>
      </c>
      <c r="L38" s="75">
        <f>VLOOKUP($A38,'Data Vlaue (Cr)'!$C:$FB,67)</f>
        <v>500976</v>
      </c>
      <c r="M38" s="75">
        <f>VLOOKUP($A38,'Data Vlaue (Cr)'!$C:$FB,68)</f>
        <v>299681</v>
      </c>
      <c r="N38" s="75">
        <f t="shared" si="4"/>
        <v>201295</v>
      </c>
      <c r="O38" s="75">
        <f t="shared" si="5"/>
        <v>40.180567532177193</v>
      </c>
      <c r="P38" s="75">
        <f>VLOOKUP($A38,'Data Vlaue (Cr)'!$C:$FB,119)</f>
        <v>0.95</v>
      </c>
      <c r="Q38" s="75">
        <f>VLOOKUP($A38,'Data Vlaue (Cr)'!$C:$FB,122)*100</f>
        <v>11.76</v>
      </c>
      <c r="R38" s="75">
        <f>VLOOKUP($A38,'Data Vlaue (Cr)'!$C:$FB,125)</f>
        <v>0.85</v>
      </c>
      <c r="S38" s="75">
        <f>VLOOKUP($A38,'Data Vlaue (Cr)'!$C:$FB,128)*100</f>
        <v>1.1900000000000002</v>
      </c>
    </row>
    <row r="39" spans="1:19" x14ac:dyDescent="0.25">
      <c r="A39" s="96" t="str">
        <f>'Data Vlaue (Cr)'!C30</f>
        <v>BDL</v>
      </c>
      <c r="B39" s="75">
        <f>VLOOKUP($A39,'Data Vlaue (Cr)'!$C:$FB,2)</f>
        <v>350</v>
      </c>
      <c r="C39" s="75">
        <f>VLOOKUP($A39,'Data Vlaue (Cr)'!$C:$FB,8)</f>
        <v>1401.5</v>
      </c>
      <c r="D39" s="75">
        <f>VLOOKUP($A39,'Data Vlaue (Cr)'!$C:$FB,4)</f>
        <v>1402.2</v>
      </c>
      <c r="E39" s="75">
        <f>VLOOKUP($A39,'Data Vlaue (Cr)'!$C:$FB,5)</f>
        <v>1399.4</v>
      </c>
      <c r="F39" s="75">
        <f t="shared" si="0"/>
        <v>0.70000000000004547</v>
      </c>
      <c r="G39" s="75">
        <f t="shared" si="1"/>
        <v>0.19968620738838641</v>
      </c>
      <c r="H39" s="75">
        <f>VLOOKUP($A39,'Data Vlaue (Cr)'!$C:$FB,99)</f>
        <v>1019</v>
      </c>
      <c r="I39" s="75">
        <f>VLOOKUP($A39,'Data Vlaue (Cr)'!$C:$FB,100)</f>
        <v>943</v>
      </c>
      <c r="J39" s="75">
        <f t="shared" si="2"/>
        <v>76</v>
      </c>
      <c r="K39" s="75">
        <f t="shared" si="3"/>
        <v>7.4582924435721303</v>
      </c>
      <c r="L39" s="75">
        <f>VLOOKUP($A39,'Data Vlaue (Cr)'!$C:$FB,67)</f>
        <v>659</v>
      </c>
      <c r="M39" s="75">
        <f>VLOOKUP($A39,'Data Vlaue (Cr)'!$C:$FB,68)</f>
        <v>612</v>
      </c>
      <c r="N39" s="75">
        <f t="shared" si="4"/>
        <v>47</v>
      </c>
      <c r="O39" s="75">
        <f t="shared" si="5"/>
        <v>7.1320182094081943</v>
      </c>
      <c r="P39" s="75">
        <f>VLOOKUP($A39,'Data Vlaue (Cr)'!$C:$FB,119)</f>
        <v>0.53</v>
      </c>
      <c r="Q39" s="75">
        <f>VLOOKUP($A39,'Data Vlaue (Cr)'!$C:$FB,122)*100</f>
        <v>-10.17</v>
      </c>
      <c r="R39" s="75">
        <f>VLOOKUP($A39,'Data Vlaue (Cr)'!$C:$FB,125)</f>
        <v>0.25</v>
      </c>
      <c r="S39" s="75">
        <f>VLOOKUP($A39,'Data Vlaue (Cr)'!$C:$FB,128)*100</f>
        <v>-16.669999999999998</v>
      </c>
    </row>
    <row r="40" spans="1:19" x14ac:dyDescent="0.25">
      <c r="A40" s="96" t="str">
        <f>'Data Vlaue (Cr)'!C31</f>
        <v>BEL</v>
      </c>
      <c r="B40" s="75">
        <f>VLOOKUP($A40,'Data Vlaue (Cr)'!$C:$FB,2)</f>
        <v>1425</v>
      </c>
      <c r="C40" s="75">
        <f>VLOOKUP($A40,'Data Vlaue (Cr)'!$C:$FB,8)</f>
        <v>438.2</v>
      </c>
      <c r="D40" s="75">
        <f>VLOOKUP($A40,'Data Vlaue (Cr)'!$C:$FB,4)</f>
        <v>439.95</v>
      </c>
      <c r="E40" s="75">
        <f>VLOOKUP($A40,'Data Vlaue (Cr)'!$C:$FB,5)</f>
        <v>436.6</v>
      </c>
      <c r="F40" s="75">
        <f t="shared" si="0"/>
        <v>1.75</v>
      </c>
      <c r="G40" s="75">
        <f t="shared" si="1"/>
        <v>0.76145016479144578</v>
      </c>
      <c r="H40" s="75">
        <f>VLOOKUP($A40,'Data Vlaue (Cr)'!$C:$FB,99)</f>
        <v>8223</v>
      </c>
      <c r="I40" s="75">
        <f>VLOOKUP($A40,'Data Vlaue (Cr)'!$C:$FB,100)</f>
        <v>8061</v>
      </c>
      <c r="J40" s="75">
        <f t="shared" si="2"/>
        <v>162</v>
      </c>
      <c r="K40" s="75">
        <f t="shared" si="3"/>
        <v>1.9700839109813937</v>
      </c>
      <c r="L40" s="75">
        <f>VLOOKUP($A40,'Data Vlaue (Cr)'!$C:$FB,67)</f>
        <v>3033</v>
      </c>
      <c r="M40" s="75">
        <f>VLOOKUP($A40,'Data Vlaue (Cr)'!$C:$FB,68)</f>
        <v>2435</v>
      </c>
      <c r="N40" s="75">
        <f t="shared" si="4"/>
        <v>598</v>
      </c>
      <c r="O40" s="75">
        <f t="shared" si="5"/>
        <v>19.716452357401913</v>
      </c>
      <c r="P40" s="75">
        <f>VLOOKUP($A40,'Data Vlaue (Cr)'!$C:$FB,119)</f>
        <v>0.57999999999999996</v>
      </c>
      <c r="Q40" s="75">
        <f>VLOOKUP($A40,'Data Vlaue (Cr)'!$C:$FB,122)*100</f>
        <v>-7.9399999999999995</v>
      </c>
      <c r="R40" s="75">
        <f>VLOOKUP($A40,'Data Vlaue (Cr)'!$C:$FB,125)</f>
        <v>0.43</v>
      </c>
      <c r="S40" s="75">
        <f>VLOOKUP($A40,'Data Vlaue (Cr)'!$C:$FB,128)*100</f>
        <v>26.47</v>
      </c>
    </row>
    <row r="41" spans="1:19" x14ac:dyDescent="0.25">
      <c r="A41" s="96" t="str">
        <f>'Data Vlaue (Cr)'!C32</f>
        <v>BHARATFORG</v>
      </c>
      <c r="B41" s="75">
        <f>VLOOKUP($A41,'Data Vlaue (Cr)'!$C:$FB,2)</f>
        <v>500</v>
      </c>
      <c r="C41" s="75">
        <f>VLOOKUP($A41,'Data Vlaue (Cr)'!$C:$FB,8)</f>
        <v>1873.8</v>
      </c>
      <c r="D41" s="75">
        <f>VLOOKUP($A41,'Data Vlaue (Cr)'!$C:$FB,4)</f>
        <v>1883.8</v>
      </c>
      <c r="E41" s="75">
        <f>VLOOKUP($A41,'Data Vlaue (Cr)'!$C:$FB,5)</f>
        <v>1876.3</v>
      </c>
      <c r="F41" s="75">
        <f t="shared" si="0"/>
        <v>10</v>
      </c>
      <c r="G41" s="75">
        <f t="shared" si="1"/>
        <v>0.3981314364582228</v>
      </c>
      <c r="H41" s="75">
        <f>VLOOKUP($A41,'Data Vlaue (Cr)'!$C:$FB,99)</f>
        <v>2367</v>
      </c>
      <c r="I41" s="75">
        <f>VLOOKUP($A41,'Data Vlaue (Cr)'!$C:$FB,100)</f>
        <v>2203</v>
      </c>
      <c r="J41" s="75">
        <f t="shared" si="2"/>
        <v>164</v>
      </c>
      <c r="K41" s="75">
        <f t="shared" si="3"/>
        <v>6.9286016054076889</v>
      </c>
      <c r="L41" s="75">
        <f>VLOOKUP($A41,'Data Vlaue (Cr)'!$C:$FB,67)</f>
        <v>2721</v>
      </c>
      <c r="M41" s="75">
        <f>VLOOKUP($A41,'Data Vlaue (Cr)'!$C:$FB,68)</f>
        <v>1804</v>
      </c>
      <c r="N41" s="75">
        <f t="shared" si="4"/>
        <v>917</v>
      </c>
      <c r="O41" s="75">
        <f t="shared" si="5"/>
        <v>33.700845277471522</v>
      </c>
      <c r="P41" s="75">
        <f>VLOOKUP($A41,'Data Vlaue (Cr)'!$C:$FB,119)</f>
        <v>0.55000000000000004</v>
      </c>
      <c r="Q41" s="75">
        <f>VLOOKUP($A41,'Data Vlaue (Cr)'!$C:$FB,122)*100</f>
        <v>-8.33</v>
      </c>
      <c r="R41" s="75">
        <f>VLOOKUP($A41,'Data Vlaue (Cr)'!$C:$FB,125)</f>
        <v>0.61</v>
      </c>
      <c r="S41" s="75">
        <f>VLOOKUP($A41,'Data Vlaue (Cr)'!$C:$FB,128)*100</f>
        <v>0</v>
      </c>
    </row>
    <row r="42" spans="1:19" x14ac:dyDescent="0.25">
      <c r="A42" s="96" t="str">
        <f>'Data Vlaue (Cr)'!C33</f>
        <v>BHARTIARTL</v>
      </c>
      <c r="B42" s="75">
        <f>VLOOKUP($A42,'Data Vlaue (Cr)'!$C:$FB,2)</f>
        <v>475</v>
      </c>
      <c r="C42" s="75">
        <f>VLOOKUP($A42,'Data Vlaue (Cr)'!$C:$FB,8)</f>
        <v>1833.7</v>
      </c>
      <c r="D42" s="75">
        <f>VLOOKUP($A42,'Data Vlaue (Cr)'!$C:$FB,4)</f>
        <v>1844</v>
      </c>
      <c r="E42" s="75">
        <f>VLOOKUP($A42,'Data Vlaue (Cr)'!$C:$FB,5)</f>
        <v>1816.4</v>
      </c>
      <c r="F42" s="75">
        <f t="shared" si="0"/>
        <v>10.299999999999955</v>
      </c>
      <c r="G42" s="75">
        <f t="shared" si="1"/>
        <v>1.4967462039045505</v>
      </c>
      <c r="H42" s="75">
        <f>VLOOKUP($A42,'Data Vlaue (Cr)'!$C:$FB,99)</f>
        <v>15079</v>
      </c>
      <c r="I42" s="75">
        <f>VLOOKUP($A42,'Data Vlaue (Cr)'!$C:$FB,100)</f>
        <v>15032</v>
      </c>
      <c r="J42" s="75">
        <f t="shared" si="2"/>
        <v>47</v>
      </c>
      <c r="K42" s="75">
        <f t="shared" si="3"/>
        <v>0.31169175674779492</v>
      </c>
      <c r="L42" s="75">
        <f>VLOOKUP($A42,'Data Vlaue (Cr)'!$C:$FB,67)</f>
        <v>5862</v>
      </c>
      <c r="M42" s="75">
        <f>VLOOKUP($A42,'Data Vlaue (Cr)'!$C:$FB,68)</f>
        <v>7600</v>
      </c>
      <c r="N42" s="75">
        <f t="shared" si="4"/>
        <v>-1738</v>
      </c>
      <c r="O42" s="75">
        <f t="shared" si="5"/>
        <v>-29.648584100989421</v>
      </c>
      <c r="P42" s="75">
        <f>VLOOKUP($A42,'Data Vlaue (Cr)'!$C:$FB,119)</f>
        <v>0.56999999999999995</v>
      </c>
      <c r="Q42" s="75">
        <f>VLOOKUP($A42,'Data Vlaue (Cr)'!$C:$FB,122)*100</f>
        <v>1.79</v>
      </c>
      <c r="R42" s="75">
        <f>VLOOKUP($A42,'Data Vlaue (Cr)'!$C:$FB,125)</f>
        <v>0.53</v>
      </c>
      <c r="S42" s="75">
        <f>VLOOKUP($A42,'Data Vlaue (Cr)'!$C:$FB,128)*100</f>
        <v>23.26</v>
      </c>
    </row>
    <row r="43" spans="1:19" x14ac:dyDescent="0.25">
      <c r="A43" s="96" t="str">
        <f>'Data Vlaue (Cr)'!C34</f>
        <v>BHEL</v>
      </c>
      <c r="B43" s="75">
        <f>VLOOKUP($A43,'Data Vlaue (Cr)'!$C:$FB,2)</f>
        <v>2625</v>
      </c>
      <c r="C43" s="75">
        <f>VLOOKUP($A43,'Data Vlaue (Cr)'!$C:$FB,8)</f>
        <v>385.95</v>
      </c>
      <c r="D43" s="75">
        <f>VLOOKUP($A43,'Data Vlaue (Cr)'!$C:$FB,4)</f>
        <v>387.65</v>
      </c>
      <c r="E43" s="75">
        <f>VLOOKUP($A43,'Data Vlaue (Cr)'!$C:$FB,5)</f>
        <v>376.4</v>
      </c>
      <c r="F43" s="75">
        <f t="shared" si="0"/>
        <v>1.6999999999999886</v>
      </c>
      <c r="G43" s="75">
        <f t="shared" si="1"/>
        <v>2.9021024119695604</v>
      </c>
      <c r="H43" s="75">
        <f>VLOOKUP($A43,'Data Vlaue (Cr)'!$C:$FB,99)</f>
        <v>9045</v>
      </c>
      <c r="I43" s="75">
        <f>VLOOKUP($A43,'Data Vlaue (Cr)'!$C:$FB,100)</f>
        <v>8945</v>
      </c>
      <c r="J43" s="75">
        <f t="shared" si="2"/>
        <v>100</v>
      </c>
      <c r="K43" s="75">
        <f t="shared" si="3"/>
        <v>1.105583195135434</v>
      </c>
      <c r="L43" s="75">
        <f>VLOOKUP($A43,'Data Vlaue (Cr)'!$C:$FB,67)</f>
        <v>7624</v>
      </c>
      <c r="M43" s="75">
        <f>VLOOKUP($A43,'Data Vlaue (Cr)'!$C:$FB,68)</f>
        <v>9263</v>
      </c>
      <c r="N43" s="75">
        <f t="shared" si="4"/>
        <v>-1639</v>
      </c>
      <c r="O43" s="75">
        <f t="shared" si="5"/>
        <v>-21.497901364113325</v>
      </c>
      <c r="P43" s="75">
        <f>VLOOKUP($A43,'Data Vlaue (Cr)'!$C:$FB,119)</f>
        <v>0.9</v>
      </c>
      <c r="Q43" s="75">
        <f>VLOOKUP($A43,'Data Vlaue (Cr)'!$C:$FB,122)*100</f>
        <v>20</v>
      </c>
      <c r="R43" s="75">
        <f>VLOOKUP($A43,'Data Vlaue (Cr)'!$C:$FB,125)</f>
        <v>0.63</v>
      </c>
      <c r="S43" s="75">
        <f>VLOOKUP($A43,'Data Vlaue (Cr)'!$C:$FB,128)*100</f>
        <v>10.530000000000001</v>
      </c>
    </row>
    <row r="44" spans="1:19" x14ac:dyDescent="0.25">
      <c r="A44" s="96" t="str">
        <f>'Data Vlaue (Cr)'!C35</f>
        <v>BIOCON</v>
      </c>
      <c r="B44" s="75">
        <f>VLOOKUP($A44,'Data Vlaue (Cr)'!$C:$FB,2)</f>
        <v>2500</v>
      </c>
      <c r="C44" s="75">
        <f>VLOOKUP($A44,'Data Vlaue (Cr)'!$C:$FB,8)</f>
        <v>380.6</v>
      </c>
      <c r="D44" s="75">
        <f>VLOOKUP($A44,'Data Vlaue (Cr)'!$C:$FB,4)</f>
        <v>382.15</v>
      </c>
      <c r="E44" s="75">
        <f>VLOOKUP($A44,'Data Vlaue (Cr)'!$C:$FB,5)</f>
        <v>370.55</v>
      </c>
      <c r="F44" s="75">
        <f t="shared" si="0"/>
        <v>1.5499999999999545</v>
      </c>
      <c r="G44" s="75">
        <f t="shared" si="1"/>
        <v>3.0354572811723055</v>
      </c>
      <c r="H44" s="75">
        <f>VLOOKUP($A44,'Data Vlaue (Cr)'!$C:$FB,99)</f>
        <v>2252</v>
      </c>
      <c r="I44" s="75">
        <f>VLOOKUP($A44,'Data Vlaue (Cr)'!$C:$FB,100)</f>
        <v>2492</v>
      </c>
      <c r="J44" s="75">
        <f t="shared" si="2"/>
        <v>-240</v>
      </c>
      <c r="K44" s="75">
        <f t="shared" si="3"/>
        <v>-10.657193605683837</v>
      </c>
      <c r="L44" s="75">
        <f>VLOOKUP($A44,'Data Vlaue (Cr)'!$C:$FB,67)</f>
        <v>3526</v>
      </c>
      <c r="M44" s="75">
        <f>VLOOKUP($A44,'Data Vlaue (Cr)'!$C:$FB,68)</f>
        <v>1621</v>
      </c>
      <c r="N44" s="75">
        <f t="shared" si="4"/>
        <v>1905</v>
      </c>
      <c r="O44" s="75">
        <f t="shared" si="5"/>
        <v>54.027226318774815</v>
      </c>
      <c r="P44" s="75">
        <f>VLOOKUP($A44,'Data Vlaue (Cr)'!$C:$FB,119)</f>
        <v>0.67</v>
      </c>
      <c r="Q44" s="75">
        <f>VLOOKUP($A44,'Data Vlaue (Cr)'!$C:$FB,122)*100</f>
        <v>34</v>
      </c>
      <c r="R44" s="75">
        <f>VLOOKUP($A44,'Data Vlaue (Cr)'!$C:$FB,125)</f>
        <v>0.39</v>
      </c>
      <c r="S44" s="75">
        <f>VLOOKUP($A44,'Data Vlaue (Cr)'!$C:$FB,128)*100</f>
        <v>5.41</v>
      </c>
    </row>
    <row r="45" spans="1:19" x14ac:dyDescent="0.25">
      <c r="A45" s="96" t="str">
        <f>'Data Vlaue (Cr)'!C36</f>
        <v>BLUESTARCO</v>
      </c>
      <c r="B45" s="75">
        <f>VLOOKUP($A45,'Data Vlaue (Cr)'!$C:$FB,2)</f>
        <v>325</v>
      </c>
      <c r="C45" s="75">
        <f>VLOOKUP($A45,'Data Vlaue (Cr)'!$C:$FB,8)</f>
        <v>1806.6</v>
      </c>
      <c r="D45" s="75">
        <f>VLOOKUP($A45,'Data Vlaue (Cr)'!$C:$FB,4)</f>
        <v>1812.3</v>
      </c>
      <c r="E45" s="75">
        <f>VLOOKUP($A45,'Data Vlaue (Cr)'!$C:$FB,5)</f>
        <v>1805.4</v>
      </c>
      <c r="F45" s="75">
        <f t="shared" si="0"/>
        <v>5.7000000000000455</v>
      </c>
      <c r="G45" s="75">
        <f t="shared" si="1"/>
        <v>0.38073166694255167</v>
      </c>
      <c r="H45" s="75">
        <f>VLOOKUP($A45,'Data Vlaue (Cr)'!$C:$FB,99)</f>
        <v>1002</v>
      </c>
      <c r="I45" s="75">
        <f>VLOOKUP($A45,'Data Vlaue (Cr)'!$C:$FB,100)</f>
        <v>837</v>
      </c>
      <c r="J45" s="75">
        <f t="shared" si="2"/>
        <v>165</v>
      </c>
      <c r="K45" s="75">
        <f t="shared" si="3"/>
        <v>16.467065868263472</v>
      </c>
      <c r="L45" s="75">
        <f>VLOOKUP($A45,'Data Vlaue (Cr)'!$C:$FB,67)</f>
        <v>918</v>
      </c>
      <c r="M45" s="75">
        <f>VLOOKUP($A45,'Data Vlaue (Cr)'!$C:$FB,68)</f>
        <v>359</v>
      </c>
      <c r="N45" s="75">
        <f t="shared" si="4"/>
        <v>559</v>
      </c>
      <c r="O45" s="75">
        <f t="shared" si="5"/>
        <v>60.893246187363836</v>
      </c>
      <c r="P45" s="75">
        <f>VLOOKUP($A45,'Data Vlaue (Cr)'!$C:$FB,119)</f>
        <v>0.61</v>
      </c>
      <c r="Q45" s="75">
        <f>VLOOKUP($A45,'Data Vlaue (Cr)'!$C:$FB,122)*100</f>
        <v>-4.6899999999999995</v>
      </c>
      <c r="R45" s="75">
        <f>VLOOKUP($A45,'Data Vlaue (Cr)'!$C:$FB,125)</f>
        <v>0.34</v>
      </c>
      <c r="S45" s="75">
        <f>VLOOKUP($A45,'Data Vlaue (Cr)'!$C:$FB,128)*100</f>
        <v>-15</v>
      </c>
    </row>
    <row r="46" spans="1:19" x14ac:dyDescent="0.25">
      <c r="A46" s="96" t="str">
        <f>'Data Vlaue (Cr)'!C37</f>
        <v>BOSCHLTD</v>
      </c>
      <c r="B46" s="75">
        <f>VLOOKUP($A46,'Data Vlaue (Cr)'!$C:$FB,2)</f>
        <v>25</v>
      </c>
      <c r="C46" s="75">
        <f>VLOOKUP($A46,'Data Vlaue (Cr)'!$C:$FB,8)</f>
        <v>36645</v>
      </c>
      <c r="D46" s="75">
        <f>VLOOKUP($A46,'Data Vlaue (Cr)'!$C:$FB,4)</f>
        <v>36925</v>
      </c>
      <c r="E46" s="75">
        <f>VLOOKUP($A46,'Data Vlaue (Cr)'!$C:$FB,5)</f>
        <v>36080</v>
      </c>
      <c r="F46" s="75">
        <f t="shared" si="0"/>
        <v>280</v>
      </c>
      <c r="G46" s="75">
        <f t="shared" si="1"/>
        <v>2.2884224779959377</v>
      </c>
      <c r="H46" s="75">
        <f>VLOOKUP($A46,'Data Vlaue (Cr)'!$C:$FB,99)</f>
        <v>1283</v>
      </c>
      <c r="I46" s="75">
        <f>VLOOKUP($A46,'Data Vlaue (Cr)'!$C:$FB,100)</f>
        <v>1246</v>
      </c>
      <c r="J46" s="75">
        <f t="shared" si="2"/>
        <v>37</v>
      </c>
      <c r="K46" s="75">
        <f t="shared" si="3"/>
        <v>2.8838659392049886</v>
      </c>
      <c r="L46" s="75">
        <f>VLOOKUP($A46,'Data Vlaue (Cr)'!$C:$FB,67)</f>
        <v>337</v>
      </c>
      <c r="M46" s="75">
        <f>VLOOKUP($A46,'Data Vlaue (Cr)'!$C:$FB,68)</f>
        <v>236</v>
      </c>
      <c r="N46" s="75">
        <f t="shared" si="4"/>
        <v>101</v>
      </c>
      <c r="O46" s="75">
        <f t="shared" si="5"/>
        <v>29.970326409495552</v>
      </c>
      <c r="P46" s="75">
        <f>VLOOKUP($A46,'Data Vlaue (Cr)'!$C:$FB,119)</f>
        <v>0.72</v>
      </c>
      <c r="Q46" s="75">
        <f>VLOOKUP($A46,'Data Vlaue (Cr)'!$C:$FB,122)*100</f>
        <v>-8.86</v>
      </c>
      <c r="R46" s="75">
        <f>VLOOKUP($A46,'Data Vlaue (Cr)'!$C:$FB,125)</f>
        <v>0.36</v>
      </c>
      <c r="S46" s="75">
        <f>VLOOKUP($A46,'Data Vlaue (Cr)'!$C:$FB,128)*100</f>
        <v>-34.549999999999997</v>
      </c>
    </row>
    <row r="47" spans="1:19" x14ac:dyDescent="0.25">
      <c r="A47" s="96" t="str">
        <f>'Data Vlaue (Cr)'!C38</f>
        <v>BPCL</v>
      </c>
      <c r="B47" s="75">
        <f>VLOOKUP($A47,'Data Vlaue (Cr)'!$C:$FB,2)</f>
        <v>1975</v>
      </c>
      <c r="C47" s="75">
        <f>VLOOKUP($A47,'Data Vlaue (Cr)'!$C:$FB,8)</f>
        <v>314.05</v>
      </c>
      <c r="D47" s="75">
        <f>VLOOKUP($A47,'Data Vlaue (Cr)'!$C:$FB,4)</f>
        <v>316.14999999999998</v>
      </c>
      <c r="E47" s="75">
        <f>VLOOKUP($A47,'Data Vlaue (Cr)'!$C:$FB,5)</f>
        <v>300.25</v>
      </c>
      <c r="F47" s="75">
        <f t="shared" si="0"/>
        <v>2.0999999999999659</v>
      </c>
      <c r="G47" s="75">
        <f t="shared" si="1"/>
        <v>5.0292582634825171</v>
      </c>
      <c r="H47" s="75">
        <f>VLOOKUP($A47,'Data Vlaue (Cr)'!$C:$FB,99)</f>
        <v>3000</v>
      </c>
      <c r="I47" s="75">
        <f>VLOOKUP($A47,'Data Vlaue (Cr)'!$C:$FB,100)</f>
        <v>2924</v>
      </c>
      <c r="J47" s="75">
        <f t="shared" si="2"/>
        <v>76</v>
      </c>
      <c r="K47" s="75">
        <f t="shared" si="3"/>
        <v>2.5333333333333332</v>
      </c>
      <c r="L47" s="75">
        <f>VLOOKUP($A47,'Data Vlaue (Cr)'!$C:$FB,67)</f>
        <v>2890</v>
      </c>
      <c r="M47" s="75">
        <f>VLOOKUP($A47,'Data Vlaue (Cr)'!$C:$FB,68)</f>
        <v>1380</v>
      </c>
      <c r="N47" s="75">
        <f t="shared" si="4"/>
        <v>1510</v>
      </c>
      <c r="O47" s="75">
        <f t="shared" si="5"/>
        <v>52.249134948096888</v>
      </c>
      <c r="P47" s="75">
        <f>VLOOKUP($A47,'Data Vlaue (Cr)'!$C:$FB,119)</f>
        <v>0.67</v>
      </c>
      <c r="Q47" s="75">
        <f>VLOOKUP($A47,'Data Vlaue (Cr)'!$C:$FB,122)*100</f>
        <v>0</v>
      </c>
      <c r="R47" s="75">
        <f>VLOOKUP($A47,'Data Vlaue (Cr)'!$C:$FB,125)</f>
        <v>0.42</v>
      </c>
      <c r="S47" s="75">
        <f>VLOOKUP($A47,'Data Vlaue (Cr)'!$C:$FB,128)*100</f>
        <v>-50</v>
      </c>
    </row>
    <row r="48" spans="1:19" x14ac:dyDescent="0.25">
      <c r="A48" s="96" t="str">
        <f>'Data Vlaue (Cr)'!C39</f>
        <v>BRITANNIA</v>
      </c>
      <c r="B48" s="75">
        <f>VLOOKUP($A48,'Data Vlaue (Cr)'!$C:$FB,2)</f>
        <v>125</v>
      </c>
      <c r="C48" s="75">
        <f>VLOOKUP($A48,'Data Vlaue (Cr)'!$C:$FB,8)</f>
        <v>5783</v>
      </c>
      <c r="D48" s="75">
        <f>VLOOKUP($A48,'Data Vlaue (Cr)'!$C:$FB,4)</f>
        <v>5795.5</v>
      </c>
      <c r="E48" s="75">
        <f>VLOOKUP($A48,'Data Vlaue (Cr)'!$C:$FB,5)</f>
        <v>5843</v>
      </c>
      <c r="F48" s="75">
        <f t="shared" si="0"/>
        <v>12.5</v>
      </c>
      <c r="G48" s="75">
        <f t="shared" si="1"/>
        <v>-0.81960141489086347</v>
      </c>
      <c r="H48" s="75">
        <f>VLOOKUP($A48,'Data Vlaue (Cr)'!$C:$FB,99)</f>
        <v>2455</v>
      </c>
      <c r="I48" s="75">
        <f>VLOOKUP($A48,'Data Vlaue (Cr)'!$C:$FB,100)</f>
        <v>2331</v>
      </c>
      <c r="J48" s="75">
        <f t="shared" si="2"/>
        <v>124</v>
      </c>
      <c r="K48" s="75">
        <f t="shared" si="3"/>
        <v>5.0509164969450095</v>
      </c>
      <c r="L48" s="75">
        <f>VLOOKUP($A48,'Data Vlaue (Cr)'!$C:$FB,67)</f>
        <v>1555</v>
      </c>
      <c r="M48" s="75">
        <f>VLOOKUP($A48,'Data Vlaue (Cr)'!$C:$FB,68)</f>
        <v>1488</v>
      </c>
      <c r="N48" s="75">
        <f t="shared" si="4"/>
        <v>67</v>
      </c>
      <c r="O48" s="75">
        <f t="shared" si="5"/>
        <v>4.3086816720257239</v>
      </c>
      <c r="P48" s="75">
        <f>VLOOKUP($A48,'Data Vlaue (Cr)'!$C:$FB,119)</f>
        <v>0.78</v>
      </c>
      <c r="Q48" s="75">
        <f>VLOOKUP($A48,'Data Vlaue (Cr)'!$C:$FB,122)*100</f>
        <v>21.88</v>
      </c>
      <c r="R48" s="75">
        <f>VLOOKUP($A48,'Data Vlaue (Cr)'!$C:$FB,125)</f>
        <v>0.75</v>
      </c>
      <c r="S48" s="75">
        <f>VLOOKUP($A48,'Data Vlaue (Cr)'!$C:$FB,128)*100</f>
        <v>59.57</v>
      </c>
    </row>
    <row r="49" spans="1:19" x14ac:dyDescent="0.25">
      <c r="A49" s="96" t="str">
        <f>'Data Vlaue (Cr)'!C40</f>
        <v>BSE</v>
      </c>
      <c r="B49" s="75">
        <f>VLOOKUP($A49,'Data Vlaue (Cr)'!$C:$FB,2)</f>
        <v>375</v>
      </c>
      <c r="C49" s="75">
        <f>VLOOKUP($A49,'Data Vlaue (Cr)'!$C:$FB,8)</f>
        <v>3852.1</v>
      </c>
      <c r="D49" s="75">
        <f>VLOOKUP($A49,'Data Vlaue (Cr)'!$C:$FB,4)</f>
        <v>3860.5</v>
      </c>
      <c r="E49" s="75">
        <f>VLOOKUP($A49,'Data Vlaue (Cr)'!$C:$FB,5)</f>
        <v>3744</v>
      </c>
      <c r="F49" s="75">
        <f t="shared" si="0"/>
        <v>8.4000000000000909</v>
      </c>
      <c r="G49" s="75">
        <f t="shared" si="1"/>
        <v>3.0177438155679317</v>
      </c>
      <c r="H49" s="75">
        <f>VLOOKUP($A49,'Data Vlaue (Cr)'!$C:$FB,99)</f>
        <v>7309</v>
      </c>
      <c r="I49" s="75">
        <f>VLOOKUP($A49,'Data Vlaue (Cr)'!$C:$FB,100)</f>
        <v>6672</v>
      </c>
      <c r="J49" s="75">
        <f t="shared" si="2"/>
        <v>637</v>
      </c>
      <c r="K49" s="75">
        <f t="shared" si="3"/>
        <v>8.7152825283896558</v>
      </c>
      <c r="L49" s="75">
        <f>VLOOKUP($A49,'Data Vlaue (Cr)'!$C:$FB,67)</f>
        <v>8968</v>
      </c>
      <c r="M49" s="75">
        <f>VLOOKUP($A49,'Data Vlaue (Cr)'!$C:$FB,68)</f>
        <v>6049</v>
      </c>
      <c r="N49" s="75">
        <f t="shared" si="4"/>
        <v>2919</v>
      </c>
      <c r="O49" s="75">
        <f t="shared" si="5"/>
        <v>32.549063336306872</v>
      </c>
      <c r="P49" s="75">
        <f>VLOOKUP($A49,'Data Vlaue (Cr)'!$C:$FB,119)</f>
        <v>0.93</v>
      </c>
      <c r="Q49" s="75">
        <f>VLOOKUP($A49,'Data Vlaue (Cr)'!$C:$FB,122)*100</f>
        <v>9.41</v>
      </c>
      <c r="R49" s="75">
        <f>VLOOKUP($A49,'Data Vlaue (Cr)'!$C:$FB,125)</f>
        <v>0.65</v>
      </c>
      <c r="S49" s="75">
        <f>VLOOKUP($A49,'Data Vlaue (Cr)'!$C:$FB,128)*100</f>
        <v>0</v>
      </c>
    </row>
    <row r="50" spans="1:19" x14ac:dyDescent="0.25">
      <c r="A50" s="96" t="str">
        <f>'Data Vlaue (Cr)'!C41</f>
        <v>CAMS</v>
      </c>
      <c r="B50" s="75">
        <f>VLOOKUP($A50,'Data Vlaue (Cr)'!$C:$FB,2)</f>
        <v>750</v>
      </c>
      <c r="C50" s="75">
        <f>VLOOKUP($A50,'Data Vlaue (Cr)'!$C:$FB,8)</f>
        <v>815.85</v>
      </c>
      <c r="D50" s="75">
        <f>VLOOKUP($A50,'Data Vlaue (Cr)'!$C:$FB,4)</f>
        <v>814.8</v>
      </c>
      <c r="E50" s="75">
        <f>VLOOKUP($A50,'Data Vlaue (Cr)'!$C:$FB,5)</f>
        <v>801</v>
      </c>
      <c r="F50" s="75">
        <f t="shared" si="0"/>
        <v>-1.0500000000000682</v>
      </c>
      <c r="G50" s="75">
        <f t="shared" si="1"/>
        <v>1.693667157584678</v>
      </c>
      <c r="H50" s="75">
        <f>VLOOKUP($A50,'Data Vlaue (Cr)'!$C:$FB,99)</f>
        <v>1302</v>
      </c>
      <c r="I50" s="75">
        <f>VLOOKUP($A50,'Data Vlaue (Cr)'!$C:$FB,100)</f>
        <v>1308</v>
      </c>
      <c r="J50" s="75">
        <f t="shared" si="2"/>
        <v>-6</v>
      </c>
      <c r="K50" s="75">
        <f t="shared" si="3"/>
        <v>-0.46082949308755761</v>
      </c>
      <c r="L50" s="75">
        <f>VLOOKUP($A50,'Data Vlaue (Cr)'!$C:$FB,67)</f>
        <v>2295</v>
      </c>
      <c r="M50" s="75">
        <f>VLOOKUP($A50,'Data Vlaue (Cr)'!$C:$FB,68)</f>
        <v>8761</v>
      </c>
      <c r="N50" s="75">
        <f t="shared" si="4"/>
        <v>-6466</v>
      </c>
      <c r="O50" s="75">
        <f t="shared" si="5"/>
        <v>-281.74291938997823</v>
      </c>
      <c r="P50" s="75">
        <f>VLOOKUP($A50,'Data Vlaue (Cr)'!$C:$FB,119)</f>
        <v>0.95</v>
      </c>
      <c r="Q50" s="75">
        <f>VLOOKUP($A50,'Data Vlaue (Cr)'!$C:$FB,122)*100</f>
        <v>-8.6499999999999986</v>
      </c>
      <c r="R50" s="75">
        <f>VLOOKUP($A50,'Data Vlaue (Cr)'!$C:$FB,125)</f>
        <v>0.56000000000000005</v>
      </c>
      <c r="S50" s="75">
        <f>VLOOKUP($A50,'Data Vlaue (Cr)'!$C:$FB,128)*100</f>
        <v>55.559999999999995</v>
      </c>
    </row>
    <row r="51" spans="1:19" x14ac:dyDescent="0.25">
      <c r="A51" s="96" t="str">
        <f>'Data Vlaue (Cr)'!C42</f>
        <v>CANBK</v>
      </c>
      <c r="B51" s="75">
        <f>VLOOKUP($A51,'Data Vlaue (Cr)'!$C:$FB,2)</f>
        <v>6750</v>
      </c>
      <c r="C51" s="75">
        <f>VLOOKUP($A51,'Data Vlaue (Cr)'!$C:$FB,8)</f>
        <v>138.04</v>
      </c>
      <c r="D51" s="75">
        <f>VLOOKUP($A51,'Data Vlaue (Cr)'!$C:$FB,4)</f>
        <v>139</v>
      </c>
      <c r="E51" s="75">
        <f>VLOOKUP($A51,'Data Vlaue (Cr)'!$C:$FB,5)</f>
        <v>134.71</v>
      </c>
      <c r="F51" s="75">
        <f t="shared" si="0"/>
        <v>0.96000000000000796</v>
      </c>
      <c r="G51" s="75">
        <f t="shared" si="1"/>
        <v>3.0863309352517931</v>
      </c>
      <c r="H51" s="75">
        <f>VLOOKUP($A51,'Data Vlaue (Cr)'!$C:$FB,99)</f>
        <v>4995</v>
      </c>
      <c r="I51" s="75">
        <f>VLOOKUP($A51,'Data Vlaue (Cr)'!$C:$FB,100)</f>
        <v>4913</v>
      </c>
      <c r="J51" s="75">
        <f t="shared" si="2"/>
        <v>82</v>
      </c>
      <c r="K51" s="75">
        <f t="shared" si="3"/>
        <v>1.6416416416416415</v>
      </c>
      <c r="L51" s="75">
        <f>VLOOKUP($A51,'Data Vlaue (Cr)'!$C:$FB,67)</f>
        <v>2420</v>
      </c>
      <c r="M51" s="75">
        <f>VLOOKUP($A51,'Data Vlaue (Cr)'!$C:$FB,68)</f>
        <v>1207</v>
      </c>
      <c r="N51" s="75">
        <f t="shared" si="4"/>
        <v>1213</v>
      </c>
      <c r="O51" s="75">
        <f t="shared" si="5"/>
        <v>50.123966942148755</v>
      </c>
      <c r="P51" s="75">
        <f>VLOOKUP($A51,'Data Vlaue (Cr)'!$C:$FB,119)</f>
        <v>0.95</v>
      </c>
      <c r="Q51" s="75">
        <f>VLOOKUP($A51,'Data Vlaue (Cr)'!$C:$FB,122)*100</f>
        <v>1.06</v>
      </c>
      <c r="R51" s="75">
        <f>VLOOKUP($A51,'Data Vlaue (Cr)'!$C:$FB,125)</f>
        <v>0.44</v>
      </c>
      <c r="S51" s="75">
        <f>VLOOKUP($A51,'Data Vlaue (Cr)'!$C:$FB,128)*100</f>
        <v>-30.159999999999997</v>
      </c>
    </row>
    <row r="52" spans="1:19" x14ac:dyDescent="0.25">
      <c r="A52" s="96" t="str">
        <f>'Data Vlaue (Cr)'!C43</f>
        <v>CDSL</v>
      </c>
      <c r="B52" s="75">
        <f>VLOOKUP($A52,'Data Vlaue (Cr)'!$C:$FB,2)</f>
        <v>475</v>
      </c>
      <c r="C52" s="75">
        <f>VLOOKUP($A52,'Data Vlaue (Cr)'!$C:$FB,8)</f>
        <v>1282.8</v>
      </c>
      <c r="D52" s="75">
        <f>VLOOKUP($A52,'Data Vlaue (Cr)'!$C:$FB,4)</f>
        <v>1288.5</v>
      </c>
      <c r="E52" s="75">
        <f>VLOOKUP($A52,'Data Vlaue (Cr)'!$C:$FB,5)</f>
        <v>1255.8</v>
      </c>
      <c r="F52" s="75">
        <f t="shared" si="0"/>
        <v>5.7000000000000455</v>
      </c>
      <c r="G52" s="75">
        <f t="shared" si="1"/>
        <v>2.5378346915017498</v>
      </c>
      <c r="H52" s="75">
        <f>VLOOKUP($A52,'Data Vlaue (Cr)'!$C:$FB,99)</f>
        <v>3079</v>
      </c>
      <c r="I52" s="75">
        <f>VLOOKUP($A52,'Data Vlaue (Cr)'!$C:$FB,100)</f>
        <v>3047</v>
      </c>
      <c r="J52" s="75">
        <f t="shared" si="2"/>
        <v>32</v>
      </c>
      <c r="K52" s="75">
        <f t="shared" si="3"/>
        <v>1.039298473530367</v>
      </c>
      <c r="L52" s="75">
        <f>VLOOKUP($A52,'Data Vlaue (Cr)'!$C:$FB,67)</f>
        <v>3411</v>
      </c>
      <c r="M52" s="75">
        <f>VLOOKUP($A52,'Data Vlaue (Cr)'!$C:$FB,68)</f>
        <v>2230</v>
      </c>
      <c r="N52" s="75">
        <f t="shared" si="4"/>
        <v>1181</v>
      </c>
      <c r="O52" s="75">
        <f t="shared" si="5"/>
        <v>34.623277631193197</v>
      </c>
      <c r="P52" s="75">
        <f>VLOOKUP($A52,'Data Vlaue (Cr)'!$C:$FB,119)</f>
        <v>0.75</v>
      </c>
      <c r="Q52" s="75">
        <f>VLOOKUP($A52,'Data Vlaue (Cr)'!$C:$FB,122)*100</f>
        <v>2.74</v>
      </c>
      <c r="R52" s="75">
        <f>VLOOKUP($A52,'Data Vlaue (Cr)'!$C:$FB,125)</f>
        <v>0.36</v>
      </c>
      <c r="S52" s="75">
        <f>VLOOKUP($A52,'Data Vlaue (Cr)'!$C:$FB,128)*100</f>
        <v>-12.2</v>
      </c>
    </row>
    <row r="53" spans="1:19" x14ac:dyDescent="0.25">
      <c r="A53" s="96" t="str">
        <f>'Data Vlaue (Cr)'!C44</f>
        <v>CGPOWER</v>
      </c>
      <c r="B53" s="75">
        <f>VLOOKUP($A53,'Data Vlaue (Cr)'!$C:$FB,2)</f>
        <v>850</v>
      </c>
      <c r="C53" s="75">
        <f>VLOOKUP($A53,'Data Vlaue (Cr)'!$C:$FB,8)</f>
        <v>828.9</v>
      </c>
      <c r="D53" s="75">
        <f>VLOOKUP($A53,'Data Vlaue (Cr)'!$C:$FB,4)</f>
        <v>833.4</v>
      </c>
      <c r="E53" s="75">
        <f>VLOOKUP($A53,'Data Vlaue (Cr)'!$C:$FB,5)</f>
        <v>831.8</v>
      </c>
      <c r="F53" s="75">
        <f t="shared" si="0"/>
        <v>4.5</v>
      </c>
      <c r="G53" s="75">
        <f t="shared" si="1"/>
        <v>0.19198464122870443</v>
      </c>
      <c r="H53" s="75">
        <f>VLOOKUP($A53,'Data Vlaue (Cr)'!$C:$FB,99)</f>
        <v>3119</v>
      </c>
      <c r="I53" s="75">
        <f>VLOOKUP($A53,'Data Vlaue (Cr)'!$C:$FB,100)</f>
        <v>2569</v>
      </c>
      <c r="J53" s="75">
        <f t="shared" si="2"/>
        <v>550</v>
      </c>
      <c r="K53" s="75">
        <f t="shared" si="3"/>
        <v>17.633857005450466</v>
      </c>
      <c r="L53" s="75">
        <f>VLOOKUP($A53,'Data Vlaue (Cr)'!$C:$FB,67)</f>
        <v>6083</v>
      </c>
      <c r="M53" s="75">
        <f>VLOOKUP($A53,'Data Vlaue (Cr)'!$C:$FB,68)</f>
        <v>2209</v>
      </c>
      <c r="N53" s="75">
        <f t="shared" si="4"/>
        <v>3874</v>
      </c>
      <c r="O53" s="75">
        <f t="shared" si="5"/>
        <v>63.685681407200391</v>
      </c>
      <c r="P53" s="75">
        <f>VLOOKUP($A53,'Data Vlaue (Cr)'!$C:$FB,119)</f>
        <v>0.61</v>
      </c>
      <c r="Q53" s="75">
        <f>VLOOKUP($A53,'Data Vlaue (Cr)'!$C:$FB,122)*100</f>
        <v>15.09</v>
      </c>
      <c r="R53" s="75">
        <f>VLOOKUP($A53,'Data Vlaue (Cr)'!$C:$FB,125)</f>
        <v>0.38</v>
      </c>
      <c r="S53" s="75">
        <f>VLOOKUP($A53,'Data Vlaue (Cr)'!$C:$FB,128)*100</f>
        <v>26.669999999999998</v>
      </c>
    </row>
    <row r="54" spans="1:19" x14ac:dyDescent="0.25">
      <c r="A54" s="96" t="str">
        <f>'Data Vlaue (Cr)'!C45</f>
        <v>CHOLAFIN</v>
      </c>
      <c r="B54" s="75">
        <f>VLOOKUP($A54,'Data Vlaue (Cr)'!$C:$FB,2)</f>
        <v>625</v>
      </c>
      <c r="C54" s="75">
        <f>VLOOKUP($A54,'Data Vlaue (Cr)'!$C:$FB,8)</f>
        <v>1711.9</v>
      </c>
      <c r="D54" s="75">
        <f>VLOOKUP($A54,'Data Vlaue (Cr)'!$C:$FB,4)</f>
        <v>1722.6</v>
      </c>
      <c r="E54" s="75">
        <f>VLOOKUP($A54,'Data Vlaue (Cr)'!$C:$FB,5)</f>
        <v>1661.8</v>
      </c>
      <c r="F54" s="75">
        <f t="shared" si="0"/>
        <v>10.699999999999818</v>
      </c>
      <c r="G54" s="75">
        <f t="shared" si="1"/>
        <v>3.5295483571345621</v>
      </c>
      <c r="H54" s="75">
        <f>VLOOKUP($A54,'Data Vlaue (Cr)'!$C:$FB,99)</f>
        <v>4156</v>
      </c>
      <c r="I54" s="75">
        <f>VLOOKUP($A54,'Data Vlaue (Cr)'!$C:$FB,100)</f>
        <v>4109</v>
      </c>
      <c r="J54" s="75">
        <f t="shared" si="2"/>
        <v>47</v>
      </c>
      <c r="K54" s="75">
        <f t="shared" si="3"/>
        <v>1.1308950914340712</v>
      </c>
      <c r="L54" s="75">
        <f>VLOOKUP($A54,'Data Vlaue (Cr)'!$C:$FB,67)</f>
        <v>1892</v>
      </c>
      <c r="M54" s="75">
        <f>VLOOKUP($A54,'Data Vlaue (Cr)'!$C:$FB,68)</f>
        <v>1765</v>
      </c>
      <c r="N54" s="75">
        <f t="shared" si="4"/>
        <v>127</v>
      </c>
      <c r="O54" s="75">
        <f t="shared" si="5"/>
        <v>6.7124735729386886</v>
      </c>
      <c r="P54" s="75">
        <f>VLOOKUP($A54,'Data Vlaue (Cr)'!$C:$FB,119)</f>
        <v>0.88</v>
      </c>
      <c r="Q54" s="75">
        <f>VLOOKUP($A54,'Data Vlaue (Cr)'!$C:$FB,122)*100</f>
        <v>-2.2200000000000002</v>
      </c>
      <c r="R54" s="75">
        <f>VLOOKUP($A54,'Data Vlaue (Cr)'!$C:$FB,125)</f>
        <v>0.7</v>
      </c>
      <c r="S54" s="75">
        <f>VLOOKUP($A54,'Data Vlaue (Cr)'!$C:$FB,128)*100</f>
        <v>1.4500000000000002</v>
      </c>
    </row>
    <row r="55" spans="1:19" x14ac:dyDescent="0.25">
      <c r="A55" s="96" t="str">
        <f>'Data Vlaue (Cr)'!C46</f>
        <v>CIPLA</v>
      </c>
      <c r="B55" s="75">
        <f>VLOOKUP($A55,'Data Vlaue (Cr)'!$C:$FB,2)</f>
        <v>375</v>
      </c>
      <c r="C55" s="75">
        <f>VLOOKUP($A55,'Data Vlaue (Cr)'!$C:$FB,8)</f>
        <v>1364.4</v>
      </c>
      <c r="D55" s="75">
        <f>VLOOKUP($A55,'Data Vlaue (Cr)'!$C:$FB,4)</f>
        <v>1370</v>
      </c>
      <c r="E55" s="75">
        <f>VLOOKUP($A55,'Data Vlaue (Cr)'!$C:$FB,5)</f>
        <v>1336.7</v>
      </c>
      <c r="F55" s="75">
        <f t="shared" si="0"/>
        <v>5.5999999999999091</v>
      </c>
      <c r="G55" s="75">
        <f t="shared" si="1"/>
        <v>2.4306569343065658</v>
      </c>
      <c r="H55" s="75">
        <f>VLOOKUP($A55,'Data Vlaue (Cr)'!$C:$FB,99)</f>
        <v>3002</v>
      </c>
      <c r="I55" s="75">
        <f>VLOOKUP($A55,'Data Vlaue (Cr)'!$C:$FB,100)</f>
        <v>2955</v>
      </c>
      <c r="J55" s="75">
        <f t="shared" si="2"/>
        <v>47</v>
      </c>
      <c r="K55" s="75">
        <f t="shared" si="3"/>
        <v>1.5656229180546302</v>
      </c>
      <c r="L55" s="75">
        <f>VLOOKUP($A55,'Data Vlaue (Cr)'!$C:$FB,67)</f>
        <v>2015</v>
      </c>
      <c r="M55" s="75">
        <f>VLOOKUP($A55,'Data Vlaue (Cr)'!$C:$FB,68)</f>
        <v>963</v>
      </c>
      <c r="N55" s="75">
        <f t="shared" si="4"/>
        <v>1052</v>
      </c>
      <c r="O55" s="75">
        <f t="shared" si="5"/>
        <v>52.208436724565757</v>
      </c>
      <c r="P55" s="75">
        <f>VLOOKUP($A55,'Data Vlaue (Cr)'!$C:$FB,119)</f>
        <v>0.72</v>
      </c>
      <c r="Q55" s="75">
        <f>VLOOKUP($A55,'Data Vlaue (Cr)'!$C:$FB,122)*100</f>
        <v>9.09</v>
      </c>
      <c r="R55" s="75">
        <f>VLOOKUP($A55,'Data Vlaue (Cr)'!$C:$FB,125)</f>
        <v>0.35</v>
      </c>
      <c r="S55" s="75">
        <f>VLOOKUP($A55,'Data Vlaue (Cr)'!$C:$FB,128)*100</f>
        <v>-27.08</v>
      </c>
    </row>
    <row r="56" spans="1:19" x14ac:dyDescent="0.25">
      <c r="A56" s="96" t="str">
        <f>'Data Vlaue (Cr)'!C47</f>
        <v>COALINDIA</v>
      </c>
      <c r="B56" s="75">
        <f>VLOOKUP($A56,'Data Vlaue (Cr)'!$C:$FB,2)</f>
        <v>1350</v>
      </c>
      <c r="C56" s="75">
        <f>VLOOKUP($A56,'Data Vlaue (Cr)'!$C:$FB,8)</f>
        <v>470.2</v>
      </c>
      <c r="D56" s="75">
        <f>VLOOKUP($A56,'Data Vlaue (Cr)'!$C:$FB,4)</f>
        <v>471.25</v>
      </c>
      <c r="E56" s="75">
        <f>VLOOKUP($A56,'Data Vlaue (Cr)'!$C:$FB,5)</f>
        <v>475.1</v>
      </c>
      <c r="F56" s="75">
        <f t="shared" si="0"/>
        <v>1.0500000000000114</v>
      </c>
      <c r="G56" s="75">
        <f t="shared" si="1"/>
        <v>-0.8169761273209597</v>
      </c>
      <c r="H56" s="75">
        <f>VLOOKUP($A56,'Data Vlaue (Cr)'!$C:$FB,99)</f>
        <v>4746</v>
      </c>
      <c r="I56" s="75">
        <f>VLOOKUP($A56,'Data Vlaue (Cr)'!$C:$FB,100)</f>
        <v>4646</v>
      </c>
      <c r="J56" s="75">
        <f t="shared" si="2"/>
        <v>100</v>
      </c>
      <c r="K56" s="75">
        <f t="shared" si="3"/>
        <v>2.107037505267594</v>
      </c>
      <c r="L56" s="75">
        <f>VLOOKUP($A56,'Data Vlaue (Cr)'!$C:$FB,67)</f>
        <v>3450</v>
      </c>
      <c r="M56" s="75">
        <f>VLOOKUP($A56,'Data Vlaue (Cr)'!$C:$FB,68)</f>
        <v>2102</v>
      </c>
      <c r="N56" s="75">
        <f t="shared" si="4"/>
        <v>1348</v>
      </c>
      <c r="O56" s="75">
        <f t="shared" si="5"/>
        <v>39.072463768115945</v>
      </c>
      <c r="P56" s="75">
        <f>VLOOKUP($A56,'Data Vlaue (Cr)'!$C:$FB,119)</f>
        <v>0.65</v>
      </c>
      <c r="Q56" s="75">
        <f>VLOOKUP($A56,'Data Vlaue (Cr)'!$C:$FB,122)*100</f>
        <v>1.5599999999999998</v>
      </c>
      <c r="R56" s="75">
        <f>VLOOKUP($A56,'Data Vlaue (Cr)'!$C:$FB,125)</f>
        <v>0.62</v>
      </c>
      <c r="S56" s="75">
        <f>VLOOKUP($A56,'Data Vlaue (Cr)'!$C:$FB,128)*100</f>
        <v>5.08</v>
      </c>
    </row>
    <row r="57" spans="1:19" x14ac:dyDescent="0.25">
      <c r="A57" s="96" t="str">
        <f>'Data Vlaue (Cr)'!C48</f>
        <v>COCHINSHIP</v>
      </c>
      <c r="B57" s="75">
        <f>VLOOKUP($A57,'Data Vlaue (Cr)'!$C:$FB,2)</f>
        <v>400</v>
      </c>
      <c r="C57" s="75">
        <f>VLOOKUP($A57,'Data Vlaue (Cr)'!$C:$FB,8)</f>
        <v>1753.1</v>
      </c>
      <c r="D57" s="75">
        <f>VLOOKUP($A57,'Data Vlaue (Cr)'!$C:$FB,4)</f>
        <v>1759.4</v>
      </c>
      <c r="E57" s="75">
        <f>VLOOKUP($A57,'Data Vlaue (Cr)'!$C:$FB,5)</f>
        <v>1721.8</v>
      </c>
      <c r="F57" s="75">
        <f t="shared" si="0"/>
        <v>6.3000000000001819</v>
      </c>
      <c r="G57" s="75">
        <f t="shared" si="1"/>
        <v>2.1370921905195028</v>
      </c>
      <c r="H57" s="75">
        <f>VLOOKUP($A57,'Data Vlaue (Cr)'!$C:$FB,99)</f>
        <v>832</v>
      </c>
      <c r="I57" s="75">
        <f>VLOOKUP($A57,'Data Vlaue (Cr)'!$C:$FB,100)</f>
        <v>805</v>
      </c>
      <c r="J57" s="75">
        <f t="shared" si="2"/>
        <v>27</v>
      </c>
      <c r="K57" s="75">
        <f t="shared" si="3"/>
        <v>3.2451923076923079</v>
      </c>
      <c r="L57" s="75">
        <f>VLOOKUP($A57,'Data Vlaue (Cr)'!$C:$FB,67)</f>
        <v>662</v>
      </c>
      <c r="M57" s="75">
        <f>VLOOKUP($A57,'Data Vlaue (Cr)'!$C:$FB,68)</f>
        <v>260</v>
      </c>
      <c r="N57" s="75">
        <f t="shared" si="4"/>
        <v>402</v>
      </c>
      <c r="O57" s="75">
        <f t="shared" si="5"/>
        <v>60.725075528700913</v>
      </c>
      <c r="P57" s="75">
        <f>VLOOKUP($A57,'Data Vlaue (Cr)'!$C:$FB,119)</f>
        <v>0.68</v>
      </c>
      <c r="Q57" s="75">
        <f>VLOOKUP($A57,'Data Vlaue (Cr)'!$C:$FB,122)*100</f>
        <v>-1.4500000000000002</v>
      </c>
      <c r="R57" s="75">
        <f>VLOOKUP($A57,'Data Vlaue (Cr)'!$C:$FB,125)</f>
        <v>0.22</v>
      </c>
      <c r="S57" s="75">
        <f>VLOOKUP($A57,'Data Vlaue (Cr)'!$C:$FB,128)*100</f>
        <v>-40.54</v>
      </c>
    </row>
    <row r="58" spans="1:19" x14ac:dyDescent="0.25">
      <c r="A58" s="96" t="str">
        <f>'Data Vlaue (Cr)'!C49</f>
        <v>COFORGE</v>
      </c>
      <c r="B58" s="75">
        <f>VLOOKUP($A58,'Data Vlaue (Cr)'!$C:$FB,2)</f>
        <v>375</v>
      </c>
      <c r="C58" s="75">
        <f>VLOOKUP($A58,'Data Vlaue (Cr)'!$C:$FB,8)</f>
        <v>1280.4000000000001</v>
      </c>
      <c r="D58" s="75">
        <f>VLOOKUP($A58,'Data Vlaue (Cr)'!$C:$FB,4)</f>
        <v>1289.3</v>
      </c>
      <c r="E58" s="75">
        <f>VLOOKUP($A58,'Data Vlaue (Cr)'!$C:$FB,5)</f>
        <v>1168.5999999999999</v>
      </c>
      <c r="F58" s="75">
        <f t="shared" si="0"/>
        <v>8.8999999999998636</v>
      </c>
      <c r="G58" s="75">
        <f t="shared" si="1"/>
        <v>9.3616691227798068</v>
      </c>
      <c r="H58" s="75">
        <f>VLOOKUP($A58,'Data Vlaue (Cr)'!$C:$FB,99)</f>
        <v>4927</v>
      </c>
      <c r="I58" s="75">
        <f>VLOOKUP($A58,'Data Vlaue (Cr)'!$C:$FB,100)</f>
        <v>3974</v>
      </c>
      <c r="J58" s="75">
        <f t="shared" si="2"/>
        <v>953</v>
      </c>
      <c r="K58" s="75">
        <f t="shared" si="3"/>
        <v>19.342399025776334</v>
      </c>
      <c r="L58" s="75">
        <f>VLOOKUP($A58,'Data Vlaue (Cr)'!$C:$FB,67)</f>
        <v>17375</v>
      </c>
      <c r="M58" s="75">
        <f>VLOOKUP($A58,'Data Vlaue (Cr)'!$C:$FB,68)</f>
        <v>2443</v>
      </c>
      <c r="N58" s="75">
        <f t="shared" si="4"/>
        <v>14932</v>
      </c>
      <c r="O58" s="75">
        <f t="shared" si="5"/>
        <v>85.939568345323735</v>
      </c>
      <c r="P58" s="75">
        <f>VLOOKUP($A58,'Data Vlaue (Cr)'!$C:$FB,119)</f>
        <v>0.75</v>
      </c>
      <c r="Q58" s="75">
        <f>VLOOKUP($A58,'Data Vlaue (Cr)'!$C:$FB,122)*100</f>
        <v>27.12</v>
      </c>
      <c r="R58" s="75">
        <f>VLOOKUP($A58,'Data Vlaue (Cr)'!$C:$FB,125)</f>
        <v>0.53</v>
      </c>
      <c r="S58" s="75">
        <f>VLOOKUP($A58,'Data Vlaue (Cr)'!$C:$FB,128)*100</f>
        <v>-1.8499999999999999</v>
      </c>
    </row>
    <row r="59" spans="1:19" x14ac:dyDescent="0.25">
      <c r="A59" s="96" t="str">
        <f>'Data Vlaue (Cr)'!C50</f>
        <v>COLPAL</v>
      </c>
      <c r="B59" s="75">
        <f>VLOOKUP($A59,'Data Vlaue (Cr)'!$C:$FB,2)</f>
        <v>225</v>
      </c>
      <c r="C59" s="75">
        <f>VLOOKUP($A59,'Data Vlaue (Cr)'!$C:$FB,8)</f>
        <v>2157.1</v>
      </c>
      <c r="D59" s="75">
        <f>VLOOKUP($A59,'Data Vlaue (Cr)'!$C:$FB,4)</f>
        <v>2164.6</v>
      </c>
      <c r="E59" s="75">
        <f>VLOOKUP($A59,'Data Vlaue (Cr)'!$C:$FB,5)</f>
        <v>2174.5</v>
      </c>
      <c r="F59" s="75">
        <f t="shared" si="0"/>
        <v>7.5</v>
      </c>
      <c r="G59" s="75">
        <f t="shared" si="1"/>
        <v>-0.45735932735840762</v>
      </c>
      <c r="H59" s="75">
        <f>VLOOKUP($A59,'Data Vlaue (Cr)'!$C:$FB,99)</f>
        <v>1568</v>
      </c>
      <c r="I59" s="75">
        <f>VLOOKUP($A59,'Data Vlaue (Cr)'!$C:$FB,100)</f>
        <v>1550</v>
      </c>
      <c r="J59" s="75">
        <f t="shared" si="2"/>
        <v>18</v>
      </c>
      <c r="K59" s="75">
        <f t="shared" si="3"/>
        <v>1.1479591836734695</v>
      </c>
      <c r="L59" s="75">
        <f>VLOOKUP($A59,'Data Vlaue (Cr)'!$C:$FB,67)</f>
        <v>413</v>
      </c>
      <c r="M59" s="75">
        <f>VLOOKUP($A59,'Data Vlaue (Cr)'!$C:$FB,68)</f>
        <v>474</v>
      </c>
      <c r="N59" s="75">
        <f t="shared" si="4"/>
        <v>-61</v>
      </c>
      <c r="O59" s="75">
        <f t="shared" si="5"/>
        <v>-14.769975786924938</v>
      </c>
      <c r="P59" s="75">
        <f>VLOOKUP($A59,'Data Vlaue (Cr)'!$C:$FB,119)</f>
        <v>0.68</v>
      </c>
      <c r="Q59" s="75">
        <f>VLOOKUP($A59,'Data Vlaue (Cr)'!$C:$FB,122)*100</f>
        <v>-1.4500000000000002</v>
      </c>
      <c r="R59" s="75">
        <f>VLOOKUP($A59,'Data Vlaue (Cr)'!$C:$FB,125)</f>
        <v>0.36</v>
      </c>
      <c r="S59" s="75">
        <f>VLOOKUP($A59,'Data Vlaue (Cr)'!$C:$FB,128)*100</f>
        <v>20</v>
      </c>
    </row>
    <row r="60" spans="1:19" x14ac:dyDescent="0.25">
      <c r="A60" s="96" t="str">
        <f>'Data Vlaue (Cr)'!C51</f>
        <v>CONCOR</v>
      </c>
      <c r="B60" s="75">
        <f>VLOOKUP($A60,'Data Vlaue (Cr)'!$C:$FB,2)</f>
        <v>1250</v>
      </c>
      <c r="C60" s="75">
        <f>VLOOKUP($A60,'Data Vlaue (Cr)'!$C:$FB,8)</f>
        <v>524.20000000000005</v>
      </c>
      <c r="D60" s="75">
        <f>VLOOKUP($A60,'Data Vlaue (Cr)'!$C:$FB,4)</f>
        <v>527.6</v>
      </c>
      <c r="E60" s="75">
        <f>VLOOKUP($A60,'Data Vlaue (Cr)'!$C:$FB,5)</f>
        <v>520.15</v>
      </c>
      <c r="F60" s="75">
        <f t="shared" si="0"/>
        <v>3.3999999999999773</v>
      </c>
      <c r="G60" s="75">
        <f t="shared" si="1"/>
        <v>1.4120545868081966</v>
      </c>
      <c r="H60" s="75">
        <f>VLOOKUP($A60,'Data Vlaue (Cr)'!$C:$FB,99)</f>
        <v>1732</v>
      </c>
      <c r="I60" s="75">
        <f>VLOOKUP($A60,'Data Vlaue (Cr)'!$C:$FB,100)</f>
        <v>1671</v>
      </c>
      <c r="J60" s="75">
        <f t="shared" si="2"/>
        <v>61</v>
      </c>
      <c r="K60" s="75">
        <f t="shared" si="3"/>
        <v>3.521939953810624</v>
      </c>
      <c r="L60" s="75">
        <f>VLOOKUP($A60,'Data Vlaue (Cr)'!$C:$FB,67)</f>
        <v>535</v>
      </c>
      <c r="M60" s="75">
        <f>VLOOKUP($A60,'Data Vlaue (Cr)'!$C:$FB,68)</f>
        <v>272</v>
      </c>
      <c r="N60" s="75">
        <f t="shared" si="4"/>
        <v>263</v>
      </c>
      <c r="O60" s="75">
        <f t="shared" si="5"/>
        <v>49.158878504672899</v>
      </c>
      <c r="P60" s="75">
        <f>VLOOKUP($A60,'Data Vlaue (Cr)'!$C:$FB,119)</f>
        <v>0.73</v>
      </c>
      <c r="Q60" s="75">
        <f>VLOOKUP($A60,'Data Vlaue (Cr)'!$C:$FB,122)*100</f>
        <v>10.61</v>
      </c>
      <c r="R60" s="75">
        <f>VLOOKUP($A60,'Data Vlaue (Cr)'!$C:$FB,125)</f>
        <v>0.31</v>
      </c>
      <c r="S60" s="75">
        <f>VLOOKUP($A60,'Data Vlaue (Cr)'!$C:$FB,128)*100</f>
        <v>47.620000000000005</v>
      </c>
    </row>
    <row r="61" spans="1:19" x14ac:dyDescent="0.25">
      <c r="A61" s="96" t="str">
        <f>'Data Vlaue (Cr)'!C52</f>
        <v>CROMPTON</v>
      </c>
      <c r="B61" s="75">
        <f>VLOOKUP($A61,'Data Vlaue (Cr)'!$C:$FB,2)</f>
        <v>1800</v>
      </c>
      <c r="C61" s="75">
        <f>VLOOKUP($A61,'Data Vlaue (Cr)'!$C:$FB,8)</f>
        <v>284.05</v>
      </c>
      <c r="D61" s="75">
        <f>VLOOKUP($A61,'Data Vlaue (Cr)'!$C:$FB,4)</f>
        <v>285.05</v>
      </c>
      <c r="E61" s="75">
        <f>VLOOKUP($A61,'Data Vlaue (Cr)'!$C:$FB,5)</f>
        <v>276.64999999999998</v>
      </c>
      <c r="F61" s="75">
        <f t="shared" si="0"/>
        <v>1</v>
      </c>
      <c r="G61" s="75">
        <f t="shared" si="1"/>
        <v>2.9468514295737709</v>
      </c>
      <c r="H61" s="75">
        <f>VLOOKUP($A61,'Data Vlaue (Cr)'!$C:$FB,99)</f>
        <v>2224</v>
      </c>
      <c r="I61" s="75">
        <f>VLOOKUP($A61,'Data Vlaue (Cr)'!$C:$FB,100)</f>
        <v>2129</v>
      </c>
      <c r="J61" s="75">
        <f t="shared" si="2"/>
        <v>95</v>
      </c>
      <c r="K61" s="75">
        <f t="shared" si="3"/>
        <v>4.2715827338129495</v>
      </c>
      <c r="L61" s="75">
        <f>VLOOKUP($A61,'Data Vlaue (Cr)'!$C:$FB,67)</f>
        <v>1631</v>
      </c>
      <c r="M61" s="75">
        <f>VLOOKUP($A61,'Data Vlaue (Cr)'!$C:$FB,68)</f>
        <v>602</v>
      </c>
      <c r="N61" s="75">
        <f t="shared" si="4"/>
        <v>1029</v>
      </c>
      <c r="O61" s="75">
        <f t="shared" si="5"/>
        <v>63.090128755364802</v>
      </c>
      <c r="P61" s="75">
        <f>VLOOKUP($A61,'Data Vlaue (Cr)'!$C:$FB,119)</f>
        <v>0.47</v>
      </c>
      <c r="Q61" s="75">
        <f>VLOOKUP($A61,'Data Vlaue (Cr)'!$C:$FB,122)*100</f>
        <v>0</v>
      </c>
      <c r="R61" s="75">
        <f>VLOOKUP($A61,'Data Vlaue (Cr)'!$C:$FB,125)</f>
        <v>0.26</v>
      </c>
      <c r="S61" s="75">
        <f>VLOOKUP($A61,'Data Vlaue (Cr)'!$C:$FB,128)*100</f>
        <v>-35</v>
      </c>
    </row>
    <row r="62" spans="1:19" x14ac:dyDescent="0.25">
      <c r="A62" s="96" t="str">
        <f>'Data Vlaue (Cr)'!C53</f>
        <v>CUMMINSIND</v>
      </c>
      <c r="B62" s="75">
        <f>VLOOKUP($A62,'Data Vlaue (Cr)'!$C:$FB,2)</f>
        <v>200</v>
      </c>
      <c r="C62" s="75">
        <f>VLOOKUP($A62,'Data Vlaue (Cr)'!$C:$FB,8)</f>
        <v>5324.5</v>
      </c>
      <c r="D62" s="75">
        <f>VLOOKUP($A62,'Data Vlaue (Cr)'!$C:$FB,4)</f>
        <v>5348.5</v>
      </c>
      <c r="E62" s="75">
        <f>VLOOKUP($A62,'Data Vlaue (Cr)'!$C:$FB,5)</f>
        <v>5290.5</v>
      </c>
      <c r="F62" s="75">
        <f t="shared" si="0"/>
        <v>24</v>
      </c>
      <c r="G62" s="75">
        <f t="shared" si="1"/>
        <v>1.0844161914555484</v>
      </c>
      <c r="H62" s="75">
        <f>VLOOKUP($A62,'Data Vlaue (Cr)'!$C:$FB,99)</f>
        <v>2769</v>
      </c>
      <c r="I62" s="75">
        <f>VLOOKUP($A62,'Data Vlaue (Cr)'!$C:$FB,100)</f>
        <v>2729</v>
      </c>
      <c r="J62" s="75">
        <f t="shared" si="2"/>
        <v>40</v>
      </c>
      <c r="K62" s="75">
        <f t="shared" si="3"/>
        <v>1.444564824846515</v>
      </c>
      <c r="L62" s="75">
        <f>VLOOKUP($A62,'Data Vlaue (Cr)'!$C:$FB,67)</f>
        <v>1484</v>
      </c>
      <c r="M62" s="75">
        <f>VLOOKUP($A62,'Data Vlaue (Cr)'!$C:$FB,68)</f>
        <v>591</v>
      </c>
      <c r="N62" s="75">
        <f t="shared" si="4"/>
        <v>893</v>
      </c>
      <c r="O62" s="75">
        <f t="shared" si="5"/>
        <v>60.17520215633423</v>
      </c>
      <c r="P62" s="75">
        <f>VLOOKUP($A62,'Data Vlaue (Cr)'!$C:$FB,119)</f>
        <v>0.71</v>
      </c>
      <c r="Q62" s="75">
        <f>VLOOKUP($A62,'Data Vlaue (Cr)'!$C:$FB,122)*100</f>
        <v>1.43</v>
      </c>
      <c r="R62" s="75">
        <f>VLOOKUP($A62,'Data Vlaue (Cr)'!$C:$FB,125)</f>
        <v>0.53</v>
      </c>
      <c r="S62" s="75">
        <f>VLOOKUP($A62,'Data Vlaue (Cr)'!$C:$FB,128)*100</f>
        <v>-8.6199999999999992</v>
      </c>
    </row>
    <row r="63" spans="1:19" x14ac:dyDescent="0.25">
      <c r="A63" s="96" t="str">
        <f>'Data Vlaue (Cr)'!C54</f>
        <v>DABUR</v>
      </c>
      <c r="B63" s="75">
        <f>VLOOKUP($A63,'Data Vlaue (Cr)'!$C:$FB,2)</f>
        <v>1250</v>
      </c>
      <c r="C63" s="75">
        <f>VLOOKUP($A63,'Data Vlaue (Cr)'!$C:$FB,8)</f>
        <v>466.25</v>
      </c>
      <c r="D63" s="75">
        <f>VLOOKUP($A63,'Data Vlaue (Cr)'!$C:$FB,4)</f>
        <v>468.35</v>
      </c>
      <c r="E63" s="75">
        <f>VLOOKUP($A63,'Data Vlaue (Cr)'!$C:$FB,5)</f>
        <v>462</v>
      </c>
      <c r="F63" s="75">
        <f t="shared" si="0"/>
        <v>2.1000000000000227</v>
      </c>
      <c r="G63" s="75">
        <f t="shared" si="1"/>
        <v>1.3558236361695362</v>
      </c>
      <c r="H63" s="75">
        <f>VLOOKUP($A63,'Data Vlaue (Cr)'!$C:$FB,99)</f>
        <v>1992</v>
      </c>
      <c r="I63" s="75">
        <f>VLOOKUP($A63,'Data Vlaue (Cr)'!$C:$FB,100)</f>
        <v>1899</v>
      </c>
      <c r="J63" s="75">
        <f t="shared" si="2"/>
        <v>93</v>
      </c>
      <c r="K63" s="75">
        <f t="shared" si="3"/>
        <v>4.6686746987951802</v>
      </c>
      <c r="L63" s="75">
        <f>VLOOKUP($A63,'Data Vlaue (Cr)'!$C:$FB,67)</f>
        <v>1437</v>
      </c>
      <c r="M63" s="75">
        <f>VLOOKUP($A63,'Data Vlaue (Cr)'!$C:$FB,68)</f>
        <v>1449</v>
      </c>
      <c r="N63" s="75">
        <f t="shared" si="4"/>
        <v>-12</v>
      </c>
      <c r="O63" s="75">
        <f t="shared" si="5"/>
        <v>-0.83507306889352806</v>
      </c>
      <c r="P63" s="75">
        <f>VLOOKUP($A63,'Data Vlaue (Cr)'!$C:$FB,119)</f>
        <v>0.56000000000000005</v>
      </c>
      <c r="Q63" s="75">
        <f>VLOOKUP($A63,'Data Vlaue (Cr)'!$C:$FB,122)*100</f>
        <v>-16.420000000000002</v>
      </c>
      <c r="R63" s="75">
        <f>VLOOKUP($A63,'Data Vlaue (Cr)'!$C:$FB,125)</f>
        <v>0.25</v>
      </c>
      <c r="S63" s="75">
        <f>VLOOKUP($A63,'Data Vlaue (Cr)'!$C:$FB,128)*100</f>
        <v>0</v>
      </c>
    </row>
    <row r="64" spans="1:19" x14ac:dyDescent="0.25">
      <c r="A64" s="96" t="str">
        <f>'Data Vlaue (Cr)'!C55</f>
        <v>DALBHARAT</v>
      </c>
      <c r="B64" s="75">
        <f>VLOOKUP($A64,'Data Vlaue (Cr)'!$C:$FB,2)</f>
        <v>325</v>
      </c>
      <c r="C64" s="75">
        <f>VLOOKUP($A64,'Data Vlaue (Cr)'!$C:$FB,8)</f>
        <v>1974.6</v>
      </c>
      <c r="D64" s="75">
        <f>VLOOKUP($A64,'Data Vlaue (Cr)'!$C:$FB,4)</f>
        <v>1986.8</v>
      </c>
      <c r="E64" s="75">
        <f>VLOOKUP($A64,'Data Vlaue (Cr)'!$C:$FB,5)</f>
        <v>1967.9</v>
      </c>
      <c r="F64" s="75">
        <f t="shared" si="0"/>
        <v>12.200000000000045</v>
      </c>
      <c r="G64" s="75">
        <f t="shared" si="1"/>
        <v>0.95127843768873888</v>
      </c>
      <c r="H64" s="75">
        <f>VLOOKUP($A64,'Data Vlaue (Cr)'!$C:$FB,99)</f>
        <v>862</v>
      </c>
      <c r="I64" s="75">
        <f>VLOOKUP($A64,'Data Vlaue (Cr)'!$C:$FB,100)</f>
        <v>816</v>
      </c>
      <c r="J64" s="75">
        <f t="shared" si="2"/>
        <v>46</v>
      </c>
      <c r="K64" s="75">
        <f t="shared" si="3"/>
        <v>5.3364269141531322</v>
      </c>
      <c r="L64" s="75">
        <f>VLOOKUP($A64,'Data Vlaue (Cr)'!$C:$FB,67)</f>
        <v>445</v>
      </c>
      <c r="M64" s="75">
        <f>VLOOKUP($A64,'Data Vlaue (Cr)'!$C:$FB,68)</f>
        <v>333</v>
      </c>
      <c r="N64" s="75">
        <f t="shared" si="4"/>
        <v>112</v>
      </c>
      <c r="O64" s="75">
        <f t="shared" si="5"/>
        <v>25.168539325842698</v>
      </c>
      <c r="P64" s="75">
        <f>VLOOKUP($A64,'Data Vlaue (Cr)'!$C:$FB,119)</f>
        <v>0.52</v>
      </c>
      <c r="Q64" s="75">
        <f>VLOOKUP($A64,'Data Vlaue (Cr)'!$C:$FB,122)*100</f>
        <v>-14.75</v>
      </c>
      <c r="R64" s="75">
        <f>VLOOKUP($A64,'Data Vlaue (Cr)'!$C:$FB,125)</f>
        <v>0.22</v>
      </c>
      <c r="S64" s="75">
        <f>VLOOKUP($A64,'Data Vlaue (Cr)'!$C:$FB,128)*100</f>
        <v>-40.54</v>
      </c>
    </row>
    <row r="65" spans="1:19" x14ac:dyDescent="0.25">
      <c r="A65" s="96" t="str">
        <f>'Data Vlaue (Cr)'!C56</f>
        <v>DELHIVERY</v>
      </c>
      <c r="B65" s="75">
        <f>VLOOKUP($A65,'Data Vlaue (Cr)'!$C:$FB,2)</f>
        <v>2075</v>
      </c>
      <c r="C65" s="75">
        <f>VLOOKUP($A65,'Data Vlaue (Cr)'!$C:$FB,8)</f>
        <v>471</v>
      </c>
      <c r="D65" s="75">
        <f>VLOOKUP($A65,'Data Vlaue (Cr)'!$C:$FB,4)</f>
        <v>473.7</v>
      </c>
      <c r="E65" s="75">
        <f>VLOOKUP($A65,'Data Vlaue (Cr)'!$C:$FB,5)</f>
        <v>461.4</v>
      </c>
      <c r="F65" s="75">
        <f t="shared" si="0"/>
        <v>2.6999999999999886</v>
      </c>
      <c r="G65" s="75">
        <f t="shared" si="1"/>
        <v>2.5965801139962026</v>
      </c>
      <c r="H65" s="75">
        <f>VLOOKUP($A65,'Data Vlaue (Cr)'!$C:$FB,99)</f>
        <v>1921</v>
      </c>
      <c r="I65" s="75">
        <f>VLOOKUP($A65,'Data Vlaue (Cr)'!$C:$FB,100)</f>
        <v>1958</v>
      </c>
      <c r="J65" s="75">
        <f t="shared" si="2"/>
        <v>-37</v>
      </c>
      <c r="K65" s="75">
        <f t="shared" si="3"/>
        <v>-1.9260801665799063</v>
      </c>
      <c r="L65" s="75">
        <f>VLOOKUP($A65,'Data Vlaue (Cr)'!$C:$FB,67)</f>
        <v>849</v>
      </c>
      <c r="M65" s="75">
        <f>VLOOKUP($A65,'Data Vlaue (Cr)'!$C:$FB,68)</f>
        <v>1956</v>
      </c>
      <c r="N65" s="75">
        <f t="shared" si="4"/>
        <v>-1107</v>
      </c>
      <c r="O65" s="75">
        <f t="shared" si="5"/>
        <v>-130.38869257950529</v>
      </c>
      <c r="P65" s="75">
        <f>VLOOKUP($A65,'Data Vlaue (Cr)'!$C:$FB,119)</f>
        <v>0.59</v>
      </c>
      <c r="Q65" s="75">
        <f>VLOOKUP($A65,'Data Vlaue (Cr)'!$C:$FB,122)*100</f>
        <v>-9.2299999999999986</v>
      </c>
      <c r="R65" s="75">
        <f>VLOOKUP($A65,'Data Vlaue (Cr)'!$C:$FB,125)</f>
        <v>0.56000000000000005</v>
      </c>
      <c r="S65" s="75">
        <f>VLOOKUP($A65,'Data Vlaue (Cr)'!$C:$FB,128)*100</f>
        <v>-57.58</v>
      </c>
    </row>
    <row r="66" spans="1:19" x14ac:dyDescent="0.25">
      <c r="A66" s="96" t="str">
        <f>'Data Vlaue (Cr)'!C57</f>
        <v>DIVISLAB</v>
      </c>
      <c r="B66" s="75">
        <f>VLOOKUP($A66,'Data Vlaue (Cr)'!$C:$FB,2)</f>
        <v>100</v>
      </c>
      <c r="C66" s="75">
        <f>VLOOKUP($A66,'Data Vlaue (Cr)'!$C:$FB,8)</f>
        <v>6702</v>
      </c>
      <c r="D66" s="75">
        <f>VLOOKUP($A66,'Data Vlaue (Cr)'!$C:$FB,4)</f>
        <v>6738.5</v>
      </c>
      <c r="E66" s="75">
        <f>VLOOKUP($A66,'Data Vlaue (Cr)'!$C:$FB,5)</f>
        <v>6667</v>
      </c>
      <c r="F66" s="75">
        <f t="shared" si="0"/>
        <v>36.5</v>
      </c>
      <c r="G66" s="75">
        <f t="shared" si="1"/>
        <v>1.06106700304222</v>
      </c>
      <c r="H66" s="75">
        <f>VLOOKUP($A66,'Data Vlaue (Cr)'!$C:$FB,99)</f>
        <v>2425</v>
      </c>
      <c r="I66" s="75">
        <f>VLOOKUP($A66,'Data Vlaue (Cr)'!$C:$FB,100)</f>
        <v>2355</v>
      </c>
      <c r="J66" s="75">
        <f t="shared" si="2"/>
        <v>70</v>
      </c>
      <c r="K66" s="75">
        <f t="shared" si="3"/>
        <v>2.8865979381443299</v>
      </c>
      <c r="L66" s="75">
        <f>VLOOKUP($A66,'Data Vlaue (Cr)'!$C:$FB,67)</f>
        <v>1305</v>
      </c>
      <c r="M66" s="75">
        <f>VLOOKUP($A66,'Data Vlaue (Cr)'!$C:$FB,68)</f>
        <v>898</v>
      </c>
      <c r="N66" s="75">
        <f t="shared" si="4"/>
        <v>407</v>
      </c>
      <c r="O66" s="75">
        <f t="shared" si="5"/>
        <v>31.187739463601531</v>
      </c>
      <c r="P66" s="75">
        <f>VLOOKUP($A66,'Data Vlaue (Cr)'!$C:$FB,119)</f>
        <v>0.67</v>
      </c>
      <c r="Q66" s="75">
        <f>VLOOKUP($A66,'Data Vlaue (Cr)'!$C:$FB,122)*100</f>
        <v>3.08</v>
      </c>
      <c r="R66" s="75">
        <f>VLOOKUP($A66,'Data Vlaue (Cr)'!$C:$FB,125)</f>
        <v>0.45</v>
      </c>
      <c r="S66" s="75">
        <f>VLOOKUP($A66,'Data Vlaue (Cr)'!$C:$FB,128)*100</f>
        <v>2.27</v>
      </c>
    </row>
    <row r="67" spans="1:19" x14ac:dyDescent="0.25">
      <c r="A67" s="96" t="str">
        <f>'Data Vlaue (Cr)'!C58</f>
        <v>DIXON</v>
      </c>
      <c r="B67" s="75">
        <f>VLOOKUP($A67,'Data Vlaue (Cr)'!$C:$FB,2)</f>
        <v>50</v>
      </c>
      <c r="C67" s="75">
        <f>VLOOKUP($A67,'Data Vlaue (Cr)'!$C:$FB,8)</f>
        <v>11299</v>
      </c>
      <c r="D67" s="75">
        <f>VLOOKUP($A67,'Data Vlaue (Cr)'!$C:$FB,4)</f>
        <v>11360</v>
      </c>
      <c r="E67" s="75">
        <f>VLOOKUP($A67,'Data Vlaue (Cr)'!$C:$FB,5)</f>
        <v>11277</v>
      </c>
      <c r="F67" s="75">
        <f t="shared" si="0"/>
        <v>61</v>
      </c>
      <c r="G67" s="75">
        <f t="shared" si="1"/>
        <v>0.73063380281690138</v>
      </c>
      <c r="H67" s="75">
        <f>VLOOKUP($A67,'Data Vlaue (Cr)'!$C:$FB,99)</f>
        <v>6075</v>
      </c>
      <c r="I67" s="75">
        <f>VLOOKUP($A67,'Data Vlaue (Cr)'!$C:$FB,100)</f>
        <v>5857</v>
      </c>
      <c r="J67" s="75">
        <f t="shared" si="2"/>
        <v>218</v>
      </c>
      <c r="K67" s="75">
        <f t="shared" si="3"/>
        <v>3.5884773662551437</v>
      </c>
      <c r="L67" s="75">
        <f>VLOOKUP($A67,'Data Vlaue (Cr)'!$C:$FB,67)</f>
        <v>2316</v>
      </c>
      <c r="M67" s="75">
        <f>VLOOKUP($A67,'Data Vlaue (Cr)'!$C:$FB,68)</f>
        <v>3411</v>
      </c>
      <c r="N67" s="75">
        <f t="shared" si="4"/>
        <v>-1095</v>
      </c>
      <c r="O67" s="75">
        <f t="shared" si="5"/>
        <v>-47.279792746113991</v>
      </c>
      <c r="P67" s="75">
        <f>VLOOKUP($A67,'Data Vlaue (Cr)'!$C:$FB,119)</f>
        <v>0.86</v>
      </c>
      <c r="Q67" s="75">
        <f>VLOOKUP($A67,'Data Vlaue (Cr)'!$C:$FB,122)*100</f>
        <v>-6.52</v>
      </c>
      <c r="R67" s="75">
        <f>VLOOKUP($A67,'Data Vlaue (Cr)'!$C:$FB,125)</f>
        <v>0.44</v>
      </c>
      <c r="S67" s="75">
        <f>VLOOKUP($A67,'Data Vlaue (Cr)'!$C:$FB,128)*100</f>
        <v>-15.379999999999999</v>
      </c>
    </row>
    <row r="68" spans="1:19" x14ac:dyDescent="0.25">
      <c r="A68" s="96" t="str">
        <f>'Data Vlaue (Cr)'!C59</f>
        <v>DLF</v>
      </c>
      <c r="B68" s="75">
        <f>VLOOKUP($A68,'Data Vlaue (Cr)'!$C:$FB,2)</f>
        <v>825</v>
      </c>
      <c r="C68" s="75">
        <f>VLOOKUP($A68,'Data Vlaue (Cr)'!$C:$FB,8)</f>
        <v>609.6</v>
      </c>
      <c r="D68" s="75">
        <f>VLOOKUP($A68,'Data Vlaue (Cr)'!$C:$FB,4)</f>
        <v>614</v>
      </c>
      <c r="E68" s="75">
        <f>VLOOKUP($A68,'Data Vlaue (Cr)'!$C:$FB,5)</f>
        <v>599.1</v>
      </c>
      <c r="F68" s="75">
        <f t="shared" si="0"/>
        <v>4.3999999999999773</v>
      </c>
      <c r="G68" s="75">
        <f t="shared" si="1"/>
        <v>2.4267100977198659</v>
      </c>
      <c r="H68" s="75">
        <f>VLOOKUP($A68,'Data Vlaue (Cr)'!$C:$FB,99)</f>
        <v>3674</v>
      </c>
      <c r="I68" s="75">
        <f>VLOOKUP($A68,'Data Vlaue (Cr)'!$C:$FB,100)</f>
        <v>3666</v>
      </c>
      <c r="J68" s="75">
        <f t="shared" si="2"/>
        <v>8</v>
      </c>
      <c r="K68" s="75">
        <f t="shared" si="3"/>
        <v>0.21774632553075668</v>
      </c>
      <c r="L68" s="75">
        <f>VLOOKUP($A68,'Data Vlaue (Cr)'!$C:$FB,67)</f>
        <v>1268</v>
      </c>
      <c r="M68" s="75">
        <f>VLOOKUP($A68,'Data Vlaue (Cr)'!$C:$FB,68)</f>
        <v>1185</v>
      </c>
      <c r="N68" s="75">
        <f t="shared" si="4"/>
        <v>83</v>
      </c>
      <c r="O68" s="75">
        <f t="shared" si="5"/>
        <v>6.5457413249211349</v>
      </c>
      <c r="P68" s="75">
        <f>VLOOKUP($A68,'Data Vlaue (Cr)'!$C:$FB,119)</f>
        <v>0.73</v>
      </c>
      <c r="Q68" s="75">
        <f>VLOOKUP($A68,'Data Vlaue (Cr)'!$C:$FB,122)*100</f>
        <v>1.39</v>
      </c>
      <c r="R68" s="75">
        <f>VLOOKUP($A68,'Data Vlaue (Cr)'!$C:$FB,125)</f>
        <v>0.43</v>
      </c>
      <c r="S68" s="75">
        <f>VLOOKUP($A68,'Data Vlaue (Cr)'!$C:$FB,128)*100</f>
        <v>-6.52</v>
      </c>
    </row>
    <row r="69" spans="1:19" x14ac:dyDescent="0.25">
      <c r="A69" s="96" t="str">
        <f>'Data Vlaue (Cr)'!C60</f>
        <v>DMART</v>
      </c>
      <c r="B69" s="75">
        <f>VLOOKUP($A69,'Data Vlaue (Cr)'!$C:$FB,2)</f>
        <v>150</v>
      </c>
      <c r="C69" s="75">
        <f>VLOOKUP($A69,'Data Vlaue (Cr)'!$C:$FB,8)</f>
        <v>4432.2</v>
      </c>
      <c r="D69" s="75">
        <f>VLOOKUP($A69,'Data Vlaue (Cr)'!$C:$FB,4)</f>
        <v>4432.6000000000004</v>
      </c>
      <c r="E69" s="75">
        <f>VLOOKUP($A69,'Data Vlaue (Cr)'!$C:$FB,5)</f>
        <v>4370</v>
      </c>
      <c r="F69" s="75">
        <f t="shared" si="0"/>
        <v>0.4000000000005457</v>
      </c>
      <c r="G69" s="75">
        <f t="shared" si="1"/>
        <v>1.4122636827144419</v>
      </c>
      <c r="H69" s="75">
        <f>VLOOKUP($A69,'Data Vlaue (Cr)'!$C:$FB,99)</f>
        <v>2868</v>
      </c>
      <c r="I69" s="75">
        <f>VLOOKUP($A69,'Data Vlaue (Cr)'!$C:$FB,100)</f>
        <v>3001</v>
      </c>
      <c r="J69" s="75">
        <f t="shared" si="2"/>
        <v>-133</v>
      </c>
      <c r="K69" s="75">
        <f t="shared" si="3"/>
        <v>-4.637377963737797</v>
      </c>
      <c r="L69" s="75">
        <f>VLOOKUP($A69,'Data Vlaue (Cr)'!$C:$FB,67)</f>
        <v>2211</v>
      </c>
      <c r="M69" s="75">
        <f>VLOOKUP($A69,'Data Vlaue (Cr)'!$C:$FB,68)</f>
        <v>2434</v>
      </c>
      <c r="N69" s="75">
        <f t="shared" si="4"/>
        <v>-223</v>
      </c>
      <c r="O69" s="75">
        <f t="shared" si="5"/>
        <v>-10.085933966530982</v>
      </c>
      <c r="P69" s="75">
        <f>VLOOKUP($A69,'Data Vlaue (Cr)'!$C:$FB,119)</f>
        <v>0.53</v>
      </c>
      <c r="Q69" s="75">
        <f>VLOOKUP($A69,'Data Vlaue (Cr)'!$C:$FB,122)*100</f>
        <v>17.78</v>
      </c>
      <c r="R69" s="75">
        <f>VLOOKUP($A69,'Data Vlaue (Cr)'!$C:$FB,125)</f>
        <v>0.37</v>
      </c>
      <c r="S69" s="75">
        <f>VLOOKUP($A69,'Data Vlaue (Cr)'!$C:$FB,128)*100</f>
        <v>-11.899999999999999</v>
      </c>
    </row>
    <row r="70" spans="1:19" x14ac:dyDescent="0.25">
      <c r="A70" s="96" t="str">
        <f>'Data Vlaue (Cr)'!C61</f>
        <v>DRREDDY</v>
      </c>
      <c r="B70" s="75">
        <f>VLOOKUP($A70,'Data Vlaue (Cr)'!$C:$FB,2)</f>
        <v>625</v>
      </c>
      <c r="C70" s="75">
        <f>VLOOKUP($A70,'Data Vlaue (Cr)'!$C:$FB,8)</f>
        <v>1311</v>
      </c>
      <c r="D70" s="75">
        <f>VLOOKUP($A70,'Data Vlaue (Cr)'!$C:$FB,4)</f>
        <v>1305.5</v>
      </c>
      <c r="E70" s="75">
        <f>VLOOKUP($A70,'Data Vlaue (Cr)'!$C:$FB,5)</f>
        <v>1268.5999999999999</v>
      </c>
      <c r="F70" s="75">
        <f t="shared" si="0"/>
        <v>-5.5</v>
      </c>
      <c r="G70" s="75">
        <f t="shared" si="1"/>
        <v>2.8265032554576859</v>
      </c>
      <c r="H70" s="75">
        <f>VLOOKUP($A70,'Data Vlaue (Cr)'!$C:$FB,99)</f>
        <v>4372</v>
      </c>
      <c r="I70" s="75">
        <f>VLOOKUP($A70,'Data Vlaue (Cr)'!$C:$FB,100)</f>
        <v>4047</v>
      </c>
      <c r="J70" s="75">
        <f t="shared" si="2"/>
        <v>325</v>
      </c>
      <c r="K70" s="75">
        <f t="shared" si="3"/>
        <v>7.4336688014638606</v>
      </c>
      <c r="L70" s="75">
        <f>VLOOKUP($A70,'Data Vlaue (Cr)'!$C:$FB,67)</f>
        <v>4998</v>
      </c>
      <c r="M70" s="75">
        <f>VLOOKUP($A70,'Data Vlaue (Cr)'!$C:$FB,68)</f>
        <v>1953</v>
      </c>
      <c r="N70" s="75">
        <f t="shared" si="4"/>
        <v>3045</v>
      </c>
      <c r="O70" s="75">
        <f t="shared" si="5"/>
        <v>60.924369747899156</v>
      </c>
      <c r="P70" s="75">
        <f>VLOOKUP($A70,'Data Vlaue (Cr)'!$C:$FB,119)</f>
        <v>0.52</v>
      </c>
      <c r="Q70" s="75">
        <f>VLOOKUP($A70,'Data Vlaue (Cr)'!$C:$FB,122)*100</f>
        <v>13.04</v>
      </c>
      <c r="R70" s="75">
        <f>VLOOKUP($A70,'Data Vlaue (Cr)'!$C:$FB,125)</f>
        <v>0.4</v>
      </c>
      <c r="S70" s="75">
        <f>VLOOKUP($A70,'Data Vlaue (Cr)'!$C:$FB,128)*100</f>
        <v>-11.110000000000001</v>
      </c>
    </row>
    <row r="71" spans="1:19" x14ac:dyDescent="0.25">
      <c r="A71" s="96" t="str">
        <f>'Data Vlaue (Cr)'!C62</f>
        <v>EICHERMOT</v>
      </c>
      <c r="B71" s="75">
        <f>VLOOKUP($A71,'Data Vlaue (Cr)'!$C:$FB,2)</f>
        <v>100</v>
      </c>
      <c r="C71" s="75">
        <f>VLOOKUP($A71,'Data Vlaue (Cr)'!$C:$FB,8)</f>
        <v>7310.5</v>
      </c>
      <c r="D71" s="75">
        <f>VLOOKUP($A71,'Data Vlaue (Cr)'!$C:$FB,4)</f>
        <v>7349.5</v>
      </c>
      <c r="E71" s="75">
        <f>VLOOKUP($A71,'Data Vlaue (Cr)'!$C:$FB,5)</f>
        <v>7317.5</v>
      </c>
      <c r="F71" s="75">
        <f t="shared" si="0"/>
        <v>39</v>
      </c>
      <c r="G71" s="75">
        <f t="shared" si="1"/>
        <v>0.43540376896387512</v>
      </c>
      <c r="H71" s="75">
        <f>VLOOKUP($A71,'Data Vlaue (Cr)'!$C:$FB,99)</f>
        <v>3950</v>
      </c>
      <c r="I71" s="75">
        <f>VLOOKUP($A71,'Data Vlaue (Cr)'!$C:$FB,100)</f>
        <v>4018</v>
      </c>
      <c r="J71" s="75">
        <f t="shared" si="2"/>
        <v>-68</v>
      </c>
      <c r="K71" s="75">
        <f t="shared" si="3"/>
        <v>-1.7215189873417722</v>
      </c>
      <c r="L71" s="75">
        <f>VLOOKUP($A71,'Data Vlaue (Cr)'!$C:$FB,67)</f>
        <v>2037</v>
      </c>
      <c r="M71" s="75">
        <f>VLOOKUP($A71,'Data Vlaue (Cr)'!$C:$FB,68)</f>
        <v>1464</v>
      </c>
      <c r="N71" s="75">
        <f t="shared" si="4"/>
        <v>573</v>
      </c>
      <c r="O71" s="75">
        <f t="shared" si="5"/>
        <v>28.12960235640648</v>
      </c>
      <c r="P71" s="75">
        <f>VLOOKUP($A71,'Data Vlaue (Cr)'!$C:$FB,119)</f>
        <v>0.76</v>
      </c>
      <c r="Q71" s="75">
        <f>VLOOKUP($A71,'Data Vlaue (Cr)'!$C:$FB,122)*100</f>
        <v>-7.32</v>
      </c>
      <c r="R71" s="75">
        <f>VLOOKUP($A71,'Data Vlaue (Cr)'!$C:$FB,125)</f>
        <v>0.51</v>
      </c>
      <c r="S71" s="75">
        <f>VLOOKUP($A71,'Data Vlaue (Cr)'!$C:$FB,128)*100</f>
        <v>-8.93</v>
      </c>
    </row>
    <row r="72" spans="1:19" x14ac:dyDescent="0.25">
      <c r="A72" s="96" t="str">
        <f>'Data Vlaue (Cr)'!C63</f>
        <v>ETERNAL</v>
      </c>
      <c r="B72" s="75">
        <f>VLOOKUP($A72,'Data Vlaue (Cr)'!$C:$FB,2)</f>
        <v>2425</v>
      </c>
      <c r="C72" s="75">
        <f>VLOOKUP($A72,'Data Vlaue (Cr)'!$C:$FB,8)</f>
        <v>256.05</v>
      </c>
      <c r="D72" s="75">
        <f>VLOOKUP($A72,'Data Vlaue (Cr)'!$C:$FB,4)</f>
        <v>257.83</v>
      </c>
      <c r="E72" s="75">
        <f>VLOOKUP($A72,'Data Vlaue (Cr)'!$C:$FB,5)</f>
        <v>249.94</v>
      </c>
      <c r="F72" s="75">
        <f t="shared" si="0"/>
        <v>1.7799999999999727</v>
      </c>
      <c r="G72" s="75">
        <f t="shared" si="1"/>
        <v>3.0601559166892867</v>
      </c>
      <c r="H72" s="75">
        <f>VLOOKUP($A72,'Data Vlaue (Cr)'!$C:$FB,99)</f>
        <v>9058</v>
      </c>
      <c r="I72" s="75">
        <f>VLOOKUP($A72,'Data Vlaue (Cr)'!$C:$FB,100)</f>
        <v>9170</v>
      </c>
      <c r="J72" s="75">
        <f t="shared" si="2"/>
        <v>-112</v>
      </c>
      <c r="K72" s="75">
        <f t="shared" si="3"/>
        <v>-1.2364760432766615</v>
      </c>
      <c r="L72" s="75">
        <f>VLOOKUP($A72,'Data Vlaue (Cr)'!$C:$FB,67)</f>
        <v>4364</v>
      </c>
      <c r="M72" s="75">
        <f>VLOOKUP($A72,'Data Vlaue (Cr)'!$C:$FB,68)</f>
        <v>2968</v>
      </c>
      <c r="N72" s="75">
        <f t="shared" si="4"/>
        <v>1396</v>
      </c>
      <c r="O72" s="75">
        <f t="shared" si="5"/>
        <v>31.989000916590282</v>
      </c>
      <c r="P72" s="75">
        <f>VLOOKUP($A72,'Data Vlaue (Cr)'!$C:$FB,119)</f>
        <v>0.56999999999999995</v>
      </c>
      <c r="Q72" s="75">
        <f>VLOOKUP($A72,'Data Vlaue (Cr)'!$C:$FB,122)*100</f>
        <v>3.64</v>
      </c>
      <c r="R72" s="75">
        <f>VLOOKUP($A72,'Data Vlaue (Cr)'!$C:$FB,125)</f>
        <v>0.59</v>
      </c>
      <c r="S72" s="75">
        <f>VLOOKUP($A72,'Data Vlaue (Cr)'!$C:$FB,128)*100</f>
        <v>0</v>
      </c>
    </row>
    <row r="73" spans="1:19" x14ac:dyDescent="0.25">
      <c r="A73" s="96" t="str">
        <f>'Data Vlaue (Cr)'!C64</f>
        <v>EXIDEIND</v>
      </c>
      <c r="B73" s="75">
        <f>VLOOKUP($A73,'Data Vlaue (Cr)'!$C:$FB,2)</f>
        <v>1800</v>
      </c>
      <c r="C73" s="75">
        <f>VLOOKUP($A73,'Data Vlaue (Cr)'!$C:$FB,8)</f>
        <v>351.7</v>
      </c>
      <c r="D73" s="75">
        <f>VLOOKUP($A73,'Data Vlaue (Cr)'!$C:$FB,4)</f>
        <v>353.3</v>
      </c>
      <c r="E73" s="75">
        <f>VLOOKUP($A73,'Data Vlaue (Cr)'!$C:$FB,5)</f>
        <v>362.6</v>
      </c>
      <c r="F73" s="75">
        <f t="shared" si="0"/>
        <v>1.6000000000000227</v>
      </c>
      <c r="G73" s="75">
        <f t="shared" si="1"/>
        <v>-2.6323238041324686</v>
      </c>
      <c r="H73" s="75">
        <f>VLOOKUP($A73,'Data Vlaue (Cr)'!$C:$FB,99)</f>
        <v>1944</v>
      </c>
      <c r="I73" s="75">
        <f>VLOOKUP($A73,'Data Vlaue (Cr)'!$C:$FB,100)</f>
        <v>1846</v>
      </c>
      <c r="J73" s="75">
        <f t="shared" si="2"/>
        <v>98</v>
      </c>
      <c r="K73" s="75">
        <f t="shared" si="3"/>
        <v>5.0411522633744852</v>
      </c>
      <c r="L73" s="75">
        <f>VLOOKUP($A73,'Data Vlaue (Cr)'!$C:$FB,67)</f>
        <v>3421</v>
      </c>
      <c r="M73" s="75">
        <f>VLOOKUP($A73,'Data Vlaue (Cr)'!$C:$FB,68)</f>
        <v>1652</v>
      </c>
      <c r="N73" s="75">
        <f t="shared" si="4"/>
        <v>1769</v>
      </c>
      <c r="O73" s="75">
        <f t="shared" si="5"/>
        <v>51.710026308097042</v>
      </c>
      <c r="P73" s="75">
        <f>VLOOKUP($A73,'Data Vlaue (Cr)'!$C:$FB,119)</f>
        <v>0.61</v>
      </c>
      <c r="Q73" s="75">
        <f>VLOOKUP($A73,'Data Vlaue (Cr)'!$C:$FB,122)*100</f>
        <v>5.17</v>
      </c>
      <c r="R73" s="75">
        <f>VLOOKUP($A73,'Data Vlaue (Cr)'!$C:$FB,125)</f>
        <v>0.65</v>
      </c>
      <c r="S73" s="75">
        <f>VLOOKUP($A73,'Data Vlaue (Cr)'!$C:$FB,128)*100</f>
        <v>80.56</v>
      </c>
    </row>
    <row r="74" spans="1:19" x14ac:dyDescent="0.25">
      <c r="A74" s="96" t="str">
        <f>'Data Vlaue (Cr)'!C65</f>
        <v>FEDERALBNK</v>
      </c>
      <c r="B74" s="75">
        <f>VLOOKUP($A74,'Data Vlaue (Cr)'!$C:$FB,2)</f>
        <v>2500</v>
      </c>
      <c r="C74" s="75">
        <f>VLOOKUP($A74,'Data Vlaue (Cr)'!$C:$FB,8)</f>
        <v>293</v>
      </c>
      <c r="D74" s="75">
        <f>VLOOKUP($A74,'Data Vlaue (Cr)'!$C:$FB,4)</f>
        <v>295</v>
      </c>
      <c r="E74" s="75">
        <f>VLOOKUP($A74,'Data Vlaue (Cr)'!$C:$FB,5)</f>
        <v>293.7</v>
      </c>
      <c r="F74" s="75">
        <f t="shared" si="0"/>
        <v>2</v>
      </c>
      <c r="G74" s="75">
        <f t="shared" si="1"/>
        <v>0.44067796610169879</v>
      </c>
      <c r="H74" s="75">
        <f>VLOOKUP($A74,'Data Vlaue (Cr)'!$C:$FB,99)</f>
        <v>4148</v>
      </c>
      <c r="I74" s="75">
        <f>VLOOKUP($A74,'Data Vlaue (Cr)'!$C:$FB,100)</f>
        <v>4071</v>
      </c>
      <c r="J74" s="75">
        <f t="shared" si="2"/>
        <v>77</v>
      </c>
      <c r="K74" s="75">
        <f t="shared" si="3"/>
        <v>1.8563162970106077</v>
      </c>
      <c r="L74" s="75">
        <f>VLOOKUP($A74,'Data Vlaue (Cr)'!$C:$FB,67)</f>
        <v>2272</v>
      </c>
      <c r="M74" s="75">
        <f>VLOOKUP($A74,'Data Vlaue (Cr)'!$C:$FB,68)</f>
        <v>2377</v>
      </c>
      <c r="N74" s="75">
        <f t="shared" si="4"/>
        <v>-105</v>
      </c>
      <c r="O74" s="75">
        <f t="shared" si="5"/>
        <v>-4.621478873239437</v>
      </c>
      <c r="P74" s="75">
        <f>VLOOKUP($A74,'Data Vlaue (Cr)'!$C:$FB,119)</f>
        <v>0.56999999999999995</v>
      </c>
      <c r="Q74" s="75">
        <f>VLOOKUP($A74,'Data Vlaue (Cr)'!$C:$FB,122)*100</f>
        <v>0</v>
      </c>
      <c r="R74" s="75">
        <f>VLOOKUP($A74,'Data Vlaue (Cr)'!$C:$FB,125)</f>
        <v>0.47</v>
      </c>
      <c r="S74" s="75">
        <f>VLOOKUP($A74,'Data Vlaue (Cr)'!$C:$FB,128)*100</f>
        <v>9.3000000000000007</v>
      </c>
    </row>
    <row r="75" spans="1:19" x14ac:dyDescent="0.25">
      <c r="A75" s="96" t="str">
        <f>'Data Vlaue (Cr)'!C66</f>
        <v>FINNIFTY</v>
      </c>
      <c r="B75" s="75">
        <f>VLOOKUP($A75,'Data Vlaue (Cr)'!$C:$FB,2)</f>
        <v>60</v>
      </c>
      <c r="C75" s="75">
        <f>VLOOKUP($A75,'Data Vlaue (Cr)'!$C:$FB,8)</f>
        <v>26392.75</v>
      </c>
      <c r="D75" s="75">
        <f>VLOOKUP($A75,'Data Vlaue (Cr)'!$C:$FB,4)</f>
        <v>26552.7</v>
      </c>
      <c r="E75" s="75">
        <f>VLOOKUP($A75,'Data Vlaue (Cr)'!$C:$FB,5)</f>
        <v>25824.3</v>
      </c>
      <c r="F75" s="75">
        <f t="shared" si="0"/>
        <v>159.95000000000073</v>
      </c>
      <c r="G75" s="75">
        <f>(D75-E75)/D75*100</f>
        <v>2.7432238529415143</v>
      </c>
      <c r="H75" s="75">
        <f>VLOOKUP($A75,'Data Vlaue (Cr)'!$C:$FB,99)</f>
        <v>986</v>
      </c>
      <c r="I75" s="75">
        <f>VLOOKUP($A75,'Data Vlaue (Cr)'!$C:$FB,100)</f>
        <v>827</v>
      </c>
      <c r="J75" s="75">
        <f t="shared" si="2"/>
        <v>159</v>
      </c>
      <c r="K75" s="75">
        <f t="shared" si="3"/>
        <v>16.125760649087219</v>
      </c>
      <c r="L75" s="75">
        <f>VLOOKUP($A75,'Data Vlaue (Cr)'!$C:$FB,67)</f>
        <v>1846</v>
      </c>
      <c r="M75" s="75">
        <f>VLOOKUP($A75,'Data Vlaue (Cr)'!$C:$FB,68)</f>
        <v>1052</v>
      </c>
      <c r="N75" s="75">
        <f t="shared" si="4"/>
        <v>794</v>
      </c>
      <c r="O75" s="75">
        <f t="shared" si="5"/>
        <v>43.011917659804979</v>
      </c>
      <c r="P75" s="75">
        <f>VLOOKUP($A75,'Data Vlaue (Cr)'!$C:$FB,119)</f>
        <v>0.79</v>
      </c>
      <c r="Q75" s="75">
        <f>VLOOKUP($A75,'Data Vlaue (Cr)'!$C:$FB,122)*100</f>
        <v>12.86</v>
      </c>
      <c r="R75" s="75">
        <f>VLOOKUP($A75,'Data Vlaue (Cr)'!$C:$FB,125)</f>
        <v>0.83</v>
      </c>
      <c r="S75" s="75">
        <f>VLOOKUP($A75,'Data Vlaue (Cr)'!$C:$FB,128)*100</f>
        <v>40.68</v>
      </c>
    </row>
    <row r="76" spans="1:19" x14ac:dyDescent="0.25">
      <c r="A76" s="96" t="str">
        <f>'Data Vlaue (Cr)'!C67</f>
        <v>FORCEMOT</v>
      </c>
      <c r="B76" s="75">
        <f>VLOOKUP($A76,'Data Vlaue (Cr)'!$C:$FB,2)</f>
        <v>25</v>
      </c>
      <c r="C76" s="75">
        <f>VLOOKUP($A76,'Data Vlaue (Cr)'!$C:$FB,8)</f>
        <v>20173</v>
      </c>
      <c r="D76" s="75">
        <f>VLOOKUP($A76,'Data Vlaue (Cr)'!$C:$FB,4)</f>
        <v>20183</v>
      </c>
      <c r="E76" s="75">
        <f>VLOOKUP($A76,'Data Vlaue (Cr)'!$C:$FB,5)</f>
        <v>18966</v>
      </c>
      <c r="F76" s="75">
        <f t="shared" ref="F76:F139" si="6">D76-C76</f>
        <v>10</v>
      </c>
      <c r="G76" s="75">
        <f t="shared" ref="G76:G139" si="7">(D76-E76)/D76*100</f>
        <v>6.0298270821978894</v>
      </c>
      <c r="H76" s="75">
        <f>VLOOKUP($A76,'Data Vlaue (Cr)'!$C:$FB,99)</f>
        <v>1049</v>
      </c>
      <c r="I76" s="75">
        <f>VLOOKUP($A76,'Data Vlaue (Cr)'!$C:$FB,100)</f>
        <v>1023</v>
      </c>
      <c r="J76" s="75">
        <f t="shared" ref="J76:J139" si="8">H76-I76</f>
        <v>26</v>
      </c>
      <c r="K76" s="75">
        <f t="shared" ref="K76:K139" si="9">J76/H76*100</f>
        <v>2.478551000953289</v>
      </c>
      <c r="L76" s="75">
        <f>VLOOKUP($A76,'Data Vlaue (Cr)'!$C:$FB,67)</f>
        <v>1927</v>
      </c>
      <c r="M76" s="75">
        <f>VLOOKUP($A76,'Data Vlaue (Cr)'!$C:$FB,68)</f>
        <v>530</v>
      </c>
      <c r="N76" s="75">
        <f t="shared" ref="N76:N139" si="10">L76-M76</f>
        <v>1397</v>
      </c>
      <c r="O76" s="75">
        <f t="shared" ref="O76:O139" si="11">N76/L76*100</f>
        <v>72.496107939802798</v>
      </c>
      <c r="P76" s="75">
        <f>VLOOKUP($A76,'Data Vlaue (Cr)'!$C:$FB,119)</f>
        <v>0.45</v>
      </c>
      <c r="Q76" s="75">
        <f>VLOOKUP($A76,'Data Vlaue (Cr)'!$C:$FB,122)*100</f>
        <v>32.35</v>
      </c>
      <c r="R76" s="75">
        <f>VLOOKUP($A76,'Data Vlaue (Cr)'!$C:$FB,125)</f>
        <v>0.31</v>
      </c>
      <c r="S76" s="75">
        <f>VLOOKUP($A76,'Data Vlaue (Cr)'!$C:$FB,128)*100</f>
        <v>-29.549999999999997</v>
      </c>
    </row>
    <row r="77" spans="1:19" x14ac:dyDescent="0.25">
      <c r="A77" s="96" t="str">
        <f>'Data Vlaue (Cr)'!C68</f>
        <v>FORTIS</v>
      </c>
      <c r="B77" s="75">
        <f>VLOOKUP($A77,'Data Vlaue (Cr)'!$C:$FB,2)</f>
        <v>775</v>
      </c>
      <c r="C77" s="75">
        <f>VLOOKUP($A77,'Data Vlaue (Cr)'!$C:$FB,8)</f>
        <v>956.9</v>
      </c>
      <c r="D77" s="75">
        <f>VLOOKUP($A77,'Data Vlaue (Cr)'!$C:$FB,4)</f>
        <v>964.25</v>
      </c>
      <c r="E77" s="75">
        <f>VLOOKUP($A77,'Data Vlaue (Cr)'!$C:$FB,5)</f>
        <v>952.05</v>
      </c>
      <c r="F77" s="75">
        <f t="shared" si="6"/>
        <v>7.3500000000000227</v>
      </c>
      <c r="G77" s="75">
        <f t="shared" si="7"/>
        <v>1.2652320456313244</v>
      </c>
      <c r="H77" s="75">
        <f>VLOOKUP($A77,'Data Vlaue (Cr)'!$C:$FB,99)</f>
        <v>1168</v>
      </c>
      <c r="I77" s="75">
        <f>VLOOKUP($A77,'Data Vlaue (Cr)'!$C:$FB,100)</f>
        <v>1148</v>
      </c>
      <c r="J77" s="75">
        <f t="shared" si="8"/>
        <v>20</v>
      </c>
      <c r="K77" s="75">
        <f t="shared" si="9"/>
        <v>1.7123287671232876</v>
      </c>
      <c r="L77" s="75">
        <f>VLOOKUP($A77,'Data Vlaue (Cr)'!$C:$FB,67)</f>
        <v>290</v>
      </c>
      <c r="M77" s="75">
        <f>VLOOKUP($A77,'Data Vlaue (Cr)'!$C:$FB,68)</f>
        <v>223</v>
      </c>
      <c r="N77" s="75">
        <f t="shared" si="10"/>
        <v>67</v>
      </c>
      <c r="O77" s="75">
        <f t="shared" si="11"/>
        <v>23.103448275862068</v>
      </c>
      <c r="P77" s="75">
        <f>VLOOKUP($A77,'Data Vlaue (Cr)'!$C:$FB,119)</f>
        <v>0.4</v>
      </c>
      <c r="Q77" s="75">
        <f>VLOOKUP($A77,'Data Vlaue (Cr)'!$C:$FB,122)*100</f>
        <v>-20</v>
      </c>
      <c r="R77" s="75">
        <f>VLOOKUP($A77,'Data Vlaue (Cr)'!$C:$FB,125)</f>
        <v>0.31</v>
      </c>
      <c r="S77" s="75">
        <f>VLOOKUP($A77,'Data Vlaue (Cr)'!$C:$FB,128)*100</f>
        <v>-8.82</v>
      </c>
    </row>
    <row r="78" spans="1:19" x14ac:dyDescent="0.25">
      <c r="A78" s="96" t="str">
        <f>'Data Vlaue (Cr)'!C69</f>
        <v>GAIL</v>
      </c>
      <c r="B78" s="75">
        <f>VLOOKUP($A78,'Data Vlaue (Cr)'!$C:$FB,2)</f>
        <v>3150</v>
      </c>
      <c r="C78" s="75">
        <f>VLOOKUP($A78,'Data Vlaue (Cr)'!$C:$FB,8)</f>
        <v>165.68</v>
      </c>
      <c r="D78" s="75">
        <f>VLOOKUP($A78,'Data Vlaue (Cr)'!$C:$FB,4)</f>
        <v>166.36</v>
      </c>
      <c r="E78" s="75">
        <f>VLOOKUP($A78,'Data Vlaue (Cr)'!$C:$FB,5)</f>
        <v>164.58</v>
      </c>
      <c r="F78" s="75">
        <f t="shared" si="6"/>
        <v>0.68000000000000682</v>
      </c>
      <c r="G78" s="75">
        <f t="shared" si="7"/>
        <v>1.069968742486175</v>
      </c>
      <c r="H78" s="75">
        <f>VLOOKUP($A78,'Data Vlaue (Cr)'!$C:$FB,99)</f>
        <v>1888</v>
      </c>
      <c r="I78" s="75">
        <f>VLOOKUP($A78,'Data Vlaue (Cr)'!$C:$FB,100)</f>
        <v>1832</v>
      </c>
      <c r="J78" s="75">
        <f t="shared" si="8"/>
        <v>56</v>
      </c>
      <c r="K78" s="75">
        <f t="shared" si="9"/>
        <v>2.9661016949152543</v>
      </c>
      <c r="L78" s="75">
        <f>VLOOKUP($A78,'Data Vlaue (Cr)'!$C:$FB,67)</f>
        <v>406</v>
      </c>
      <c r="M78" s="75">
        <f>VLOOKUP($A78,'Data Vlaue (Cr)'!$C:$FB,68)</f>
        <v>458</v>
      </c>
      <c r="N78" s="75">
        <f t="shared" si="10"/>
        <v>-52</v>
      </c>
      <c r="O78" s="75">
        <f t="shared" si="11"/>
        <v>-12.807881773399016</v>
      </c>
      <c r="P78" s="75">
        <f>VLOOKUP($A78,'Data Vlaue (Cr)'!$C:$FB,119)</f>
        <v>0.95</v>
      </c>
      <c r="Q78" s="75">
        <f>VLOOKUP($A78,'Data Vlaue (Cr)'!$C:$FB,122)*100</f>
        <v>-7.7700000000000005</v>
      </c>
      <c r="R78" s="75">
        <f>VLOOKUP($A78,'Data Vlaue (Cr)'!$C:$FB,125)</f>
        <v>0.48</v>
      </c>
      <c r="S78" s="75">
        <f>VLOOKUP($A78,'Data Vlaue (Cr)'!$C:$FB,128)*100</f>
        <v>-17.239999999999998</v>
      </c>
    </row>
    <row r="79" spans="1:19" x14ac:dyDescent="0.25">
      <c r="A79" s="96" t="str">
        <f>'Data Vlaue (Cr)'!C70</f>
        <v>GLENMARK</v>
      </c>
      <c r="B79" s="75">
        <f>VLOOKUP($A79,'Data Vlaue (Cr)'!$C:$FB,2)</f>
        <v>375</v>
      </c>
      <c r="C79" s="75">
        <f>VLOOKUP($A79,'Data Vlaue (Cr)'!$C:$FB,8)</f>
        <v>2377.6</v>
      </c>
      <c r="D79" s="75">
        <f>VLOOKUP($A79,'Data Vlaue (Cr)'!$C:$FB,4)</f>
        <v>2390.6</v>
      </c>
      <c r="E79" s="75">
        <f>VLOOKUP($A79,'Data Vlaue (Cr)'!$C:$FB,5)</f>
        <v>2433.1999999999998</v>
      </c>
      <c r="F79" s="75">
        <f t="shared" si="6"/>
        <v>13</v>
      </c>
      <c r="G79" s="75">
        <f t="shared" si="7"/>
        <v>-1.7819794193926173</v>
      </c>
      <c r="H79" s="75">
        <f>VLOOKUP($A79,'Data Vlaue (Cr)'!$C:$FB,99)</f>
        <v>3402</v>
      </c>
      <c r="I79" s="75">
        <f>VLOOKUP($A79,'Data Vlaue (Cr)'!$C:$FB,100)</f>
        <v>3336</v>
      </c>
      <c r="J79" s="75">
        <f t="shared" si="8"/>
        <v>66</v>
      </c>
      <c r="K79" s="75">
        <f t="shared" si="9"/>
        <v>1.9400352733686066</v>
      </c>
      <c r="L79" s="75">
        <f>VLOOKUP($A79,'Data Vlaue (Cr)'!$C:$FB,67)</f>
        <v>2005</v>
      </c>
      <c r="M79" s="75">
        <f>VLOOKUP($A79,'Data Vlaue (Cr)'!$C:$FB,68)</f>
        <v>975</v>
      </c>
      <c r="N79" s="75">
        <f t="shared" si="10"/>
        <v>1030</v>
      </c>
      <c r="O79" s="75">
        <f t="shared" si="11"/>
        <v>51.371571072319199</v>
      </c>
      <c r="P79" s="75">
        <f>VLOOKUP($A79,'Data Vlaue (Cr)'!$C:$FB,119)</f>
        <v>0.48</v>
      </c>
      <c r="Q79" s="75">
        <f>VLOOKUP($A79,'Data Vlaue (Cr)'!$C:$FB,122)*100</f>
        <v>-15.790000000000001</v>
      </c>
      <c r="R79" s="75">
        <f>VLOOKUP($A79,'Data Vlaue (Cr)'!$C:$FB,125)</f>
        <v>0.45</v>
      </c>
      <c r="S79" s="75">
        <f>VLOOKUP($A79,'Data Vlaue (Cr)'!$C:$FB,128)*100</f>
        <v>15.379999999999999</v>
      </c>
    </row>
    <row r="80" spans="1:19" x14ac:dyDescent="0.25">
      <c r="A80" s="96" t="str">
        <f>'Data Vlaue (Cr)'!C71</f>
        <v>GMRAIRPORT</v>
      </c>
      <c r="B80" s="75">
        <f>VLOOKUP($A80,'Data Vlaue (Cr)'!$C:$FB,2)</f>
        <v>6975</v>
      </c>
      <c r="C80" s="75">
        <f>VLOOKUP($A80,'Data Vlaue (Cr)'!$C:$FB,8)</f>
        <v>99.23</v>
      </c>
      <c r="D80" s="75">
        <f>VLOOKUP($A80,'Data Vlaue (Cr)'!$C:$FB,4)</f>
        <v>99.97</v>
      </c>
      <c r="E80" s="75">
        <f>VLOOKUP($A80,'Data Vlaue (Cr)'!$C:$FB,5)</f>
        <v>97.34</v>
      </c>
      <c r="F80" s="75">
        <f t="shared" si="6"/>
        <v>0.73999999999999488</v>
      </c>
      <c r="G80" s="75">
        <f t="shared" si="7"/>
        <v>2.6307892367710268</v>
      </c>
      <c r="H80" s="75">
        <f>VLOOKUP($A80,'Data Vlaue (Cr)'!$C:$FB,99)</f>
        <v>2415</v>
      </c>
      <c r="I80" s="75">
        <f>VLOOKUP($A80,'Data Vlaue (Cr)'!$C:$FB,100)</f>
        <v>2317</v>
      </c>
      <c r="J80" s="75">
        <f t="shared" si="8"/>
        <v>98</v>
      </c>
      <c r="K80" s="75">
        <f t="shared" si="9"/>
        <v>4.057971014492753</v>
      </c>
      <c r="L80" s="75">
        <f>VLOOKUP($A80,'Data Vlaue (Cr)'!$C:$FB,67)</f>
        <v>1292</v>
      </c>
      <c r="M80" s="75">
        <f>VLOOKUP($A80,'Data Vlaue (Cr)'!$C:$FB,68)</f>
        <v>859</v>
      </c>
      <c r="N80" s="75">
        <f t="shared" si="10"/>
        <v>433</v>
      </c>
      <c r="O80" s="75">
        <f t="shared" si="11"/>
        <v>33.513931888544889</v>
      </c>
      <c r="P80" s="75">
        <f>VLOOKUP($A80,'Data Vlaue (Cr)'!$C:$FB,119)</f>
        <v>0.61</v>
      </c>
      <c r="Q80" s="75">
        <f>VLOOKUP($A80,'Data Vlaue (Cr)'!$C:$FB,122)*100</f>
        <v>5.17</v>
      </c>
      <c r="R80" s="75">
        <f>VLOOKUP($A80,'Data Vlaue (Cr)'!$C:$FB,125)</f>
        <v>0.34</v>
      </c>
      <c r="S80" s="75">
        <f>VLOOKUP($A80,'Data Vlaue (Cr)'!$C:$FB,128)*100</f>
        <v>-33.33</v>
      </c>
    </row>
    <row r="81" spans="1:19" x14ac:dyDescent="0.25">
      <c r="A81" s="96" t="str">
        <f>'Data Vlaue (Cr)'!C72</f>
        <v>GODFRYPHLP</v>
      </c>
      <c r="B81" s="75">
        <f>VLOOKUP($A81,'Data Vlaue (Cr)'!$C:$FB,2)</f>
        <v>275</v>
      </c>
      <c r="C81" s="75">
        <f>VLOOKUP($A81,'Data Vlaue (Cr)'!$C:$FB,8)</f>
        <v>2308</v>
      </c>
      <c r="D81" s="75">
        <f>VLOOKUP($A81,'Data Vlaue (Cr)'!$C:$FB,4)</f>
        <v>2322.6</v>
      </c>
      <c r="E81" s="75">
        <f>VLOOKUP($A81,'Data Vlaue (Cr)'!$C:$FB,5)</f>
        <v>2246.1</v>
      </c>
      <c r="F81" s="75">
        <f t="shared" si="6"/>
        <v>14.599999999999909</v>
      </c>
      <c r="G81" s="75">
        <f t="shared" si="7"/>
        <v>3.2937225523120643</v>
      </c>
      <c r="H81" s="75">
        <f>VLOOKUP($A81,'Data Vlaue (Cr)'!$C:$FB,99)</f>
        <v>676</v>
      </c>
      <c r="I81" s="75">
        <f>VLOOKUP($A81,'Data Vlaue (Cr)'!$C:$FB,100)</f>
        <v>586</v>
      </c>
      <c r="J81" s="75">
        <f t="shared" si="8"/>
        <v>90</v>
      </c>
      <c r="K81" s="75">
        <f t="shared" si="9"/>
        <v>13.313609467455622</v>
      </c>
      <c r="L81" s="75">
        <f>VLOOKUP($A81,'Data Vlaue (Cr)'!$C:$FB,67)</f>
        <v>699</v>
      </c>
      <c r="M81" s="75">
        <f>VLOOKUP($A81,'Data Vlaue (Cr)'!$C:$FB,68)</f>
        <v>211</v>
      </c>
      <c r="N81" s="75">
        <f t="shared" si="10"/>
        <v>488</v>
      </c>
      <c r="O81" s="75">
        <f t="shared" si="11"/>
        <v>69.814020028612305</v>
      </c>
      <c r="P81" s="75">
        <f>VLOOKUP($A81,'Data Vlaue (Cr)'!$C:$FB,119)</f>
        <v>0.59</v>
      </c>
      <c r="Q81" s="75">
        <f>VLOOKUP($A81,'Data Vlaue (Cr)'!$C:$FB,122)*100</f>
        <v>47.5</v>
      </c>
      <c r="R81" s="75">
        <f>VLOOKUP($A81,'Data Vlaue (Cr)'!$C:$FB,125)</f>
        <v>0.34</v>
      </c>
      <c r="S81" s="75">
        <f>VLOOKUP($A81,'Data Vlaue (Cr)'!$C:$FB,128)*100</f>
        <v>30.769999999999996</v>
      </c>
    </row>
    <row r="82" spans="1:19" x14ac:dyDescent="0.25">
      <c r="A82" s="96" t="str">
        <f>'Data Vlaue (Cr)'!C73</f>
        <v>GODREJCP</v>
      </c>
      <c r="B82" s="75">
        <f>VLOOKUP($A82,'Data Vlaue (Cr)'!$C:$FB,2)</f>
        <v>500</v>
      </c>
      <c r="C82" s="75">
        <f>VLOOKUP($A82,'Data Vlaue (Cr)'!$C:$FB,8)</f>
        <v>1094.0999999999999</v>
      </c>
      <c r="D82" s="75">
        <f>VLOOKUP($A82,'Data Vlaue (Cr)'!$C:$FB,4)</f>
        <v>1098.2</v>
      </c>
      <c r="E82" s="75">
        <f>VLOOKUP($A82,'Data Vlaue (Cr)'!$C:$FB,5)</f>
        <v>1098.5999999999999</v>
      </c>
      <c r="F82" s="75">
        <f t="shared" si="6"/>
        <v>4.1000000000001364</v>
      </c>
      <c r="G82" s="75">
        <f t="shared" si="7"/>
        <v>-3.6423238025848077E-2</v>
      </c>
      <c r="H82" s="75">
        <f>VLOOKUP($A82,'Data Vlaue (Cr)'!$C:$FB,99)</f>
        <v>1956</v>
      </c>
      <c r="I82" s="75">
        <f>VLOOKUP($A82,'Data Vlaue (Cr)'!$C:$FB,100)</f>
        <v>1669</v>
      </c>
      <c r="J82" s="75">
        <f t="shared" si="8"/>
        <v>287</v>
      </c>
      <c r="K82" s="75">
        <f t="shared" si="9"/>
        <v>14.672801635991819</v>
      </c>
      <c r="L82" s="75">
        <f>VLOOKUP($A82,'Data Vlaue (Cr)'!$C:$FB,67)</f>
        <v>1289</v>
      </c>
      <c r="M82" s="75">
        <f>VLOOKUP($A82,'Data Vlaue (Cr)'!$C:$FB,68)</f>
        <v>595</v>
      </c>
      <c r="N82" s="75">
        <f t="shared" si="10"/>
        <v>694</v>
      </c>
      <c r="O82" s="75">
        <f t="shared" si="11"/>
        <v>53.840186190845621</v>
      </c>
      <c r="P82" s="75">
        <f>VLOOKUP($A82,'Data Vlaue (Cr)'!$C:$FB,119)</f>
        <v>0.52</v>
      </c>
      <c r="Q82" s="75">
        <f>VLOOKUP($A82,'Data Vlaue (Cr)'!$C:$FB,122)*100</f>
        <v>-27.779999999999998</v>
      </c>
      <c r="R82" s="75">
        <f>VLOOKUP($A82,'Data Vlaue (Cr)'!$C:$FB,125)</f>
        <v>0.4</v>
      </c>
      <c r="S82" s="75">
        <f>VLOOKUP($A82,'Data Vlaue (Cr)'!$C:$FB,128)*100</f>
        <v>-6.98</v>
      </c>
    </row>
    <row r="83" spans="1:19" x14ac:dyDescent="0.25">
      <c r="A83" s="96" t="str">
        <f>'Data Vlaue (Cr)'!C74</f>
        <v>GODREJPROP</v>
      </c>
      <c r="B83" s="75">
        <f>VLOOKUP($A83,'Data Vlaue (Cr)'!$C:$FB,2)</f>
        <v>275</v>
      </c>
      <c r="C83" s="75">
        <f>VLOOKUP($A83,'Data Vlaue (Cr)'!$C:$FB,8)</f>
        <v>1867.2</v>
      </c>
      <c r="D83" s="75">
        <f>VLOOKUP($A83,'Data Vlaue (Cr)'!$C:$FB,4)</f>
        <v>1878.2</v>
      </c>
      <c r="E83" s="75">
        <f>VLOOKUP($A83,'Data Vlaue (Cr)'!$C:$FB,5)</f>
        <v>1819.8</v>
      </c>
      <c r="F83" s="75">
        <f t="shared" si="6"/>
        <v>11</v>
      </c>
      <c r="G83" s="75">
        <f t="shared" si="7"/>
        <v>3.1093600255563887</v>
      </c>
      <c r="H83" s="75">
        <f>VLOOKUP($A83,'Data Vlaue (Cr)'!$C:$FB,99)</f>
        <v>2356</v>
      </c>
      <c r="I83" s="75">
        <f>VLOOKUP($A83,'Data Vlaue (Cr)'!$C:$FB,100)</f>
        <v>2507</v>
      </c>
      <c r="J83" s="75">
        <f t="shared" si="8"/>
        <v>-151</v>
      </c>
      <c r="K83" s="75">
        <f t="shared" si="9"/>
        <v>-6.409168081494057</v>
      </c>
      <c r="L83" s="75">
        <f>VLOOKUP($A83,'Data Vlaue (Cr)'!$C:$FB,67)</f>
        <v>1457</v>
      </c>
      <c r="M83" s="75">
        <f>VLOOKUP($A83,'Data Vlaue (Cr)'!$C:$FB,68)</f>
        <v>3638</v>
      </c>
      <c r="N83" s="75">
        <f t="shared" si="10"/>
        <v>-2181</v>
      </c>
      <c r="O83" s="75">
        <f t="shared" si="11"/>
        <v>-149.69114619080301</v>
      </c>
      <c r="P83" s="75">
        <f>VLOOKUP($A83,'Data Vlaue (Cr)'!$C:$FB,119)</f>
        <v>0.59</v>
      </c>
      <c r="Q83" s="75">
        <f>VLOOKUP($A83,'Data Vlaue (Cr)'!$C:$FB,122)*100</f>
        <v>11.32</v>
      </c>
      <c r="R83" s="75">
        <f>VLOOKUP($A83,'Data Vlaue (Cr)'!$C:$FB,125)</f>
        <v>0.38</v>
      </c>
      <c r="S83" s="75">
        <f>VLOOKUP($A83,'Data Vlaue (Cr)'!$C:$FB,128)*100</f>
        <v>-34.479999999999997</v>
      </c>
    </row>
    <row r="84" spans="1:19" x14ac:dyDescent="0.25">
      <c r="A84" s="96" t="str">
        <f>'Data Vlaue (Cr)'!C75</f>
        <v>GRASIM</v>
      </c>
      <c r="B84" s="75">
        <f>VLOOKUP($A84,'Data Vlaue (Cr)'!$C:$FB,2)</f>
        <v>250</v>
      </c>
      <c r="C84" s="75">
        <f>VLOOKUP($A84,'Data Vlaue (Cr)'!$C:$FB,8)</f>
        <v>2914.8</v>
      </c>
      <c r="D84" s="75">
        <f>VLOOKUP($A84,'Data Vlaue (Cr)'!$C:$FB,4)</f>
        <v>2935.4</v>
      </c>
      <c r="E84" s="75">
        <f>VLOOKUP($A84,'Data Vlaue (Cr)'!$C:$FB,5)</f>
        <v>2879</v>
      </c>
      <c r="F84" s="75">
        <f t="shared" si="6"/>
        <v>20.599999999999909</v>
      </c>
      <c r="G84" s="75">
        <f t="shared" si="7"/>
        <v>1.9213735777066188</v>
      </c>
      <c r="H84" s="75">
        <f>VLOOKUP($A84,'Data Vlaue (Cr)'!$C:$FB,99)</f>
        <v>4986</v>
      </c>
      <c r="I84" s="75">
        <f>VLOOKUP($A84,'Data Vlaue (Cr)'!$C:$FB,100)</f>
        <v>4907</v>
      </c>
      <c r="J84" s="75">
        <f t="shared" si="8"/>
        <v>79</v>
      </c>
      <c r="K84" s="75">
        <f t="shared" si="9"/>
        <v>1.5844364219815485</v>
      </c>
      <c r="L84" s="75">
        <f>VLOOKUP($A84,'Data Vlaue (Cr)'!$C:$FB,67)</f>
        <v>955</v>
      </c>
      <c r="M84" s="75">
        <f>VLOOKUP($A84,'Data Vlaue (Cr)'!$C:$FB,68)</f>
        <v>676</v>
      </c>
      <c r="N84" s="75">
        <f t="shared" si="10"/>
        <v>279</v>
      </c>
      <c r="O84" s="75">
        <f t="shared" si="11"/>
        <v>29.214659685863875</v>
      </c>
      <c r="P84" s="75">
        <f>VLOOKUP($A84,'Data Vlaue (Cr)'!$C:$FB,119)</f>
        <v>0.69</v>
      </c>
      <c r="Q84" s="75">
        <f>VLOOKUP($A84,'Data Vlaue (Cr)'!$C:$FB,122)*100</f>
        <v>2.9899999999999998</v>
      </c>
      <c r="R84" s="75">
        <f>VLOOKUP($A84,'Data Vlaue (Cr)'!$C:$FB,125)</f>
        <v>0.92</v>
      </c>
      <c r="S84" s="75">
        <f>VLOOKUP($A84,'Data Vlaue (Cr)'!$C:$FB,128)*100</f>
        <v>113.94999999999999</v>
      </c>
    </row>
    <row r="85" spans="1:19" x14ac:dyDescent="0.25">
      <c r="A85" s="96" t="str">
        <f>'Data Vlaue (Cr)'!C76</f>
        <v>HAL</v>
      </c>
      <c r="B85" s="75">
        <f>VLOOKUP($A85,'Data Vlaue (Cr)'!$C:$FB,2)</f>
        <v>150</v>
      </c>
      <c r="C85" s="75">
        <f>VLOOKUP($A85,'Data Vlaue (Cr)'!$C:$FB,8)</f>
        <v>4626.8999999999996</v>
      </c>
      <c r="D85" s="75">
        <f>VLOOKUP($A85,'Data Vlaue (Cr)'!$C:$FB,4)</f>
        <v>4646.2</v>
      </c>
      <c r="E85" s="75">
        <f>VLOOKUP($A85,'Data Vlaue (Cr)'!$C:$FB,5)</f>
        <v>4622.1000000000004</v>
      </c>
      <c r="F85" s="75">
        <f t="shared" si="6"/>
        <v>19.300000000000182</v>
      </c>
      <c r="G85" s="75">
        <f t="shared" si="7"/>
        <v>0.51870345658816785</v>
      </c>
      <c r="H85" s="75">
        <f>VLOOKUP($A85,'Data Vlaue (Cr)'!$C:$FB,99)</f>
        <v>5207</v>
      </c>
      <c r="I85" s="75">
        <f>VLOOKUP($A85,'Data Vlaue (Cr)'!$C:$FB,100)</f>
        <v>5253</v>
      </c>
      <c r="J85" s="75">
        <f t="shared" si="8"/>
        <v>-46</v>
      </c>
      <c r="K85" s="75">
        <f t="shared" si="9"/>
        <v>-0.88342615709621664</v>
      </c>
      <c r="L85" s="75">
        <f>VLOOKUP($A85,'Data Vlaue (Cr)'!$C:$FB,67)</f>
        <v>2637</v>
      </c>
      <c r="M85" s="75">
        <f>VLOOKUP($A85,'Data Vlaue (Cr)'!$C:$FB,68)</f>
        <v>5651</v>
      </c>
      <c r="N85" s="75">
        <f t="shared" si="10"/>
        <v>-3014</v>
      </c>
      <c r="O85" s="75">
        <f t="shared" si="11"/>
        <v>-114.2965491088358</v>
      </c>
      <c r="P85" s="75">
        <f>VLOOKUP($A85,'Data Vlaue (Cr)'!$C:$FB,119)</f>
        <v>0.76</v>
      </c>
      <c r="Q85" s="75">
        <f>VLOOKUP($A85,'Data Vlaue (Cr)'!$C:$FB,122)*100</f>
        <v>-6.17</v>
      </c>
      <c r="R85" s="75">
        <f>VLOOKUP($A85,'Data Vlaue (Cr)'!$C:$FB,125)</f>
        <v>0.55000000000000004</v>
      </c>
      <c r="S85" s="75">
        <f>VLOOKUP($A85,'Data Vlaue (Cr)'!$C:$FB,128)*100</f>
        <v>41.03</v>
      </c>
    </row>
    <row r="86" spans="1:19" x14ac:dyDescent="0.25">
      <c r="A86" s="96" t="str">
        <f>'Data Vlaue (Cr)'!C77</f>
        <v>HAVELLS</v>
      </c>
      <c r="B86" s="75">
        <f>VLOOKUP($A86,'Data Vlaue (Cr)'!$C:$FB,2)</f>
        <v>500</v>
      </c>
      <c r="C86" s="75">
        <f>VLOOKUP($A86,'Data Vlaue (Cr)'!$C:$FB,8)</f>
        <v>1257.3</v>
      </c>
      <c r="D86" s="75">
        <f>VLOOKUP($A86,'Data Vlaue (Cr)'!$C:$FB,4)</f>
        <v>1260.0999999999999</v>
      </c>
      <c r="E86" s="75">
        <f>VLOOKUP($A86,'Data Vlaue (Cr)'!$C:$FB,5)</f>
        <v>1240.2</v>
      </c>
      <c r="F86" s="75">
        <f t="shared" si="6"/>
        <v>2.7999999999999545</v>
      </c>
      <c r="G86" s="75">
        <f t="shared" si="7"/>
        <v>1.5792397428775387</v>
      </c>
      <c r="H86" s="75">
        <f>VLOOKUP($A86,'Data Vlaue (Cr)'!$C:$FB,99)</f>
        <v>2296</v>
      </c>
      <c r="I86" s="75">
        <f>VLOOKUP($A86,'Data Vlaue (Cr)'!$C:$FB,100)</f>
        <v>2305</v>
      </c>
      <c r="J86" s="75">
        <f t="shared" si="8"/>
        <v>-9</v>
      </c>
      <c r="K86" s="75">
        <f t="shared" si="9"/>
        <v>-0.39198606271777003</v>
      </c>
      <c r="L86" s="75">
        <f>VLOOKUP($A86,'Data Vlaue (Cr)'!$C:$FB,67)</f>
        <v>788</v>
      </c>
      <c r="M86" s="75">
        <f>VLOOKUP($A86,'Data Vlaue (Cr)'!$C:$FB,68)</f>
        <v>960</v>
      </c>
      <c r="N86" s="75">
        <f t="shared" si="10"/>
        <v>-172</v>
      </c>
      <c r="O86" s="75">
        <f t="shared" si="11"/>
        <v>-21.82741116751269</v>
      </c>
      <c r="P86" s="75">
        <f>VLOOKUP($A86,'Data Vlaue (Cr)'!$C:$FB,119)</f>
        <v>0.42</v>
      </c>
      <c r="Q86" s="75">
        <f>VLOOKUP($A86,'Data Vlaue (Cr)'!$C:$FB,122)*100</f>
        <v>-4.55</v>
      </c>
      <c r="R86" s="75">
        <f>VLOOKUP($A86,'Data Vlaue (Cr)'!$C:$FB,125)</f>
        <v>0.4</v>
      </c>
      <c r="S86" s="75">
        <f>VLOOKUP($A86,'Data Vlaue (Cr)'!$C:$FB,128)*100</f>
        <v>2.56</v>
      </c>
    </row>
    <row r="87" spans="1:19" x14ac:dyDescent="0.25">
      <c r="A87" s="96" t="str">
        <f>'Data Vlaue (Cr)'!C78</f>
        <v>HCLTECH</v>
      </c>
      <c r="B87" s="75">
        <f>VLOOKUP($A87,'Data Vlaue (Cr)'!$C:$FB,2)</f>
        <v>350</v>
      </c>
      <c r="C87" s="75">
        <f>VLOOKUP($A87,'Data Vlaue (Cr)'!$C:$FB,8)</f>
        <v>1189.0999999999999</v>
      </c>
      <c r="D87" s="75">
        <f>VLOOKUP($A87,'Data Vlaue (Cr)'!$C:$FB,4)</f>
        <v>1191.9000000000001</v>
      </c>
      <c r="E87" s="75">
        <f>VLOOKUP($A87,'Data Vlaue (Cr)'!$C:$FB,5)</f>
        <v>1201.4000000000001</v>
      </c>
      <c r="F87" s="75">
        <f t="shared" si="6"/>
        <v>2.8000000000001819</v>
      </c>
      <c r="G87" s="75">
        <f t="shared" si="7"/>
        <v>-0.79704673210839827</v>
      </c>
      <c r="H87" s="75">
        <f>VLOOKUP($A87,'Data Vlaue (Cr)'!$C:$FB,99)</f>
        <v>9673</v>
      </c>
      <c r="I87" s="75">
        <f>VLOOKUP($A87,'Data Vlaue (Cr)'!$C:$FB,100)</f>
        <v>9266</v>
      </c>
      <c r="J87" s="75">
        <f t="shared" si="8"/>
        <v>407</v>
      </c>
      <c r="K87" s="75">
        <f t="shared" si="9"/>
        <v>4.2075881319135737</v>
      </c>
      <c r="L87" s="75">
        <f>VLOOKUP($A87,'Data Vlaue (Cr)'!$C:$FB,67)</f>
        <v>3431</v>
      </c>
      <c r="M87" s="75">
        <f>VLOOKUP($A87,'Data Vlaue (Cr)'!$C:$FB,68)</f>
        <v>1770</v>
      </c>
      <c r="N87" s="75">
        <f t="shared" si="10"/>
        <v>1661</v>
      </c>
      <c r="O87" s="75">
        <f t="shared" si="11"/>
        <v>48.411541824540947</v>
      </c>
      <c r="P87" s="75">
        <f>VLOOKUP($A87,'Data Vlaue (Cr)'!$C:$FB,119)</f>
        <v>0.49</v>
      </c>
      <c r="Q87" s="75">
        <f>VLOOKUP($A87,'Data Vlaue (Cr)'!$C:$FB,122)*100</f>
        <v>-7.55</v>
      </c>
      <c r="R87" s="75">
        <f>VLOOKUP($A87,'Data Vlaue (Cr)'!$C:$FB,125)</f>
        <v>0.41</v>
      </c>
      <c r="S87" s="75">
        <f>VLOOKUP($A87,'Data Vlaue (Cr)'!$C:$FB,128)*100</f>
        <v>-21.15</v>
      </c>
    </row>
    <row r="88" spans="1:19" x14ac:dyDescent="0.25">
      <c r="A88" s="96" t="str">
        <f>'Data Vlaue (Cr)'!C79</f>
        <v>HDFCAMC</v>
      </c>
      <c r="B88" s="75">
        <f>VLOOKUP($A88,'Data Vlaue (Cr)'!$C:$FB,2)</f>
        <v>300</v>
      </c>
      <c r="C88" s="75">
        <f>VLOOKUP($A88,'Data Vlaue (Cr)'!$C:$FB,8)</f>
        <v>2815.9</v>
      </c>
      <c r="D88" s="75">
        <f>VLOOKUP($A88,'Data Vlaue (Cr)'!$C:$FB,4)</f>
        <v>2836.1</v>
      </c>
      <c r="E88" s="75">
        <f>VLOOKUP($A88,'Data Vlaue (Cr)'!$C:$FB,5)</f>
        <v>2821.8</v>
      </c>
      <c r="F88" s="75">
        <f t="shared" si="6"/>
        <v>20.199999999999818</v>
      </c>
      <c r="G88" s="75">
        <f t="shared" si="7"/>
        <v>0.50421353266809099</v>
      </c>
      <c r="H88" s="75">
        <f>VLOOKUP($A88,'Data Vlaue (Cr)'!$C:$FB,99)</f>
        <v>2291</v>
      </c>
      <c r="I88" s="75">
        <f>VLOOKUP($A88,'Data Vlaue (Cr)'!$C:$FB,100)</f>
        <v>2220</v>
      </c>
      <c r="J88" s="75">
        <f t="shared" si="8"/>
        <v>71</v>
      </c>
      <c r="K88" s="75">
        <f t="shared" si="9"/>
        <v>3.0990833697075515</v>
      </c>
      <c r="L88" s="75">
        <f>VLOOKUP($A88,'Data Vlaue (Cr)'!$C:$FB,67)</f>
        <v>1065</v>
      </c>
      <c r="M88" s="75">
        <f>VLOOKUP($A88,'Data Vlaue (Cr)'!$C:$FB,68)</f>
        <v>1781</v>
      </c>
      <c r="N88" s="75">
        <f t="shared" si="10"/>
        <v>-716</v>
      </c>
      <c r="O88" s="75">
        <f t="shared" si="11"/>
        <v>-67.230046948356801</v>
      </c>
      <c r="P88" s="75">
        <f>VLOOKUP($A88,'Data Vlaue (Cr)'!$C:$FB,119)</f>
        <v>0.61</v>
      </c>
      <c r="Q88" s="75">
        <f>VLOOKUP($A88,'Data Vlaue (Cr)'!$C:$FB,122)*100</f>
        <v>8.93</v>
      </c>
      <c r="R88" s="75">
        <f>VLOOKUP($A88,'Data Vlaue (Cr)'!$C:$FB,125)</f>
        <v>0.43</v>
      </c>
      <c r="S88" s="75">
        <f>VLOOKUP($A88,'Data Vlaue (Cr)'!$C:$FB,128)*100</f>
        <v>72</v>
      </c>
    </row>
    <row r="89" spans="1:19" x14ac:dyDescent="0.25">
      <c r="A89" s="96" t="str">
        <f>'Data Vlaue (Cr)'!C80</f>
        <v>HDFCBANK</v>
      </c>
      <c r="B89" s="75">
        <f>VLOOKUP($A89,'Data Vlaue (Cr)'!$C:$FB,2)</f>
        <v>550</v>
      </c>
      <c r="C89" s="75">
        <f>VLOOKUP($A89,'Data Vlaue (Cr)'!$C:$FB,8)</f>
        <v>796.55</v>
      </c>
      <c r="D89" s="75">
        <f>VLOOKUP($A89,'Data Vlaue (Cr)'!$C:$FB,4)</f>
        <v>801.85</v>
      </c>
      <c r="E89" s="75">
        <f>VLOOKUP($A89,'Data Vlaue (Cr)'!$C:$FB,5)</f>
        <v>775.45</v>
      </c>
      <c r="F89" s="75">
        <f t="shared" si="6"/>
        <v>5.3000000000000682</v>
      </c>
      <c r="G89" s="75">
        <f t="shared" si="7"/>
        <v>3.2923863565504736</v>
      </c>
      <c r="H89" s="75">
        <f>VLOOKUP($A89,'Data Vlaue (Cr)'!$C:$FB,99)</f>
        <v>36453</v>
      </c>
      <c r="I89" s="75">
        <f>VLOOKUP($A89,'Data Vlaue (Cr)'!$C:$FB,100)</f>
        <v>35820</v>
      </c>
      <c r="J89" s="75">
        <f t="shared" si="8"/>
        <v>633</v>
      </c>
      <c r="K89" s="75">
        <f t="shared" si="9"/>
        <v>1.7364825940251831</v>
      </c>
      <c r="L89" s="75">
        <f>VLOOKUP($A89,'Data Vlaue (Cr)'!$C:$FB,67)</f>
        <v>19062</v>
      </c>
      <c r="M89" s="75">
        <f>VLOOKUP($A89,'Data Vlaue (Cr)'!$C:$FB,68)</f>
        <v>10122</v>
      </c>
      <c r="N89" s="75">
        <f t="shared" si="10"/>
        <v>8940</v>
      </c>
      <c r="O89" s="75">
        <f t="shared" si="11"/>
        <v>46.899590808939251</v>
      </c>
      <c r="P89" s="75">
        <f>VLOOKUP($A89,'Data Vlaue (Cr)'!$C:$FB,119)</f>
        <v>0.6</v>
      </c>
      <c r="Q89" s="75">
        <f>VLOOKUP($A89,'Data Vlaue (Cr)'!$C:$FB,122)*100</f>
        <v>9.09</v>
      </c>
      <c r="R89" s="75">
        <f>VLOOKUP($A89,'Data Vlaue (Cr)'!$C:$FB,125)</f>
        <v>0.53</v>
      </c>
      <c r="S89" s="75">
        <f>VLOOKUP($A89,'Data Vlaue (Cr)'!$C:$FB,128)*100</f>
        <v>20.45</v>
      </c>
    </row>
    <row r="90" spans="1:19" x14ac:dyDescent="0.25">
      <c r="A90" s="96" t="str">
        <f>'Data Vlaue (Cr)'!C81</f>
        <v>HDFCLIFE</v>
      </c>
      <c r="B90" s="75">
        <f>VLOOKUP($A90,'Data Vlaue (Cr)'!$C:$FB,2)</f>
        <v>1100</v>
      </c>
      <c r="C90" s="75">
        <f>VLOOKUP($A90,'Data Vlaue (Cr)'!$C:$FB,8)</f>
        <v>606.35</v>
      </c>
      <c r="D90" s="75">
        <f>VLOOKUP($A90,'Data Vlaue (Cr)'!$C:$FB,4)</f>
        <v>610.5</v>
      </c>
      <c r="E90" s="75">
        <f>VLOOKUP($A90,'Data Vlaue (Cr)'!$C:$FB,5)</f>
        <v>597.45000000000005</v>
      </c>
      <c r="F90" s="75">
        <f t="shared" si="6"/>
        <v>4.1499999999999773</v>
      </c>
      <c r="G90" s="75">
        <f t="shared" si="7"/>
        <v>2.1375921375921298</v>
      </c>
      <c r="H90" s="75">
        <f>VLOOKUP($A90,'Data Vlaue (Cr)'!$C:$FB,99)</f>
        <v>4813</v>
      </c>
      <c r="I90" s="75">
        <f>VLOOKUP($A90,'Data Vlaue (Cr)'!$C:$FB,100)</f>
        <v>4237</v>
      </c>
      <c r="J90" s="75">
        <f t="shared" si="8"/>
        <v>576</v>
      </c>
      <c r="K90" s="75">
        <f t="shared" si="9"/>
        <v>11.967587783087472</v>
      </c>
      <c r="L90" s="75">
        <f>VLOOKUP($A90,'Data Vlaue (Cr)'!$C:$FB,67)</f>
        <v>5448</v>
      </c>
      <c r="M90" s="75">
        <f>VLOOKUP($A90,'Data Vlaue (Cr)'!$C:$FB,68)</f>
        <v>2369</v>
      </c>
      <c r="N90" s="75">
        <f t="shared" si="10"/>
        <v>3079</v>
      </c>
      <c r="O90" s="75">
        <f t="shared" si="11"/>
        <v>56.516152716593247</v>
      </c>
      <c r="P90" s="75">
        <f>VLOOKUP($A90,'Data Vlaue (Cr)'!$C:$FB,119)</f>
        <v>0.56000000000000005</v>
      </c>
      <c r="Q90" s="75">
        <f>VLOOKUP($A90,'Data Vlaue (Cr)'!$C:$FB,122)*100</f>
        <v>1.82</v>
      </c>
      <c r="R90" s="75">
        <f>VLOOKUP($A90,'Data Vlaue (Cr)'!$C:$FB,125)</f>
        <v>0.36</v>
      </c>
      <c r="S90" s="75">
        <f>VLOOKUP($A90,'Data Vlaue (Cr)'!$C:$FB,128)*100</f>
        <v>-10</v>
      </c>
    </row>
    <row r="91" spans="1:19" x14ac:dyDescent="0.25">
      <c r="A91" s="96" t="str">
        <f>'Data Vlaue (Cr)'!C82</f>
        <v>HEROMOTOCO</v>
      </c>
      <c r="B91" s="75">
        <f>VLOOKUP($A91,'Data Vlaue (Cr)'!$C:$FB,2)</f>
        <v>150</v>
      </c>
      <c r="C91" s="75">
        <f>VLOOKUP($A91,'Data Vlaue (Cr)'!$C:$FB,8)</f>
        <v>5170</v>
      </c>
      <c r="D91" s="75">
        <f>VLOOKUP($A91,'Data Vlaue (Cr)'!$C:$FB,4)</f>
        <v>5198</v>
      </c>
      <c r="E91" s="75">
        <f>VLOOKUP($A91,'Data Vlaue (Cr)'!$C:$FB,5)</f>
        <v>5124</v>
      </c>
      <c r="F91" s="75">
        <f t="shared" si="6"/>
        <v>28</v>
      </c>
      <c r="G91" s="75">
        <f t="shared" si="7"/>
        <v>1.4236244709503656</v>
      </c>
      <c r="H91" s="75">
        <f>VLOOKUP($A91,'Data Vlaue (Cr)'!$C:$FB,99)</f>
        <v>4471</v>
      </c>
      <c r="I91" s="75">
        <f>VLOOKUP($A91,'Data Vlaue (Cr)'!$C:$FB,100)</f>
        <v>4205</v>
      </c>
      <c r="J91" s="75">
        <f t="shared" si="8"/>
        <v>266</v>
      </c>
      <c r="K91" s="75">
        <f t="shared" si="9"/>
        <v>5.9494520241556703</v>
      </c>
      <c r="L91" s="75">
        <f>VLOOKUP($A91,'Data Vlaue (Cr)'!$C:$FB,67)</f>
        <v>20649</v>
      </c>
      <c r="M91" s="75">
        <f>VLOOKUP($A91,'Data Vlaue (Cr)'!$C:$FB,68)</f>
        <v>3074</v>
      </c>
      <c r="N91" s="75">
        <f t="shared" si="10"/>
        <v>17575</v>
      </c>
      <c r="O91" s="75">
        <f t="shared" si="11"/>
        <v>85.113080536587731</v>
      </c>
      <c r="P91" s="75">
        <f>VLOOKUP($A91,'Data Vlaue (Cr)'!$C:$FB,119)</f>
        <v>0.55000000000000004</v>
      </c>
      <c r="Q91" s="75">
        <f>VLOOKUP($A91,'Data Vlaue (Cr)'!$C:$FB,122)*100</f>
        <v>1.8499999999999999</v>
      </c>
      <c r="R91" s="75">
        <f>VLOOKUP($A91,'Data Vlaue (Cr)'!$C:$FB,125)</f>
        <v>0.47</v>
      </c>
      <c r="S91" s="75">
        <f>VLOOKUP($A91,'Data Vlaue (Cr)'!$C:$FB,128)*100</f>
        <v>34.29</v>
      </c>
    </row>
    <row r="92" spans="1:19" x14ac:dyDescent="0.25">
      <c r="A92" s="96" t="str">
        <f>'Data Vlaue (Cr)'!C83</f>
        <v>HINDALCO</v>
      </c>
      <c r="B92" s="75">
        <f>VLOOKUP($A92,'Data Vlaue (Cr)'!$C:$FB,2)</f>
        <v>700</v>
      </c>
      <c r="C92" s="75">
        <f>VLOOKUP($A92,'Data Vlaue (Cr)'!$C:$FB,8)</f>
        <v>1045.8</v>
      </c>
      <c r="D92" s="75">
        <f>VLOOKUP($A92,'Data Vlaue (Cr)'!$C:$FB,4)</f>
        <v>1052</v>
      </c>
      <c r="E92" s="75">
        <f>VLOOKUP($A92,'Data Vlaue (Cr)'!$C:$FB,5)</f>
        <v>1057.5</v>
      </c>
      <c r="F92" s="75">
        <f t="shared" si="6"/>
        <v>6.2000000000000455</v>
      </c>
      <c r="G92" s="75">
        <f t="shared" si="7"/>
        <v>-0.52281368821292773</v>
      </c>
      <c r="H92" s="75">
        <f>VLOOKUP($A92,'Data Vlaue (Cr)'!$C:$FB,99)</f>
        <v>4874</v>
      </c>
      <c r="I92" s="75">
        <f>VLOOKUP($A92,'Data Vlaue (Cr)'!$C:$FB,100)</f>
        <v>4827</v>
      </c>
      <c r="J92" s="75">
        <f t="shared" si="8"/>
        <v>47</v>
      </c>
      <c r="K92" s="75">
        <f t="shared" si="9"/>
        <v>0.96430036930652452</v>
      </c>
      <c r="L92" s="75">
        <f>VLOOKUP($A92,'Data Vlaue (Cr)'!$C:$FB,67)</f>
        <v>2320</v>
      </c>
      <c r="M92" s="75">
        <f>VLOOKUP($A92,'Data Vlaue (Cr)'!$C:$FB,68)</f>
        <v>2444</v>
      </c>
      <c r="N92" s="75">
        <f t="shared" si="10"/>
        <v>-124</v>
      </c>
      <c r="O92" s="75">
        <f t="shared" si="11"/>
        <v>-5.3448275862068968</v>
      </c>
      <c r="P92" s="75">
        <f>VLOOKUP($A92,'Data Vlaue (Cr)'!$C:$FB,119)</f>
        <v>0.72</v>
      </c>
      <c r="Q92" s="75">
        <f>VLOOKUP($A92,'Data Vlaue (Cr)'!$C:$FB,122)*100</f>
        <v>-6.49</v>
      </c>
      <c r="R92" s="75">
        <f>VLOOKUP($A92,'Data Vlaue (Cr)'!$C:$FB,125)</f>
        <v>0.56999999999999995</v>
      </c>
      <c r="S92" s="75">
        <f>VLOOKUP($A92,'Data Vlaue (Cr)'!$C:$FB,128)*100</f>
        <v>-3.39</v>
      </c>
    </row>
    <row r="93" spans="1:19" x14ac:dyDescent="0.25">
      <c r="A93" s="96" t="str">
        <f>'Data Vlaue (Cr)'!C84</f>
        <v>HINDPETRO</v>
      </c>
      <c r="B93" s="75">
        <f>VLOOKUP($A93,'Data Vlaue (Cr)'!$C:$FB,2)</f>
        <v>2025</v>
      </c>
      <c r="C93" s="75">
        <f>VLOOKUP($A93,'Data Vlaue (Cr)'!$C:$FB,8)</f>
        <v>399.2</v>
      </c>
      <c r="D93" s="75">
        <f>VLOOKUP($A93,'Data Vlaue (Cr)'!$C:$FB,4)</f>
        <v>401.7</v>
      </c>
      <c r="E93" s="75">
        <f>VLOOKUP($A93,'Data Vlaue (Cr)'!$C:$FB,5)</f>
        <v>376.25</v>
      </c>
      <c r="F93" s="75">
        <f t="shared" si="6"/>
        <v>2.5</v>
      </c>
      <c r="G93" s="75">
        <f t="shared" si="7"/>
        <v>6.3355738113019644</v>
      </c>
      <c r="H93" s="75">
        <f>VLOOKUP($A93,'Data Vlaue (Cr)'!$C:$FB,99)</f>
        <v>2615</v>
      </c>
      <c r="I93" s="75">
        <f>VLOOKUP($A93,'Data Vlaue (Cr)'!$C:$FB,100)</f>
        <v>2421</v>
      </c>
      <c r="J93" s="75">
        <f t="shared" si="8"/>
        <v>194</v>
      </c>
      <c r="K93" s="75">
        <f t="shared" si="9"/>
        <v>7.418738049713193</v>
      </c>
      <c r="L93" s="75">
        <f>VLOOKUP($A93,'Data Vlaue (Cr)'!$C:$FB,67)</f>
        <v>3396</v>
      </c>
      <c r="M93" s="75">
        <f>VLOOKUP($A93,'Data Vlaue (Cr)'!$C:$FB,68)</f>
        <v>1032</v>
      </c>
      <c r="N93" s="75">
        <f t="shared" si="10"/>
        <v>2364</v>
      </c>
      <c r="O93" s="75">
        <f t="shared" si="11"/>
        <v>69.611307420494697</v>
      </c>
      <c r="P93" s="75">
        <f>VLOOKUP($A93,'Data Vlaue (Cr)'!$C:$FB,119)</f>
        <v>1.06</v>
      </c>
      <c r="Q93" s="75">
        <f>VLOOKUP($A93,'Data Vlaue (Cr)'!$C:$FB,122)*100</f>
        <v>-7.8299999999999992</v>
      </c>
      <c r="R93" s="75">
        <f>VLOOKUP($A93,'Data Vlaue (Cr)'!$C:$FB,125)</f>
        <v>0.55000000000000004</v>
      </c>
      <c r="S93" s="75">
        <f>VLOOKUP($A93,'Data Vlaue (Cr)'!$C:$FB,128)*100</f>
        <v>-11.29</v>
      </c>
    </row>
    <row r="94" spans="1:19" x14ac:dyDescent="0.25">
      <c r="A94" s="96" t="str">
        <f>'Data Vlaue (Cr)'!C85</f>
        <v>HINDUNILVR</v>
      </c>
      <c r="B94" s="75">
        <f>VLOOKUP($A94,'Data Vlaue (Cr)'!$C:$FB,2)</f>
        <v>300</v>
      </c>
      <c r="C94" s="75">
        <f>VLOOKUP($A94,'Data Vlaue (Cr)'!$C:$FB,8)</f>
        <v>2317.1</v>
      </c>
      <c r="D94" s="75">
        <f>VLOOKUP($A94,'Data Vlaue (Cr)'!$C:$FB,4)</f>
        <v>2326.8000000000002</v>
      </c>
      <c r="E94" s="75">
        <f>VLOOKUP($A94,'Data Vlaue (Cr)'!$C:$FB,5)</f>
        <v>2332.1</v>
      </c>
      <c r="F94" s="75">
        <f t="shared" si="6"/>
        <v>9.7000000000002728</v>
      </c>
      <c r="G94" s="75">
        <f t="shared" si="7"/>
        <v>-0.22778064294308609</v>
      </c>
      <c r="H94" s="75">
        <f>VLOOKUP($A94,'Data Vlaue (Cr)'!$C:$FB,99)</f>
        <v>6383</v>
      </c>
      <c r="I94" s="75">
        <f>VLOOKUP($A94,'Data Vlaue (Cr)'!$C:$FB,100)</f>
        <v>6247</v>
      </c>
      <c r="J94" s="75">
        <f t="shared" si="8"/>
        <v>136</v>
      </c>
      <c r="K94" s="75">
        <f t="shared" si="9"/>
        <v>2.1306595644681185</v>
      </c>
      <c r="L94" s="75">
        <f>VLOOKUP($A94,'Data Vlaue (Cr)'!$C:$FB,67)</f>
        <v>3942</v>
      </c>
      <c r="M94" s="75">
        <f>VLOOKUP($A94,'Data Vlaue (Cr)'!$C:$FB,68)</f>
        <v>3419</v>
      </c>
      <c r="N94" s="75">
        <f t="shared" si="10"/>
        <v>523</v>
      </c>
      <c r="O94" s="75">
        <f t="shared" si="11"/>
        <v>13.267376966007102</v>
      </c>
      <c r="P94" s="75">
        <f>VLOOKUP($A94,'Data Vlaue (Cr)'!$C:$FB,119)</f>
        <v>0.53</v>
      </c>
      <c r="Q94" s="75">
        <f>VLOOKUP($A94,'Data Vlaue (Cr)'!$C:$FB,122)*100</f>
        <v>-7.02</v>
      </c>
      <c r="R94" s="75">
        <f>VLOOKUP($A94,'Data Vlaue (Cr)'!$C:$FB,125)</f>
        <v>0.56999999999999995</v>
      </c>
      <c r="S94" s="75">
        <f>VLOOKUP($A94,'Data Vlaue (Cr)'!$C:$FB,128)*100</f>
        <v>3.64</v>
      </c>
    </row>
    <row r="95" spans="1:19" x14ac:dyDescent="0.25">
      <c r="A95" s="96" t="str">
        <f>'Data Vlaue (Cr)'!C86</f>
        <v>HINDZINC</v>
      </c>
      <c r="B95" s="75">
        <f>VLOOKUP($A95,'Data Vlaue (Cr)'!$C:$FB,2)</f>
        <v>1225</v>
      </c>
      <c r="C95" s="75">
        <f>VLOOKUP($A95,'Data Vlaue (Cr)'!$C:$FB,8)</f>
        <v>634.6</v>
      </c>
      <c r="D95" s="75">
        <f>VLOOKUP($A95,'Data Vlaue (Cr)'!$C:$FB,4)</f>
        <v>638.95000000000005</v>
      </c>
      <c r="E95" s="75">
        <f>VLOOKUP($A95,'Data Vlaue (Cr)'!$C:$FB,5)</f>
        <v>614.4</v>
      </c>
      <c r="F95" s="75">
        <f t="shared" si="6"/>
        <v>4.3500000000000227</v>
      </c>
      <c r="G95" s="75">
        <f t="shared" si="7"/>
        <v>3.8422411769309126</v>
      </c>
      <c r="H95" s="75">
        <f>VLOOKUP($A95,'Data Vlaue (Cr)'!$C:$FB,99)</f>
        <v>4184</v>
      </c>
      <c r="I95" s="75">
        <f>VLOOKUP($A95,'Data Vlaue (Cr)'!$C:$FB,100)</f>
        <v>3950</v>
      </c>
      <c r="J95" s="75">
        <f t="shared" si="8"/>
        <v>234</v>
      </c>
      <c r="K95" s="75">
        <f t="shared" si="9"/>
        <v>5.592734225621415</v>
      </c>
      <c r="L95" s="75">
        <f>VLOOKUP($A95,'Data Vlaue (Cr)'!$C:$FB,67)</f>
        <v>5665</v>
      </c>
      <c r="M95" s="75">
        <f>VLOOKUP($A95,'Data Vlaue (Cr)'!$C:$FB,68)</f>
        <v>1932</v>
      </c>
      <c r="N95" s="75">
        <f t="shared" si="10"/>
        <v>3733</v>
      </c>
      <c r="O95" s="75">
        <f t="shared" si="11"/>
        <v>65.895851721094445</v>
      </c>
      <c r="P95" s="75">
        <f>VLOOKUP($A95,'Data Vlaue (Cr)'!$C:$FB,119)</f>
        <v>0.73</v>
      </c>
      <c r="Q95" s="75">
        <f>VLOOKUP($A95,'Data Vlaue (Cr)'!$C:$FB,122)*100</f>
        <v>10.61</v>
      </c>
      <c r="R95" s="75">
        <f>VLOOKUP($A95,'Data Vlaue (Cr)'!$C:$FB,125)</f>
        <v>0.48</v>
      </c>
      <c r="S95" s="75">
        <f>VLOOKUP($A95,'Data Vlaue (Cr)'!$C:$FB,128)*100</f>
        <v>-30.43</v>
      </c>
    </row>
    <row r="96" spans="1:19" x14ac:dyDescent="0.25">
      <c r="A96" s="96" t="str">
        <f>'Data Vlaue (Cr)'!C87</f>
        <v>HYUNDAI</v>
      </c>
      <c r="B96" s="75">
        <f>VLOOKUP($A96,'Data Vlaue (Cr)'!$C:$FB,2)</f>
        <v>275</v>
      </c>
      <c r="C96" s="75">
        <f>VLOOKUP($A96,'Data Vlaue (Cr)'!$C:$FB,8)</f>
        <v>1839.9</v>
      </c>
      <c r="D96" s="75">
        <f>VLOOKUP($A96,'Data Vlaue (Cr)'!$C:$FB,4)</f>
        <v>1840.8</v>
      </c>
      <c r="E96" s="75">
        <f>VLOOKUP($A96,'Data Vlaue (Cr)'!$C:$FB,5)</f>
        <v>1796.7</v>
      </c>
      <c r="F96" s="75">
        <f t="shared" si="6"/>
        <v>0.89999999999986358</v>
      </c>
      <c r="G96" s="75">
        <f t="shared" si="7"/>
        <v>2.3956975228161621</v>
      </c>
      <c r="H96" s="75">
        <f>VLOOKUP($A96,'Data Vlaue (Cr)'!$C:$FB,99)</f>
        <v>2153</v>
      </c>
      <c r="I96" s="75">
        <f>VLOOKUP($A96,'Data Vlaue (Cr)'!$C:$FB,100)</f>
        <v>2112</v>
      </c>
      <c r="J96" s="75">
        <f t="shared" si="8"/>
        <v>41</v>
      </c>
      <c r="K96" s="75">
        <f t="shared" si="9"/>
        <v>1.9043195541105433</v>
      </c>
      <c r="L96" s="75">
        <f>VLOOKUP($A96,'Data Vlaue (Cr)'!$C:$FB,67)</f>
        <v>681</v>
      </c>
      <c r="M96" s="75">
        <f>VLOOKUP($A96,'Data Vlaue (Cr)'!$C:$FB,68)</f>
        <v>913</v>
      </c>
      <c r="N96" s="75">
        <f t="shared" si="10"/>
        <v>-232</v>
      </c>
      <c r="O96" s="75">
        <f t="shared" si="11"/>
        <v>-34.067547723935391</v>
      </c>
      <c r="P96" s="75">
        <f>VLOOKUP($A96,'Data Vlaue (Cr)'!$C:$FB,119)</f>
        <v>0.87</v>
      </c>
      <c r="Q96" s="75">
        <f>VLOOKUP($A96,'Data Vlaue (Cr)'!$C:$FB,122)*100</f>
        <v>20.830000000000002</v>
      </c>
      <c r="R96" s="75">
        <f>VLOOKUP($A96,'Data Vlaue (Cr)'!$C:$FB,125)</f>
        <v>0.37</v>
      </c>
      <c r="S96" s="75">
        <f>VLOOKUP($A96,'Data Vlaue (Cr)'!$C:$FB,128)*100</f>
        <v>0</v>
      </c>
    </row>
    <row r="97" spans="1:19" x14ac:dyDescent="0.25">
      <c r="A97" s="96" t="str">
        <f>'Data Vlaue (Cr)'!C88</f>
        <v>ICICIBANK</v>
      </c>
      <c r="B97" s="75">
        <f>VLOOKUP($A97,'Data Vlaue (Cr)'!$C:$FB,2)</f>
        <v>700</v>
      </c>
      <c r="C97" s="75">
        <f>VLOOKUP($A97,'Data Vlaue (Cr)'!$C:$FB,8)</f>
        <v>1279.5</v>
      </c>
      <c r="D97" s="75">
        <f>VLOOKUP($A97,'Data Vlaue (Cr)'!$C:$FB,4)</f>
        <v>1287.5999999999999</v>
      </c>
      <c r="E97" s="75">
        <f>VLOOKUP($A97,'Data Vlaue (Cr)'!$C:$FB,5)</f>
        <v>1258.5</v>
      </c>
      <c r="F97" s="75">
        <f t="shared" si="6"/>
        <v>8.0999999999999091</v>
      </c>
      <c r="G97" s="75">
        <f t="shared" si="7"/>
        <v>2.2600186393289774</v>
      </c>
      <c r="H97" s="75">
        <f>VLOOKUP($A97,'Data Vlaue (Cr)'!$C:$FB,99)</f>
        <v>26850</v>
      </c>
      <c r="I97" s="75">
        <f>VLOOKUP($A97,'Data Vlaue (Cr)'!$C:$FB,100)</f>
        <v>26175</v>
      </c>
      <c r="J97" s="75">
        <f t="shared" si="8"/>
        <v>675</v>
      </c>
      <c r="K97" s="75">
        <f t="shared" si="9"/>
        <v>2.5139664804469275</v>
      </c>
      <c r="L97" s="75">
        <f>VLOOKUP($A97,'Data Vlaue (Cr)'!$C:$FB,67)</f>
        <v>13373</v>
      </c>
      <c r="M97" s="75">
        <f>VLOOKUP($A97,'Data Vlaue (Cr)'!$C:$FB,68)</f>
        <v>9103</v>
      </c>
      <c r="N97" s="75">
        <f t="shared" si="10"/>
        <v>4270</v>
      </c>
      <c r="O97" s="75">
        <f t="shared" si="11"/>
        <v>31.93000822552905</v>
      </c>
      <c r="P97" s="75">
        <f>VLOOKUP($A97,'Data Vlaue (Cr)'!$C:$FB,119)</f>
        <v>0.6</v>
      </c>
      <c r="Q97" s="75">
        <f>VLOOKUP($A97,'Data Vlaue (Cr)'!$C:$FB,122)*100</f>
        <v>3.45</v>
      </c>
      <c r="R97" s="75">
        <f>VLOOKUP($A97,'Data Vlaue (Cr)'!$C:$FB,125)</f>
        <v>0.59</v>
      </c>
      <c r="S97" s="75">
        <f>VLOOKUP($A97,'Data Vlaue (Cr)'!$C:$FB,128)*100</f>
        <v>7.2700000000000005</v>
      </c>
    </row>
    <row r="98" spans="1:19" x14ac:dyDescent="0.25">
      <c r="A98" s="96" t="str">
        <f>'Data Vlaue (Cr)'!C89</f>
        <v>ICICIGI</v>
      </c>
      <c r="B98" s="75">
        <f>VLOOKUP($A98,'Data Vlaue (Cr)'!$C:$FB,2)</f>
        <v>325</v>
      </c>
      <c r="C98" s="75">
        <f>VLOOKUP($A98,'Data Vlaue (Cr)'!$C:$FB,8)</f>
        <v>1809.9</v>
      </c>
      <c r="D98" s="75">
        <f>VLOOKUP($A98,'Data Vlaue (Cr)'!$C:$FB,4)</f>
        <v>1816.5</v>
      </c>
      <c r="E98" s="75">
        <f>VLOOKUP($A98,'Data Vlaue (Cr)'!$C:$FB,5)</f>
        <v>1780.1</v>
      </c>
      <c r="F98" s="75">
        <f t="shared" si="6"/>
        <v>6.5999999999999091</v>
      </c>
      <c r="G98" s="75">
        <f t="shared" si="7"/>
        <v>2.0038535645472111</v>
      </c>
      <c r="H98" s="75">
        <f>VLOOKUP($A98,'Data Vlaue (Cr)'!$C:$FB,99)</f>
        <v>1165</v>
      </c>
      <c r="I98" s="75">
        <f>VLOOKUP($A98,'Data Vlaue (Cr)'!$C:$FB,100)</f>
        <v>1148</v>
      </c>
      <c r="J98" s="75">
        <f t="shared" si="8"/>
        <v>17</v>
      </c>
      <c r="K98" s="75">
        <f t="shared" si="9"/>
        <v>1.4592274678111588</v>
      </c>
      <c r="L98" s="75">
        <f>VLOOKUP($A98,'Data Vlaue (Cr)'!$C:$FB,67)</f>
        <v>502</v>
      </c>
      <c r="M98" s="75">
        <f>VLOOKUP($A98,'Data Vlaue (Cr)'!$C:$FB,68)</f>
        <v>258</v>
      </c>
      <c r="N98" s="75">
        <f t="shared" si="10"/>
        <v>244</v>
      </c>
      <c r="O98" s="75">
        <f t="shared" si="11"/>
        <v>48.605577689243027</v>
      </c>
      <c r="P98" s="75">
        <f>VLOOKUP($A98,'Data Vlaue (Cr)'!$C:$FB,119)</f>
        <v>0.46</v>
      </c>
      <c r="Q98" s="75">
        <f>VLOOKUP($A98,'Data Vlaue (Cr)'!$C:$FB,122)*100</f>
        <v>-8</v>
      </c>
      <c r="R98" s="75">
        <f>VLOOKUP($A98,'Data Vlaue (Cr)'!$C:$FB,125)</f>
        <v>0.35</v>
      </c>
      <c r="S98" s="75">
        <f>VLOOKUP($A98,'Data Vlaue (Cr)'!$C:$FB,128)*100</f>
        <v>9.370000000000001</v>
      </c>
    </row>
    <row r="99" spans="1:19" x14ac:dyDescent="0.25">
      <c r="A99" s="96" t="str">
        <f>'Data Vlaue (Cr)'!C90</f>
        <v>ICICIPRULI</v>
      </c>
      <c r="B99" s="75">
        <f>VLOOKUP($A99,'Data Vlaue (Cr)'!$C:$FB,2)</f>
        <v>925</v>
      </c>
      <c r="C99" s="75">
        <f>VLOOKUP($A99,'Data Vlaue (Cr)'!$C:$FB,8)</f>
        <v>550.1</v>
      </c>
      <c r="D99" s="75">
        <f>VLOOKUP($A99,'Data Vlaue (Cr)'!$C:$FB,4)</f>
        <v>552.65</v>
      </c>
      <c r="E99" s="75">
        <f>VLOOKUP($A99,'Data Vlaue (Cr)'!$C:$FB,5)</f>
        <v>538.85</v>
      </c>
      <c r="F99" s="75">
        <f t="shared" si="6"/>
        <v>2.5499999999999545</v>
      </c>
      <c r="G99" s="75">
        <f t="shared" si="7"/>
        <v>2.4970596218221215</v>
      </c>
      <c r="H99" s="75">
        <f>VLOOKUP($A99,'Data Vlaue (Cr)'!$C:$FB,99)</f>
        <v>1579</v>
      </c>
      <c r="I99" s="75">
        <f>VLOOKUP($A99,'Data Vlaue (Cr)'!$C:$FB,100)</f>
        <v>1592</v>
      </c>
      <c r="J99" s="75">
        <f t="shared" si="8"/>
        <v>-13</v>
      </c>
      <c r="K99" s="75">
        <f t="shared" si="9"/>
        <v>-0.82330588980367314</v>
      </c>
      <c r="L99" s="75">
        <f>VLOOKUP($A99,'Data Vlaue (Cr)'!$C:$FB,67)</f>
        <v>616</v>
      </c>
      <c r="M99" s="75">
        <f>VLOOKUP($A99,'Data Vlaue (Cr)'!$C:$FB,68)</f>
        <v>575</v>
      </c>
      <c r="N99" s="75">
        <f t="shared" si="10"/>
        <v>41</v>
      </c>
      <c r="O99" s="75">
        <f t="shared" si="11"/>
        <v>6.6558441558441555</v>
      </c>
      <c r="P99" s="75">
        <f>VLOOKUP($A99,'Data Vlaue (Cr)'!$C:$FB,119)</f>
        <v>0.84</v>
      </c>
      <c r="Q99" s="75">
        <f>VLOOKUP($A99,'Data Vlaue (Cr)'!$C:$FB,122)*100</f>
        <v>10.530000000000001</v>
      </c>
      <c r="R99" s="75">
        <f>VLOOKUP($A99,'Data Vlaue (Cr)'!$C:$FB,125)</f>
        <v>0.67</v>
      </c>
      <c r="S99" s="75">
        <f>VLOOKUP($A99,'Data Vlaue (Cr)'!$C:$FB,128)*100</f>
        <v>3.08</v>
      </c>
    </row>
    <row r="100" spans="1:19" x14ac:dyDescent="0.25">
      <c r="A100" s="96" t="str">
        <f>'Data Vlaue (Cr)'!C91</f>
        <v>IDEA</v>
      </c>
      <c r="B100" s="75">
        <f>VLOOKUP($A100,'Data Vlaue (Cr)'!$C:$FB,2)</f>
        <v>71475</v>
      </c>
      <c r="C100" s="75">
        <f>VLOOKUP($A100,'Data Vlaue (Cr)'!$C:$FB,8)</f>
        <v>11.3</v>
      </c>
      <c r="D100" s="75">
        <f>VLOOKUP($A100,'Data Vlaue (Cr)'!$C:$FB,4)</f>
        <v>11.37</v>
      </c>
      <c r="E100" s="75">
        <f>VLOOKUP($A100,'Data Vlaue (Cr)'!$C:$FB,5)</f>
        <v>10.84</v>
      </c>
      <c r="F100" s="75">
        <f t="shared" si="6"/>
        <v>6.9999999999998508E-2</v>
      </c>
      <c r="G100" s="75">
        <f t="shared" si="7"/>
        <v>4.6613896218117805</v>
      </c>
      <c r="H100" s="75">
        <f>VLOOKUP($A100,'Data Vlaue (Cr)'!$C:$FB,99)</f>
        <v>10394</v>
      </c>
      <c r="I100" s="75">
        <f>VLOOKUP($A100,'Data Vlaue (Cr)'!$C:$FB,100)</f>
        <v>10521</v>
      </c>
      <c r="J100" s="75">
        <f t="shared" si="8"/>
        <v>-127</v>
      </c>
      <c r="K100" s="75">
        <f t="shared" si="9"/>
        <v>-1.2218587646719261</v>
      </c>
      <c r="L100" s="75">
        <f>VLOOKUP($A100,'Data Vlaue (Cr)'!$C:$FB,67)</f>
        <v>4981</v>
      </c>
      <c r="M100" s="75">
        <f>VLOOKUP($A100,'Data Vlaue (Cr)'!$C:$FB,68)</f>
        <v>5369</v>
      </c>
      <c r="N100" s="75">
        <f t="shared" si="10"/>
        <v>-388</v>
      </c>
      <c r="O100" s="75">
        <f t="shared" si="11"/>
        <v>-7.7896004818309574</v>
      </c>
      <c r="P100" s="75">
        <f>VLOOKUP($A100,'Data Vlaue (Cr)'!$C:$FB,119)</f>
        <v>0.55000000000000004</v>
      </c>
      <c r="Q100" s="75">
        <f>VLOOKUP($A100,'Data Vlaue (Cr)'!$C:$FB,122)*100</f>
        <v>5.7700000000000005</v>
      </c>
      <c r="R100" s="75">
        <f>VLOOKUP($A100,'Data Vlaue (Cr)'!$C:$FB,125)</f>
        <v>0.37</v>
      </c>
      <c r="S100" s="75">
        <f>VLOOKUP($A100,'Data Vlaue (Cr)'!$C:$FB,128)*100</f>
        <v>23.330000000000002</v>
      </c>
    </row>
    <row r="101" spans="1:19" x14ac:dyDescent="0.25">
      <c r="A101" s="96" t="str">
        <f>'Data Vlaue (Cr)'!C92</f>
        <v>IDFCFIRSTB</v>
      </c>
      <c r="B101" s="75">
        <f>VLOOKUP($A101,'Data Vlaue (Cr)'!$C:$FB,2)</f>
        <v>9275</v>
      </c>
      <c r="C101" s="75">
        <f>VLOOKUP($A101,'Data Vlaue (Cr)'!$C:$FB,8)</f>
        <v>69.59</v>
      </c>
      <c r="D101" s="75">
        <f>VLOOKUP($A101,'Data Vlaue (Cr)'!$C:$FB,4)</f>
        <v>70.08</v>
      </c>
      <c r="E101" s="75">
        <f>VLOOKUP($A101,'Data Vlaue (Cr)'!$C:$FB,5)</f>
        <v>69.13</v>
      </c>
      <c r="F101" s="75">
        <f t="shared" si="6"/>
        <v>0.48999999999999488</v>
      </c>
      <c r="G101" s="75">
        <f t="shared" si="7"/>
        <v>1.3555936073059403</v>
      </c>
      <c r="H101" s="75">
        <f>VLOOKUP($A101,'Data Vlaue (Cr)'!$C:$FB,99)</f>
        <v>4292</v>
      </c>
      <c r="I101" s="75">
        <f>VLOOKUP($A101,'Data Vlaue (Cr)'!$C:$FB,100)</f>
        <v>4120</v>
      </c>
      <c r="J101" s="75">
        <f t="shared" si="8"/>
        <v>172</v>
      </c>
      <c r="K101" s="75">
        <f t="shared" si="9"/>
        <v>4.0074557315936632</v>
      </c>
      <c r="L101" s="75">
        <f>VLOOKUP($A101,'Data Vlaue (Cr)'!$C:$FB,67)</f>
        <v>1801</v>
      </c>
      <c r="M101" s="75">
        <f>VLOOKUP($A101,'Data Vlaue (Cr)'!$C:$FB,68)</f>
        <v>1040</v>
      </c>
      <c r="N101" s="75">
        <f t="shared" si="10"/>
        <v>761</v>
      </c>
      <c r="O101" s="75">
        <f t="shared" si="11"/>
        <v>42.254303164908386</v>
      </c>
      <c r="P101" s="75">
        <f>VLOOKUP($A101,'Data Vlaue (Cr)'!$C:$FB,119)</f>
        <v>0.82</v>
      </c>
      <c r="Q101" s="75">
        <f>VLOOKUP($A101,'Data Vlaue (Cr)'!$C:$FB,122)*100</f>
        <v>-6.8199999999999994</v>
      </c>
      <c r="R101" s="75">
        <f>VLOOKUP($A101,'Data Vlaue (Cr)'!$C:$FB,125)</f>
        <v>0.62</v>
      </c>
      <c r="S101" s="75">
        <f>VLOOKUP($A101,'Data Vlaue (Cr)'!$C:$FB,128)*100</f>
        <v>-1.59</v>
      </c>
    </row>
    <row r="102" spans="1:19" x14ac:dyDescent="0.25">
      <c r="A102" s="96" t="str">
        <f>'Data Vlaue (Cr)'!C93</f>
        <v>IEX</v>
      </c>
      <c r="B102" s="75">
        <f>VLOOKUP($A102,'Data Vlaue (Cr)'!$C:$FB,2)</f>
        <v>3750</v>
      </c>
      <c r="C102" s="75">
        <f>VLOOKUP($A102,'Data Vlaue (Cr)'!$C:$FB,8)</f>
        <v>129.80000000000001</v>
      </c>
      <c r="D102" s="75">
        <f>VLOOKUP($A102,'Data Vlaue (Cr)'!$C:$FB,4)</f>
        <v>128.72</v>
      </c>
      <c r="E102" s="75">
        <f>VLOOKUP($A102,'Data Vlaue (Cr)'!$C:$FB,5)</f>
        <v>126.35</v>
      </c>
      <c r="F102" s="75">
        <f t="shared" si="6"/>
        <v>-1.0800000000000125</v>
      </c>
      <c r="G102" s="75">
        <f t="shared" si="7"/>
        <v>1.8412057178371695</v>
      </c>
      <c r="H102" s="75">
        <f>VLOOKUP($A102,'Data Vlaue (Cr)'!$C:$FB,99)</f>
        <v>1861</v>
      </c>
      <c r="I102" s="75">
        <f>VLOOKUP($A102,'Data Vlaue (Cr)'!$C:$FB,100)</f>
        <v>1834</v>
      </c>
      <c r="J102" s="75">
        <f t="shared" si="8"/>
        <v>27</v>
      </c>
      <c r="K102" s="75">
        <f t="shared" si="9"/>
        <v>1.4508328855454058</v>
      </c>
      <c r="L102" s="75">
        <f>VLOOKUP($A102,'Data Vlaue (Cr)'!$C:$FB,67)</f>
        <v>769</v>
      </c>
      <c r="M102" s="75">
        <f>VLOOKUP($A102,'Data Vlaue (Cr)'!$C:$FB,68)</f>
        <v>563</v>
      </c>
      <c r="N102" s="75">
        <f t="shared" si="10"/>
        <v>206</v>
      </c>
      <c r="O102" s="75">
        <f t="shared" si="11"/>
        <v>26.788036410923276</v>
      </c>
      <c r="P102" s="75">
        <f>VLOOKUP($A102,'Data Vlaue (Cr)'!$C:$FB,119)</f>
        <v>0.64</v>
      </c>
      <c r="Q102" s="75">
        <f>VLOOKUP($A102,'Data Vlaue (Cr)'!$C:$FB,122)*100</f>
        <v>6.67</v>
      </c>
      <c r="R102" s="75">
        <f>VLOOKUP($A102,'Data Vlaue (Cr)'!$C:$FB,125)</f>
        <v>0.5</v>
      </c>
      <c r="S102" s="75">
        <f>VLOOKUP($A102,'Data Vlaue (Cr)'!$C:$FB,128)*100</f>
        <v>72.41</v>
      </c>
    </row>
    <row r="103" spans="1:19" x14ac:dyDescent="0.25">
      <c r="A103" s="96" t="str">
        <f>'Data Vlaue (Cr)'!C94</f>
        <v>INDHOTEL</v>
      </c>
      <c r="B103" s="75">
        <f>VLOOKUP($A103,'Data Vlaue (Cr)'!$C:$FB,2)</f>
        <v>1000</v>
      </c>
      <c r="C103" s="75">
        <f>VLOOKUP($A103,'Data Vlaue (Cr)'!$C:$FB,8)</f>
        <v>666.15</v>
      </c>
      <c r="D103" s="75">
        <f>VLOOKUP($A103,'Data Vlaue (Cr)'!$C:$FB,4)</f>
        <v>669.85</v>
      </c>
      <c r="E103" s="75">
        <f>VLOOKUP($A103,'Data Vlaue (Cr)'!$C:$FB,5)</f>
        <v>650.29999999999995</v>
      </c>
      <c r="F103" s="75">
        <f t="shared" si="6"/>
        <v>3.7000000000000455</v>
      </c>
      <c r="G103" s="75">
        <f t="shared" si="7"/>
        <v>2.9185638575800654</v>
      </c>
      <c r="H103" s="75">
        <f>VLOOKUP($A103,'Data Vlaue (Cr)'!$C:$FB,99)</f>
        <v>2186</v>
      </c>
      <c r="I103" s="75">
        <f>VLOOKUP($A103,'Data Vlaue (Cr)'!$C:$FB,100)</f>
        <v>2158</v>
      </c>
      <c r="J103" s="75">
        <f t="shared" si="8"/>
        <v>28</v>
      </c>
      <c r="K103" s="75">
        <f t="shared" si="9"/>
        <v>1.2808783165599267</v>
      </c>
      <c r="L103" s="75">
        <f>VLOOKUP($A103,'Data Vlaue (Cr)'!$C:$FB,67)</f>
        <v>1553</v>
      </c>
      <c r="M103" s="75">
        <f>VLOOKUP($A103,'Data Vlaue (Cr)'!$C:$FB,68)</f>
        <v>622</v>
      </c>
      <c r="N103" s="75">
        <f t="shared" si="10"/>
        <v>931</v>
      </c>
      <c r="O103" s="75">
        <f t="shared" si="11"/>
        <v>59.948486799742426</v>
      </c>
      <c r="P103" s="75">
        <f>VLOOKUP($A103,'Data Vlaue (Cr)'!$C:$FB,119)</f>
        <v>0.99</v>
      </c>
      <c r="Q103" s="75">
        <f>VLOOKUP($A103,'Data Vlaue (Cr)'!$C:$FB,122)*100</f>
        <v>-7.48</v>
      </c>
      <c r="R103" s="75">
        <f>VLOOKUP($A103,'Data Vlaue (Cr)'!$C:$FB,125)</f>
        <v>0.5</v>
      </c>
      <c r="S103" s="75">
        <f>VLOOKUP($A103,'Data Vlaue (Cr)'!$C:$FB,128)*100</f>
        <v>-15.25</v>
      </c>
    </row>
    <row r="104" spans="1:19" x14ac:dyDescent="0.25">
      <c r="A104" s="96" t="str">
        <f>'Data Vlaue (Cr)'!C95</f>
        <v>INDIANB</v>
      </c>
      <c r="B104" s="75">
        <f>VLOOKUP($A104,'Data Vlaue (Cr)'!$C:$FB,2)</f>
        <v>1000</v>
      </c>
      <c r="C104" s="75">
        <f>VLOOKUP($A104,'Data Vlaue (Cr)'!$C:$FB,8)</f>
        <v>866.85</v>
      </c>
      <c r="D104" s="75">
        <f>VLOOKUP($A104,'Data Vlaue (Cr)'!$C:$FB,4)</f>
        <v>872.95</v>
      </c>
      <c r="E104" s="75">
        <f>VLOOKUP($A104,'Data Vlaue (Cr)'!$C:$FB,5)</f>
        <v>853.3</v>
      </c>
      <c r="F104" s="75">
        <f t="shared" si="6"/>
        <v>6.1000000000000227</v>
      </c>
      <c r="G104" s="75">
        <f t="shared" si="7"/>
        <v>2.2509880290967512</v>
      </c>
      <c r="H104" s="75">
        <f>VLOOKUP($A104,'Data Vlaue (Cr)'!$C:$FB,99)</f>
        <v>2166</v>
      </c>
      <c r="I104" s="75">
        <f>VLOOKUP($A104,'Data Vlaue (Cr)'!$C:$FB,100)</f>
        <v>2136</v>
      </c>
      <c r="J104" s="75">
        <f t="shared" si="8"/>
        <v>30</v>
      </c>
      <c r="K104" s="75">
        <f t="shared" si="9"/>
        <v>1.3850415512465373</v>
      </c>
      <c r="L104" s="75">
        <f>VLOOKUP($A104,'Data Vlaue (Cr)'!$C:$FB,67)</f>
        <v>2477</v>
      </c>
      <c r="M104" s="75">
        <f>VLOOKUP($A104,'Data Vlaue (Cr)'!$C:$FB,68)</f>
        <v>2019</v>
      </c>
      <c r="N104" s="75">
        <f t="shared" si="10"/>
        <v>458</v>
      </c>
      <c r="O104" s="75">
        <f t="shared" si="11"/>
        <v>18.490109002825999</v>
      </c>
      <c r="P104" s="75">
        <f>VLOOKUP($A104,'Data Vlaue (Cr)'!$C:$FB,119)</f>
        <v>0.55000000000000004</v>
      </c>
      <c r="Q104" s="75">
        <f>VLOOKUP($A104,'Data Vlaue (Cr)'!$C:$FB,122)*100</f>
        <v>5.7700000000000005</v>
      </c>
      <c r="R104" s="75">
        <f>VLOOKUP($A104,'Data Vlaue (Cr)'!$C:$FB,125)</f>
        <v>0.47</v>
      </c>
      <c r="S104" s="75">
        <f>VLOOKUP($A104,'Data Vlaue (Cr)'!$C:$FB,128)*100</f>
        <v>4.4400000000000004</v>
      </c>
    </row>
    <row r="105" spans="1:19" x14ac:dyDescent="0.25">
      <c r="A105" s="96" t="str">
        <f>'Data Vlaue (Cr)'!C96</f>
        <v>INDIAVIX</v>
      </c>
      <c r="B105" s="75">
        <f>VLOOKUP($A105,'Data Vlaue (Cr)'!$C:$FB,2)</f>
        <v>1</v>
      </c>
      <c r="C105" s="75">
        <f>VLOOKUP($A105,'Data Vlaue (Cr)'!$C:$FB,8)</f>
        <v>16.68</v>
      </c>
      <c r="D105" s="75">
        <f>VLOOKUP($A105,'Data Vlaue (Cr)'!$C:$FB,4)</f>
        <v>16.68</v>
      </c>
      <c r="E105" s="75">
        <f>VLOOKUP($A105,'Data Vlaue (Cr)'!$C:$FB,5)</f>
        <v>17.91</v>
      </c>
      <c r="F105" s="75">
        <f t="shared" si="6"/>
        <v>0</v>
      </c>
      <c r="G105" s="75">
        <f t="shared" si="7"/>
        <v>-7.3741007194244634</v>
      </c>
      <c r="H105" s="75">
        <f>VLOOKUP($A105,'Data Vlaue (Cr)'!$C:$FB,99)</f>
        <v>0</v>
      </c>
      <c r="I105" s="75">
        <f>VLOOKUP($A105,'Data Vlaue (Cr)'!$C:$FB,100)</f>
        <v>0</v>
      </c>
      <c r="J105" s="75">
        <f t="shared" si="8"/>
        <v>0</v>
      </c>
      <c r="K105" s="75" t="e">
        <f t="shared" si="9"/>
        <v>#DIV/0!</v>
      </c>
      <c r="L105" s="75">
        <f>VLOOKUP($A105,'Data Vlaue (Cr)'!$C:$FB,67)</f>
        <v>0</v>
      </c>
      <c r="M105" s="75">
        <f>VLOOKUP($A105,'Data Vlaue (Cr)'!$C:$FB,68)</f>
        <v>0</v>
      </c>
      <c r="N105" s="75">
        <f t="shared" si="10"/>
        <v>0</v>
      </c>
      <c r="O105" s="75" t="e">
        <f t="shared" si="11"/>
        <v>#DIV/0!</v>
      </c>
      <c r="P105" s="75">
        <f>VLOOKUP($A105,'Data Vlaue (Cr)'!$C:$FB,119)</f>
        <v>0</v>
      </c>
      <c r="Q105" s="75">
        <f>VLOOKUP($A105,'Data Vlaue (Cr)'!$C:$FB,122)*100</f>
        <v>0</v>
      </c>
      <c r="R105" s="75">
        <f>VLOOKUP($A105,'Data Vlaue (Cr)'!$C:$FB,125)</f>
        <v>0</v>
      </c>
      <c r="S105" s="75">
        <f>VLOOKUP($A105,'Data Vlaue (Cr)'!$C:$FB,128)*100</f>
        <v>0</v>
      </c>
    </row>
    <row r="106" spans="1:19" x14ac:dyDescent="0.25">
      <c r="A106" s="96" t="str">
        <f>'Data Vlaue (Cr)'!C97</f>
        <v>INDIGO</v>
      </c>
      <c r="B106" s="75">
        <f>VLOOKUP($A106,'Data Vlaue (Cr)'!$C:$FB,2)</f>
        <v>150</v>
      </c>
      <c r="C106" s="75">
        <f>VLOOKUP($A106,'Data Vlaue (Cr)'!$C:$FB,8)</f>
        <v>4520.2</v>
      </c>
      <c r="D106" s="75">
        <f>VLOOKUP($A106,'Data Vlaue (Cr)'!$C:$FB,4)</f>
        <v>4541.8999999999996</v>
      </c>
      <c r="E106" s="75">
        <f>VLOOKUP($A106,'Data Vlaue (Cr)'!$C:$FB,5)</f>
        <v>4262.7</v>
      </c>
      <c r="F106" s="75">
        <f t="shared" si="6"/>
        <v>21.699999999999818</v>
      </c>
      <c r="G106" s="75">
        <f t="shared" si="7"/>
        <v>6.1472071159646804</v>
      </c>
      <c r="H106" s="75">
        <f>VLOOKUP($A106,'Data Vlaue (Cr)'!$C:$FB,99)</f>
        <v>6650</v>
      </c>
      <c r="I106" s="75">
        <f>VLOOKUP($A106,'Data Vlaue (Cr)'!$C:$FB,100)</f>
        <v>6248</v>
      </c>
      <c r="J106" s="75">
        <f t="shared" si="8"/>
        <v>402</v>
      </c>
      <c r="K106" s="75">
        <f t="shared" si="9"/>
        <v>6.0451127819548871</v>
      </c>
      <c r="L106" s="75">
        <f>VLOOKUP($A106,'Data Vlaue (Cr)'!$C:$FB,67)</f>
        <v>10559</v>
      </c>
      <c r="M106" s="75">
        <f>VLOOKUP($A106,'Data Vlaue (Cr)'!$C:$FB,68)</f>
        <v>3709</v>
      </c>
      <c r="N106" s="75">
        <f t="shared" si="10"/>
        <v>6850</v>
      </c>
      <c r="O106" s="75">
        <f t="shared" si="11"/>
        <v>64.87356757268681</v>
      </c>
      <c r="P106" s="75">
        <f>VLOOKUP($A106,'Data Vlaue (Cr)'!$C:$FB,119)</f>
        <v>0.6</v>
      </c>
      <c r="Q106" s="75">
        <f>VLOOKUP($A106,'Data Vlaue (Cr)'!$C:$FB,122)*100</f>
        <v>9.09</v>
      </c>
      <c r="R106" s="75">
        <f>VLOOKUP($A106,'Data Vlaue (Cr)'!$C:$FB,125)</f>
        <v>0.44</v>
      </c>
      <c r="S106" s="75">
        <f>VLOOKUP($A106,'Data Vlaue (Cr)'!$C:$FB,128)*100</f>
        <v>-36.230000000000004</v>
      </c>
    </row>
    <row r="107" spans="1:19" x14ac:dyDescent="0.25">
      <c r="A107" s="96" t="str">
        <f>'Data Vlaue (Cr)'!C98</f>
        <v>INDUSINDBK</v>
      </c>
      <c r="B107" s="75">
        <f>VLOOKUP($A107,'Data Vlaue (Cr)'!$C:$FB,2)</f>
        <v>700</v>
      </c>
      <c r="C107" s="75">
        <f>VLOOKUP($A107,'Data Vlaue (Cr)'!$C:$FB,8)</f>
        <v>946.75</v>
      </c>
      <c r="D107" s="75">
        <f>VLOOKUP($A107,'Data Vlaue (Cr)'!$C:$FB,4)</f>
        <v>953</v>
      </c>
      <c r="E107" s="75">
        <f>VLOOKUP($A107,'Data Vlaue (Cr)'!$C:$FB,5)</f>
        <v>915.85</v>
      </c>
      <c r="F107" s="75">
        <f t="shared" si="6"/>
        <v>6.25</v>
      </c>
      <c r="G107" s="75">
        <f t="shared" si="7"/>
        <v>3.8982161594963247</v>
      </c>
      <c r="H107" s="75">
        <f>VLOOKUP($A107,'Data Vlaue (Cr)'!$C:$FB,99)</f>
        <v>4685</v>
      </c>
      <c r="I107" s="75">
        <f>VLOOKUP($A107,'Data Vlaue (Cr)'!$C:$FB,100)</f>
        <v>4589</v>
      </c>
      <c r="J107" s="75">
        <f t="shared" si="8"/>
        <v>96</v>
      </c>
      <c r="K107" s="75">
        <f t="shared" si="9"/>
        <v>2.0490928495197438</v>
      </c>
      <c r="L107" s="75">
        <f>VLOOKUP($A107,'Data Vlaue (Cr)'!$C:$FB,67)</f>
        <v>2124</v>
      </c>
      <c r="M107" s="75">
        <f>VLOOKUP($A107,'Data Vlaue (Cr)'!$C:$FB,68)</f>
        <v>1390</v>
      </c>
      <c r="N107" s="75">
        <f t="shared" si="10"/>
        <v>734</v>
      </c>
      <c r="O107" s="75">
        <f t="shared" si="11"/>
        <v>34.557438794726927</v>
      </c>
      <c r="P107" s="75">
        <f>VLOOKUP($A107,'Data Vlaue (Cr)'!$C:$FB,119)</f>
        <v>0.91</v>
      </c>
      <c r="Q107" s="75">
        <f>VLOOKUP($A107,'Data Vlaue (Cr)'!$C:$FB,122)*100</f>
        <v>3.4099999999999997</v>
      </c>
      <c r="R107" s="75">
        <f>VLOOKUP($A107,'Data Vlaue (Cr)'!$C:$FB,125)</f>
        <v>0.81</v>
      </c>
      <c r="S107" s="75">
        <f>VLOOKUP($A107,'Data Vlaue (Cr)'!$C:$FB,128)*100</f>
        <v>20.9</v>
      </c>
    </row>
    <row r="108" spans="1:19" x14ac:dyDescent="0.25">
      <c r="A108" s="96" t="str">
        <f>'Data Vlaue (Cr)'!C99</f>
        <v>INDUSTOWER</v>
      </c>
      <c r="B108" s="75">
        <f>VLOOKUP($A108,'Data Vlaue (Cr)'!$C:$FB,2)</f>
        <v>1700</v>
      </c>
      <c r="C108" s="75">
        <f>VLOOKUP($A108,'Data Vlaue (Cr)'!$C:$FB,8)</f>
        <v>408.3</v>
      </c>
      <c r="D108" s="75">
        <f>VLOOKUP($A108,'Data Vlaue (Cr)'!$C:$FB,4)</f>
        <v>410.1</v>
      </c>
      <c r="E108" s="75">
        <f>VLOOKUP($A108,'Data Vlaue (Cr)'!$C:$FB,5)</f>
        <v>404.95</v>
      </c>
      <c r="F108" s="75">
        <f t="shared" si="6"/>
        <v>1.8000000000000114</v>
      </c>
      <c r="G108" s="75">
        <f t="shared" si="7"/>
        <v>1.2557912704218566</v>
      </c>
      <c r="H108" s="75">
        <f>VLOOKUP($A108,'Data Vlaue (Cr)'!$C:$FB,99)</f>
        <v>5478</v>
      </c>
      <c r="I108" s="75">
        <f>VLOOKUP($A108,'Data Vlaue (Cr)'!$C:$FB,100)</f>
        <v>5501</v>
      </c>
      <c r="J108" s="75">
        <f t="shared" si="8"/>
        <v>-23</v>
      </c>
      <c r="K108" s="75">
        <f t="shared" si="9"/>
        <v>-0.4198612632347572</v>
      </c>
      <c r="L108" s="75">
        <f>VLOOKUP($A108,'Data Vlaue (Cr)'!$C:$FB,67)</f>
        <v>2258</v>
      </c>
      <c r="M108" s="75">
        <f>VLOOKUP($A108,'Data Vlaue (Cr)'!$C:$FB,68)</f>
        <v>2355</v>
      </c>
      <c r="N108" s="75">
        <f t="shared" si="10"/>
        <v>-97</v>
      </c>
      <c r="O108" s="75">
        <f t="shared" si="11"/>
        <v>-4.2958370239149692</v>
      </c>
      <c r="P108" s="75">
        <f>VLOOKUP($A108,'Data Vlaue (Cr)'!$C:$FB,119)</f>
        <v>0.7</v>
      </c>
      <c r="Q108" s="75">
        <f>VLOOKUP($A108,'Data Vlaue (Cr)'!$C:$FB,122)*100</f>
        <v>2.94</v>
      </c>
      <c r="R108" s="75">
        <f>VLOOKUP($A108,'Data Vlaue (Cr)'!$C:$FB,125)</f>
        <v>0.34</v>
      </c>
      <c r="S108" s="75">
        <f>VLOOKUP($A108,'Data Vlaue (Cr)'!$C:$FB,128)*100</f>
        <v>3.0300000000000002</v>
      </c>
    </row>
    <row r="109" spans="1:19" x14ac:dyDescent="0.25">
      <c r="A109" s="96" t="str">
        <f>'Data Vlaue (Cr)'!C100</f>
        <v>INFY</v>
      </c>
      <c r="B109" s="75">
        <f>VLOOKUP($A109,'Data Vlaue (Cr)'!$C:$FB,2)</f>
        <v>400</v>
      </c>
      <c r="C109" s="75">
        <f>VLOOKUP($A109,'Data Vlaue (Cr)'!$C:$FB,8)</f>
        <v>1167.2</v>
      </c>
      <c r="D109" s="75">
        <f>VLOOKUP($A109,'Data Vlaue (Cr)'!$C:$FB,4)</f>
        <v>1171</v>
      </c>
      <c r="E109" s="75">
        <f>VLOOKUP($A109,'Data Vlaue (Cr)'!$C:$FB,5)</f>
        <v>1178.3</v>
      </c>
      <c r="F109" s="75">
        <f t="shared" si="6"/>
        <v>3.7999999999999545</v>
      </c>
      <c r="G109" s="75">
        <f t="shared" si="7"/>
        <v>-0.6233988044406451</v>
      </c>
      <c r="H109" s="75">
        <f>VLOOKUP($A109,'Data Vlaue (Cr)'!$C:$FB,99)</f>
        <v>17476</v>
      </c>
      <c r="I109" s="75">
        <f>VLOOKUP($A109,'Data Vlaue (Cr)'!$C:$FB,100)</f>
        <v>16379</v>
      </c>
      <c r="J109" s="75">
        <f t="shared" si="8"/>
        <v>1097</v>
      </c>
      <c r="K109" s="75">
        <f t="shared" si="9"/>
        <v>6.2771801327534904</v>
      </c>
      <c r="L109" s="75">
        <f>VLOOKUP($A109,'Data Vlaue (Cr)'!$C:$FB,67)</f>
        <v>6915</v>
      </c>
      <c r="M109" s="75">
        <f>VLOOKUP($A109,'Data Vlaue (Cr)'!$C:$FB,68)</f>
        <v>3895</v>
      </c>
      <c r="N109" s="75">
        <f t="shared" si="10"/>
        <v>3020</v>
      </c>
      <c r="O109" s="75">
        <f t="shared" si="11"/>
        <v>43.673174258857557</v>
      </c>
      <c r="P109" s="75">
        <f>VLOOKUP($A109,'Data Vlaue (Cr)'!$C:$FB,119)</f>
        <v>0.56999999999999995</v>
      </c>
      <c r="Q109" s="75">
        <f>VLOOKUP($A109,'Data Vlaue (Cr)'!$C:$FB,122)*100</f>
        <v>-1.72</v>
      </c>
      <c r="R109" s="75">
        <f>VLOOKUP($A109,'Data Vlaue (Cr)'!$C:$FB,125)</f>
        <v>0.51</v>
      </c>
      <c r="S109" s="75">
        <f>VLOOKUP($A109,'Data Vlaue (Cr)'!$C:$FB,128)*100</f>
        <v>2</v>
      </c>
    </row>
    <row r="110" spans="1:19" x14ac:dyDescent="0.25">
      <c r="A110" s="96" t="str">
        <f>'Data Vlaue (Cr)'!C101</f>
        <v>INOXWIND</v>
      </c>
      <c r="B110" s="75">
        <f>VLOOKUP($A110,'Data Vlaue (Cr)'!$C:$FB,2)</f>
        <v>3575</v>
      </c>
      <c r="C110" s="75">
        <f>VLOOKUP($A110,'Data Vlaue (Cr)'!$C:$FB,8)</f>
        <v>107.11</v>
      </c>
      <c r="D110" s="75">
        <f>VLOOKUP($A110,'Data Vlaue (Cr)'!$C:$FB,4)</f>
        <v>107.53</v>
      </c>
      <c r="E110" s="75">
        <f>VLOOKUP($A110,'Data Vlaue (Cr)'!$C:$FB,5)</f>
        <v>104.73</v>
      </c>
      <c r="F110" s="75">
        <f t="shared" si="6"/>
        <v>0.42000000000000171</v>
      </c>
      <c r="G110" s="75">
        <f t="shared" si="7"/>
        <v>2.6039244861898978</v>
      </c>
      <c r="H110" s="75">
        <f>VLOOKUP($A110,'Data Vlaue (Cr)'!$C:$FB,99)</f>
        <v>1418</v>
      </c>
      <c r="I110" s="75">
        <f>VLOOKUP($A110,'Data Vlaue (Cr)'!$C:$FB,100)</f>
        <v>1404</v>
      </c>
      <c r="J110" s="75">
        <f t="shared" si="8"/>
        <v>14</v>
      </c>
      <c r="K110" s="75">
        <f t="shared" si="9"/>
        <v>0.98730606488011285</v>
      </c>
      <c r="L110" s="75">
        <f>VLOOKUP($A110,'Data Vlaue (Cr)'!$C:$FB,67)</f>
        <v>713</v>
      </c>
      <c r="M110" s="75">
        <f>VLOOKUP($A110,'Data Vlaue (Cr)'!$C:$FB,68)</f>
        <v>918</v>
      </c>
      <c r="N110" s="75">
        <f t="shared" si="10"/>
        <v>-205</v>
      </c>
      <c r="O110" s="75">
        <f t="shared" si="11"/>
        <v>-28.751753155680227</v>
      </c>
      <c r="P110" s="75">
        <f>VLOOKUP($A110,'Data Vlaue (Cr)'!$C:$FB,119)</f>
        <v>0.51</v>
      </c>
      <c r="Q110" s="75">
        <f>VLOOKUP($A110,'Data Vlaue (Cr)'!$C:$FB,122)*100</f>
        <v>-1.92</v>
      </c>
      <c r="R110" s="75">
        <f>VLOOKUP($A110,'Data Vlaue (Cr)'!$C:$FB,125)</f>
        <v>0.22</v>
      </c>
      <c r="S110" s="75">
        <f>VLOOKUP($A110,'Data Vlaue (Cr)'!$C:$FB,128)*100</f>
        <v>-12</v>
      </c>
    </row>
    <row r="111" spans="1:19" x14ac:dyDescent="0.25">
      <c r="A111" s="96" t="str">
        <f>'Data Vlaue (Cr)'!C102</f>
        <v>IOC</v>
      </c>
      <c r="B111" s="75">
        <f>VLOOKUP($A111,'Data Vlaue (Cr)'!$C:$FB,2)</f>
        <v>4875</v>
      </c>
      <c r="C111" s="75">
        <f>VLOOKUP($A111,'Data Vlaue (Cr)'!$C:$FB,8)</f>
        <v>148.21</v>
      </c>
      <c r="D111" s="75">
        <f>VLOOKUP($A111,'Data Vlaue (Cr)'!$C:$FB,4)</f>
        <v>149.18</v>
      </c>
      <c r="E111" s="75">
        <f>VLOOKUP($A111,'Data Vlaue (Cr)'!$C:$FB,5)</f>
        <v>142.99</v>
      </c>
      <c r="F111" s="75">
        <f t="shared" si="6"/>
        <v>0.96999999999999886</v>
      </c>
      <c r="G111" s="75">
        <f t="shared" si="7"/>
        <v>4.1493497787907208</v>
      </c>
      <c r="H111" s="75">
        <f>VLOOKUP($A111,'Data Vlaue (Cr)'!$C:$FB,99)</f>
        <v>2886</v>
      </c>
      <c r="I111" s="75">
        <f>VLOOKUP($A111,'Data Vlaue (Cr)'!$C:$FB,100)</f>
        <v>2781</v>
      </c>
      <c r="J111" s="75">
        <f t="shared" si="8"/>
        <v>105</v>
      </c>
      <c r="K111" s="75">
        <f t="shared" si="9"/>
        <v>3.6382536382536386</v>
      </c>
      <c r="L111" s="75">
        <f>VLOOKUP($A111,'Data Vlaue (Cr)'!$C:$FB,67)</f>
        <v>2858</v>
      </c>
      <c r="M111" s="75">
        <f>VLOOKUP($A111,'Data Vlaue (Cr)'!$C:$FB,68)</f>
        <v>675</v>
      </c>
      <c r="N111" s="75">
        <f t="shared" si="10"/>
        <v>2183</v>
      </c>
      <c r="O111" s="75">
        <f t="shared" si="11"/>
        <v>76.382085374387685</v>
      </c>
      <c r="P111" s="75">
        <f>VLOOKUP($A111,'Data Vlaue (Cr)'!$C:$FB,119)</f>
        <v>0.68</v>
      </c>
      <c r="Q111" s="75">
        <f>VLOOKUP($A111,'Data Vlaue (Cr)'!$C:$FB,122)*100</f>
        <v>-9.33</v>
      </c>
      <c r="R111" s="75">
        <f>VLOOKUP($A111,'Data Vlaue (Cr)'!$C:$FB,125)</f>
        <v>0.39</v>
      </c>
      <c r="S111" s="75">
        <f>VLOOKUP($A111,'Data Vlaue (Cr)'!$C:$FB,128)*100</f>
        <v>-35</v>
      </c>
    </row>
    <row r="112" spans="1:19" x14ac:dyDescent="0.25">
      <c r="A112" s="96" t="str">
        <f>'Data Vlaue (Cr)'!C103</f>
        <v>IREDA</v>
      </c>
      <c r="B112" s="75">
        <f>VLOOKUP($A112,'Data Vlaue (Cr)'!$C:$FB,2)</f>
        <v>3450</v>
      </c>
      <c r="C112" s="75">
        <f>VLOOKUP($A112,'Data Vlaue (Cr)'!$C:$FB,8)</f>
        <v>136.41</v>
      </c>
      <c r="D112" s="75">
        <f>VLOOKUP($A112,'Data Vlaue (Cr)'!$C:$FB,4)</f>
        <v>136.97999999999999</v>
      </c>
      <c r="E112" s="75">
        <f>VLOOKUP($A112,'Data Vlaue (Cr)'!$C:$FB,5)</f>
        <v>135.75</v>
      </c>
      <c r="F112" s="75">
        <f t="shared" si="6"/>
        <v>0.56999999999999318</v>
      </c>
      <c r="G112" s="75">
        <f t="shared" si="7"/>
        <v>0.89794130530003646</v>
      </c>
      <c r="H112" s="75">
        <f>VLOOKUP($A112,'Data Vlaue (Cr)'!$C:$FB,99)</f>
        <v>1066</v>
      </c>
      <c r="I112" s="75">
        <f>VLOOKUP($A112,'Data Vlaue (Cr)'!$C:$FB,100)</f>
        <v>1040</v>
      </c>
      <c r="J112" s="75">
        <f t="shared" si="8"/>
        <v>26</v>
      </c>
      <c r="K112" s="75">
        <f t="shared" si="9"/>
        <v>2.4390243902439024</v>
      </c>
      <c r="L112" s="75">
        <f>VLOOKUP($A112,'Data Vlaue (Cr)'!$C:$FB,67)</f>
        <v>254</v>
      </c>
      <c r="M112" s="75">
        <f>VLOOKUP($A112,'Data Vlaue (Cr)'!$C:$FB,68)</f>
        <v>196</v>
      </c>
      <c r="N112" s="75">
        <f t="shared" si="10"/>
        <v>58</v>
      </c>
      <c r="O112" s="75">
        <f t="shared" si="11"/>
        <v>22.834645669291341</v>
      </c>
      <c r="P112" s="75">
        <f>VLOOKUP($A112,'Data Vlaue (Cr)'!$C:$FB,119)</f>
        <v>0.69</v>
      </c>
      <c r="Q112" s="75">
        <f>VLOOKUP($A112,'Data Vlaue (Cr)'!$C:$FB,122)*100</f>
        <v>0</v>
      </c>
      <c r="R112" s="75">
        <f>VLOOKUP($A112,'Data Vlaue (Cr)'!$C:$FB,125)</f>
        <v>0.4</v>
      </c>
      <c r="S112" s="75">
        <f>VLOOKUP($A112,'Data Vlaue (Cr)'!$C:$FB,128)*100</f>
        <v>0</v>
      </c>
    </row>
    <row r="113" spans="1:19" x14ac:dyDescent="0.25">
      <c r="A113" s="96" t="str">
        <f>'Data Vlaue (Cr)'!C104</f>
        <v>IRFC</v>
      </c>
      <c r="B113" s="75">
        <f>VLOOKUP($A113,'Data Vlaue (Cr)'!$C:$FB,2)</f>
        <v>4250</v>
      </c>
      <c r="C113" s="75">
        <f>VLOOKUP($A113,'Data Vlaue (Cr)'!$C:$FB,8)</f>
        <v>106.74</v>
      </c>
      <c r="D113" s="75">
        <f>VLOOKUP($A113,'Data Vlaue (Cr)'!$C:$FB,4)</f>
        <v>107.42</v>
      </c>
      <c r="E113" s="75">
        <f>VLOOKUP($A113,'Data Vlaue (Cr)'!$C:$FB,5)</f>
        <v>106.35</v>
      </c>
      <c r="F113" s="75">
        <f t="shared" si="6"/>
        <v>0.68000000000000682</v>
      </c>
      <c r="G113" s="75">
        <f t="shared" si="7"/>
        <v>0.99609011357289834</v>
      </c>
      <c r="H113" s="75">
        <f>VLOOKUP($A113,'Data Vlaue (Cr)'!$C:$FB,99)</f>
        <v>1242</v>
      </c>
      <c r="I113" s="75">
        <f>VLOOKUP($A113,'Data Vlaue (Cr)'!$C:$FB,100)</f>
        <v>1218</v>
      </c>
      <c r="J113" s="75">
        <f t="shared" si="8"/>
        <v>24</v>
      </c>
      <c r="K113" s="75">
        <f t="shared" si="9"/>
        <v>1.932367149758454</v>
      </c>
      <c r="L113" s="75">
        <f>VLOOKUP($A113,'Data Vlaue (Cr)'!$C:$FB,67)</f>
        <v>611</v>
      </c>
      <c r="M113" s="75">
        <f>VLOOKUP($A113,'Data Vlaue (Cr)'!$C:$FB,68)</f>
        <v>1080</v>
      </c>
      <c r="N113" s="75">
        <f t="shared" si="10"/>
        <v>-469</v>
      </c>
      <c r="O113" s="75">
        <f t="shared" si="11"/>
        <v>-76.759410801963995</v>
      </c>
      <c r="P113" s="75">
        <f>VLOOKUP($A113,'Data Vlaue (Cr)'!$C:$FB,119)</f>
        <v>0.76</v>
      </c>
      <c r="Q113" s="75">
        <f>VLOOKUP($A113,'Data Vlaue (Cr)'!$C:$FB,122)*100</f>
        <v>10.14</v>
      </c>
      <c r="R113" s="75">
        <f>VLOOKUP($A113,'Data Vlaue (Cr)'!$C:$FB,125)</f>
        <v>0.32</v>
      </c>
      <c r="S113" s="75">
        <f>VLOOKUP($A113,'Data Vlaue (Cr)'!$C:$FB,128)*100</f>
        <v>45.45</v>
      </c>
    </row>
    <row r="114" spans="1:19" x14ac:dyDescent="0.25">
      <c r="A114" s="96" t="str">
        <f>'Data Vlaue (Cr)'!C105</f>
        <v>ITC</v>
      </c>
      <c r="B114" s="75">
        <f>VLOOKUP($A114,'Data Vlaue (Cr)'!$C:$FB,2)</f>
        <v>1600</v>
      </c>
      <c r="C114" s="75">
        <f>VLOOKUP($A114,'Data Vlaue (Cr)'!$C:$FB,8)</f>
        <v>310.7</v>
      </c>
      <c r="D114" s="75">
        <f>VLOOKUP($A114,'Data Vlaue (Cr)'!$C:$FB,4)</f>
        <v>312.35000000000002</v>
      </c>
      <c r="E114" s="75">
        <f>VLOOKUP($A114,'Data Vlaue (Cr)'!$C:$FB,5)</f>
        <v>312.75</v>
      </c>
      <c r="F114" s="75">
        <f t="shared" si="6"/>
        <v>1.6500000000000341</v>
      </c>
      <c r="G114" s="75">
        <f t="shared" si="7"/>
        <v>-0.1280614695053553</v>
      </c>
      <c r="H114" s="75">
        <f>VLOOKUP($A114,'Data Vlaue (Cr)'!$C:$FB,99)</f>
        <v>10229</v>
      </c>
      <c r="I114" s="75">
        <f>VLOOKUP($A114,'Data Vlaue (Cr)'!$C:$FB,100)</f>
        <v>9914</v>
      </c>
      <c r="J114" s="75">
        <f t="shared" si="8"/>
        <v>315</v>
      </c>
      <c r="K114" s="75">
        <f t="shared" si="9"/>
        <v>3.0794799100596344</v>
      </c>
      <c r="L114" s="75">
        <f>VLOOKUP($A114,'Data Vlaue (Cr)'!$C:$FB,67)</f>
        <v>4280</v>
      </c>
      <c r="M114" s="75">
        <f>VLOOKUP($A114,'Data Vlaue (Cr)'!$C:$FB,68)</f>
        <v>4959</v>
      </c>
      <c r="N114" s="75">
        <f t="shared" si="10"/>
        <v>-679</v>
      </c>
      <c r="O114" s="75">
        <f t="shared" si="11"/>
        <v>-15.864485981308411</v>
      </c>
      <c r="P114" s="75">
        <f>VLOOKUP($A114,'Data Vlaue (Cr)'!$C:$FB,119)</f>
        <v>0.35</v>
      </c>
      <c r="Q114" s="75">
        <f>VLOOKUP($A114,'Data Vlaue (Cr)'!$C:$FB,122)*100</f>
        <v>-7.89</v>
      </c>
      <c r="R114" s="75">
        <f>VLOOKUP($A114,'Data Vlaue (Cr)'!$C:$FB,125)</f>
        <v>0.31</v>
      </c>
      <c r="S114" s="75">
        <f>VLOOKUP($A114,'Data Vlaue (Cr)'!$C:$FB,128)*100</f>
        <v>-6.0600000000000005</v>
      </c>
    </row>
    <row r="115" spans="1:19" x14ac:dyDescent="0.25">
      <c r="A115" s="96" t="str">
        <f>'Data Vlaue (Cr)'!C106</f>
        <v>JINDALSTEL</v>
      </c>
      <c r="B115" s="75">
        <f>VLOOKUP($A115,'Data Vlaue (Cr)'!$C:$FB,2)</f>
        <v>625</v>
      </c>
      <c r="C115" s="75">
        <f>VLOOKUP($A115,'Data Vlaue (Cr)'!$C:$FB,8)</f>
        <v>1264.3</v>
      </c>
      <c r="D115" s="75">
        <f>VLOOKUP($A115,'Data Vlaue (Cr)'!$C:$FB,4)</f>
        <v>1272.5999999999999</v>
      </c>
      <c r="E115" s="75">
        <f>VLOOKUP($A115,'Data Vlaue (Cr)'!$C:$FB,5)</f>
        <v>1268</v>
      </c>
      <c r="F115" s="75">
        <f t="shared" si="6"/>
        <v>8.2999999999999545</v>
      </c>
      <c r="G115" s="75">
        <f t="shared" si="7"/>
        <v>0.36146471790035434</v>
      </c>
      <c r="H115" s="75">
        <f>VLOOKUP($A115,'Data Vlaue (Cr)'!$C:$FB,99)</f>
        <v>2407</v>
      </c>
      <c r="I115" s="75">
        <f>VLOOKUP($A115,'Data Vlaue (Cr)'!$C:$FB,100)</f>
        <v>2407</v>
      </c>
      <c r="J115" s="75">
        <f t="shared" si="8"/>
        <v>0</v>
      </c>
      <c r="K115" s="75">
        <f t="shared" si="9"/>
        <v>0</v>
      </c>
      <c r="L115" s="75">
        <f>VLOOKUP($A115,'Data Vlaue (Cr)'!$C:$FB,67)</f>
        <v>1318</v>
      </c>
      <c r="M115" s="75">
        <f>VLOOKUP($A115,'Data Vlaue (Cr)'!$C:$FB,68)</f>
        <v>2519</v>
      </c>
      <c r="N115" s="75">
        <f t="shared" si="10"/>
        <v>-1201</v>
      </c>
      <c r="O115" s="75">
        <f t="shared" si="11"/>
        <v>-91.122913505311075</v>
      </c>
      <c r="P115" s="75">
        <f>VLOOKUP($A115,'Data Vlaue (Cr)'!$C:$FB,119)</f>
        <v>0.72</v>
      </c>
      <c r="Q115" s="75">
        <f>VLOOKUP($A115,'Data Vlaue (Cr)'!$C:$FB,122)*100</f>
        <v>1.41</v>
      </c>
      <c r="R115" s="75">
        <f>VLOOKUP($A115,'Data Vlaue (Cr)'!$C:$FB,125)</f>
        <v>0.54</v>
      </c>
      <c r="S115" s="75">
        <f>VLOOKUP($A115,'Data Vlaue (Cr)'!$C:$FB,128)*100</f>
        <v>35</v>
      </c>
    </row>
    <row r="116" spans="1:19" x14ac:dyDescent="0.25">
      <c r="A116" s="96" t="str">
        <f>'Data Vlaue (Cr)'!C107</f>
        <v>JIOFIN</v>
      </c>
      <c r="B116" s="75">
        <f>VLOOKUP($A116,'Data Vlaue (Cr)'!$C:$FB,2)</f>
        <v>2350</v>
      </c>
      <c r="C116" s="75">
        <f>VLOOKUP($A116,'Data Vlaue (Cr)'!$C:$FB,8)</f>
        <v>252.44</v>
      </c>
      <c r="D116" s="75">
        <f>VLOOKUP($A116,'Data Vlaue (Cr)'!$C:$FB,4)</f>
        <v>254.02</v>
      </c>
      <c r="E116" s="75">
        <f>VLOOKUP($A116,'Data Vlaue (Cr)'!$C:$FB,5)</f>
        <v>249.17</v>
      </c>
      <c r="F116" s="75">
        <f t="shared" si="6"/>
        <v>1.5800000000000125</v>
      </c>
      <c r="G116" s="75">
        <f t="shared" si="7"/>
        <v>1.9092984804346205</v>
      </c>
      <c r="H116" s="75">
        <f>VLOOKUP($A116,'Data Vlaue (Cr)'!$C:$FB,99)</f>
        <v>7626</v>
      </c>
      <c r="I116" s="75">
        <f>VLOOKUP($A116,'Data Vlaue (Cr)'!$C:$FB,100)</f>
        <v>7629</v>
      </c>
      <c r="J116" s="75">
        <f t="shared" si="8"/>
        <v>-3</v>
      </c>
      <c r="K116" s="75">
        <f t="shared" si="9"/>
        <v>-3.9339103068450038E-2</v>
      </c>
      <c r="L116" s="75">
        <f>VLOOKUP($A116,'Data Vlaue (Cr)'!$C:$FB,67)</f>
        <v>2544</v>
      </c>
      <c r="M116" s="75">
        <f>VLOOKUP($A116,'Data Vlaue (Cr)'!$C:$FB,68)</f>
        <v>2054</v>
      </c>
      <c r="N116" s="75">
        <f t="shared" si="10"/>
        <v>490</v>
      </c>
      <c r="O116" s="75">
        <f t="shared" si="11"/>
        <v>19.261006289308177</v>
      </c>
      <c r="P116" s="75">
        <f>VLOOKUP($A116,'Data Vlaue (Cr)'!$C:$FB,119)</f>
        <v>0.64</v>
      </c>
      <c r="Q116" s="75">
        <f>VLOOKUP($A116,'Data Vlaue (Cr)'!$C:$FB,122)*100</f>
        <v>0</v>
      </c>
      <c r="R116" s="75">
        <f>VLOOKUP($A116,'Data Vlaue (Cr)'!$C:$FB,125)</f>
        <v>0.45</v>
      </c>
      <c r="S116" s="75">
        <f>VLOOKUP($A116,'Data Vlaue (Cr)'!$C:$FB,128)*100</f>
        <v>7.1400000000000006</v>
      </c>
    </row>
    <row r="117" spans="1:19" x14ac:dyDescent="0.25">
      <c r="A117" s="96" t="str">
        <f>'Data Vlaue (Cr)'!C108</f>
        <v>JSWENERGY</v>
      </c>
      <c r="B117" s="75">
        <f>VLOOKUP($A117,'Data Vlaue (Cr)'!$C:$FB,2)</f>
        <v>1000</v>
      </c>
      <c r="C117" s="75">
        <f>VLOOKUP($A117,'Data Vlaue (Cr)'!$C:$FB,8)</f>
        <v>567.9</v>
      </c>
      <c r="D117" s="75">
        <f>VLOOKUP($A117,'Data Vlaue (Cr)'!$C:$FB,4)</f>
        <v>568.6</v>
      </c>
      <c r="E117" s="75">
        <f>VLOOKUP($A117,'Data Vlaue (Cr)'!$C:$FB,5)</f>
        <v>564.29999999999995</v>
      </c>
      <c r="F117" s="75">
        <f t="shared" si="6"/>
        <v>0.70000000000004547</v>
      </c>
      <c r="G117" s="75">
        <f t="shared" si="7"/>
        <v>0.7562434048540394</v>
      </c>
      <c r="H117" s="75">
        <f>VLOOKUP($A117,'Data Vlaue (Cr)'!$C:$FB,99)</f>
        <v>1914</v>
      </c>
      <c r="I117" s="75">
        <f>VLOOKUP($A117,'Data Vlaue (Cr)'!$C:$FB,100)</f>
        <v>1918</v>
      </c>
      <c r="J117" s="75">
        <f t="shared" si="8"/>
        <v>-4</v>
      </c>
      <c r="K117" s="75">
        <f t="shared" si="9"/>
        <v>-0.20898641588296762</v>
      </c>
      <c r="L117" s="75">
        <f>VLOOKUP($A117,'Data Vlaue (Cr)'!$C:$FB,67)</f>
        <v>504</v>
      </c>
      <c r="M117" s="75">
        <f>VLOOKUP($A117,'Data Vlaue (Cr)'!$C:$FB,68)</f>
        <v>388</v>
      </c>
      <c r="N117" s="75">
        <f t="shared" si="10"/>
        <v>116</v>
      </c>
      <c r="O117" s="75">
        <f t="shared" si="11"/>
        <v>23.015873015873016</v>
      </c>
      <c r="P117" s="75">
        <f>VLOOKUP($A117,'Data Vlaue (Cr)'!$C:$FB,119)</f>
        <v>0.69</v>
      </c>
      <c r="Q117" s="75">
        <f>VLOOKUP($A117,'Data Vlaue (Cr)'!$C:$FB,122)*100</f>
        <v>0</v>
      </c>
      <c r="R117" s="75">
        <f>VLOOKUP($A117,'Data Vlaue (Cr)'!$C:$FB,125)</f>
        <v>0.42</v>
      </c>
      <c r="S117" s="75">
        <f>VLOOKUP($A117,'Data Vlaue (Cr)'!$C:$FB,128)*100</f>
        <v>35.480000000000004</v>
      </c>
    </row>
    <row r="118" spans="1:19" x14ac:dyDescent="0.25">
      <c r="A118" s="96" t="str">
        <f>'Data Vlaue (Cr)'!C109</f>
        <v>JSWSTEEL</v>
      </c>
      <c r="B118" s="75">
        <f>VLOOKUP($A118,'Data Vlaue (Cr)'!$C:$FB,2)</f>
        <v>675</v>
      </c>
      <c r="C118" s="75">
        <f>VLOOKUP($A118,'Data Vlaue (Cr)'!$C:$FB,8)</f>
        <v>1273.3</v>
      </c>
      <c r="D118" s="75">
        <f>VLOOKUP($A118,'Data Vlaue (Cr)'!$C:$FB,4)</f>
        <v>1280.5999999999999</v>
      </c>
      <c r="E118" s="75">
        <f>VLOOKUP($A118,'Data Vlaue (Cr)'!$C:$FB,5)</f>
        <v>1259.2</v>
      </c>
      <c r="F118" s="75">
        <f t="shared" si="6"/>
        <v>7.2999999999999545</v>
      </c>
      <c r="G118" s="75">
        <f t="shared" si="7"/>
        <v>1.6710916757769689</v>
      </c>
      <c r="H118" s="75">
        <f>VLOOKUP($A118,'Data Vlaue (Cr)'!$C:$FB,99)</f>
        <v>7384</v>
      </c>
      <c r="I118" s="75">
        <f>VLOOKUP($A118,'Data Vlaue (Cr)'!$C:$FB,100)</f>
        <v>7418</v>
      </c>
      <c r="J118" s="75">
        <f t="shared" si="8"/>
        <v>-34</v>
      </c>
      <c r="K118" s="75">
        <f t="shared" si="9"/>
        <v>-0.46045503791982662</v>
      </c>
      <c r="L118" s="75">
        <f>VLOOKUP($A118,'Data Vlaue (Cr)'!$C:$FB,67)</f>
        <v>996</v>
      </c>
      <c r="M118" s="75">
        <f>VLOOKUP($A118,'Data Vlaue (Cr)'!$C:$FB,68)</f>
        <v>984</v>
      </c>
      <c r="N118" s="75">
        <f t="shared" si="10"/>
        <v>12</v>
      </c>
      <c r="O118" s="75">
        <f t="shared" si="11"/>
        <v>1.2048192771084338</v>
      </c>
      <c r="P118" s="75">
        <f>VLOOKUP($A118,'Data Vlaue (Cr)'!$C:$FB,119)</f>
        <v>0.72</v>
      </c>
      <c r="Q118" s="75">
        <f>VLOOKUP($A118,'Data Vlaue (Cr)'!$C:$FB,122)*100</f>
        <v>2.86</v>
      </c>
      <c r="R118" s="75">
        <f>VLOOKUP($A118,'Data Vlaue (Cr)'!$C:$FB,125)</f>
        <v>0.56999999999999995</v>
      </c>
      <c r="S118" s="75">
        <f>VLOOKUP($A118,'Data Vlaue (Cr)'!$C:$FB,128)*100</f>
        <v>-34.479999999999997</v>
      </c>
    </row>
    <row r="119" spans="1:19" x14ac:dyDescent="0.25">
      <c r="A119" s="96" t="str">
        <f>'Data Vlaue (Cr)'!C110</f>
        <v>JUBLFOOD</v>
      </c>
      <c r="B119" s="75">
        <f>VLOOKUP($A119,'Data Vlaue (Cr)'!$C:$FB,2)</f>
        <v>1250</v>
      </c>
      <c r="C119" s="75">
        <f>VLOOKUP($A119,'Data Vlaue (Cr)'!$C:$FB,8)</f>
        <v>471.25</v>
      </c>
      <c r="D119" s="75">
        <f>VLOOKUP($A119,'Data Vlaue (Cr)'!$C:$FB,4)</f>
        <v>473.9</v>
      </c>
      <c r="E119" s="75">
        <f>VLOOKUP($A119,'Data Vlaue (Cr)'!$C:$FB,5)</f>
        <v>465.95</v>
      </c>
      <c r="F119" s="75">
        <f t="shared" si="6"/>
        <v>2.6499999999999773</v>
      </c>
      <c r="G119" s="75">
        <f t="shared" si="7"/>
        <v>1.6775691074066235</v>
      </c>
      <c r="H119" s="75">
        <f>VLOOKUP($A119,'Data Vlaue (Cr)'!$C:$FB,99)</f>
        <v>2401</v>
      </c>
      <c r="I119" s="75">
        <f>VLOOKUP($A119,'Data Vlaue (Cr)'!$C:$FB,100)</f>
        <v>2413</v>
      </c>
      <c r="J119" s="75">
        <f t="shared" si="8"/>
        <v>-12</v>
      </c>
      <c r="K119" s="75">
        <f t="shared" si="9"/>
        <v>-0.49979175343606835</v>
      </c>
      <c r="L119" s="75">
        <f>VLOOKUP($A119,'Data Vlaue (Cr)'!$C:$FB,67)</f>
        <v>701</v>
      </c>
      <c r="M119" s="75">
        <f>VLOOKUP($A119,'Data Vlaue (Cr)'!$C:$FB,68)</f>
        <v>380</v>
      </c>
      <c r="N119" s="75">
        <f t="shared" si="10"/>
        <v>321</v>
      </c>
      <c r="O119" s="75">
        <f t="shared" si="11"/>
        <v>45.791726105563477</v>
      </c>
      <c r="P119" s="75">
        <f>VLOOKUP($A119,'Data Vlaue (Cr)'!$C:$FB,119)</f>
        <v>0.63</v>
      </c>
      <c r="Q119" s="75">
        <f>VLOOKUP($A119,'Data Vlaue (Cr)'!$C:$FB,122)*100</f>
        <v>0</v>
      </c>
      <c r="R119" s="75">
        <f>VLOOKUP($A119,'Data Vlaue (Cr)'!$C:$FB,125)</f>
        <v>0.28999999999999998</v>
      </c>
      <c r="S119" s="75">
        <f>VLOOKUP($A119,'Data Vlaue (Cr)'!$C:$FB,128)*100</f>
        <v>-17.14</v>
      </c>
    </row>
    <row r="120" spans="1:19" x14ac:dyDescent="0.25">
      <c r="A120" s="96" t="str">
        <f>'Data Vlaue (Cr)'!C111</f>
        <v>KALYANKJIL</v>
      </c>
      <c r="B120" s="75">
        <f>VLOOKUP($A120,'Data Vlaue (Cr)'!$C:$FB,2)</f>
        <v>1175</v>
      </c>
      <c r="C120" s="75">
        <f>VLOOKUP($A120,'Data Vlaue (Cr)'!$C:$FB,8)</f>
        <v>415.65</v>
      </c>
      <c r="D120" s="75">
        <f>VLOOKUP($A120,'Data Vlaue (Cr)'!$C:$FB,4)</f>
        <v>418.7</v>
      </c>
      <c r="E120" s="75">
        <f>VLOOKUP($A120,'Data Vlaue (Cr)'!$C:$FB,5)</f>
        <v>409.05</v>
      </c>
      <c r="F120" s="75">
        <f t="shared" si="6"/>
        <v>3.0500000000000114</v>
      </c>
      <c r="G120" s="75">
        <f t="shared" si="7"/>
        <v>2.3047528063052254</v>
      </c>
      <c r="H120" s="75">
        <f>VLOOKUP($A120,'Data Vlaue (Cr)'!$C:$FB,99)</f>
        <v>1617</v>
      </c>
      <c r="I120" s="75">
        <f>VLOOKUP($A120,'Data Vlaue (Cr)'!$C:$FB,100)</f>
        <v>1533</v>
      </c>
      <c r="J120" s="75">
        <f t="shared" si="8"/>
        <v>84</v>
      </c>
      <c r="K120" s="75">
        <f t="shared" si="9"/>
        <v>5.1948051948051948</v>
      </c>
      <c r="L120" s="75">
        <f>VLOOKUP($A120,'Data Vlaue (Cr)'!$C:$FB,67)</f>
        <v>611</v>
      </c>
      <c r="M120" s="75">
        <f>VLOOKUP($A120,'Data Vlaue (Cr)'!$C:$FB,68)</f>
        <v>347</v>
      </c>
      <c r="N120" s="75">
        <f t="shared" si="10"/>
        <v>264</v>
      </c>
      <c r="O120" s="75">
        <f t="shared" si="11"/>
        <v>43.207855973813416</v>
      </c>
      <c r="P120" s="75">
        <f>VLOOKUP($A120,'Data Vlaue (Cr)'!$C:$FB,119)</f>
        <v>0.56999999999999995</v>
      </c>
      <c r="Q120" s="75">
        <f>VLOOKUP($A120,'Data Vlaue (Cr)'!$C:$FB,122)*100</f>
        <v>0</v>
      </c>
      <c r="R120" s="75">
        <f>VLOOKUP($A120,'Data Vlaue (Cr)'!$C:$FB,125)</f>
        <v>0.34</v>
      </c>
      <c r="S120" s="75">
        <f>VLOOKUP($A120,'Data Vlaue (Cr)'!$C:$FB,128)*100</f>
        <v>-24.44</v>
      </c>
    </row>
    <row r="121" spans="1:19" x14ac:dyDescent="0.25">
      <c r="A121" s="96" t="str">
        <f>'Data Vlaue (Cr)'!C112</f>
        <v>KAYNES</v>
      </c>
      <c r="B121" s="75">
        <f>VLOOKUP($A121,'Data Vlaue (Cr)'!$C:$FB,2)</f>
        <v>100</v>
      </c>
      <c r="C121" s="75">
        <f>VLOOKUP($A121,'Data Vlaue (Cr)'!$C:$FB,8)</f>
        <v>4305.5</v>
      </c>
      <c r="D121" s="75">
        <f>VLOOKUP($A121,'Data Vlaue (Cr)'!$C:$FB,4)</f>
        <v>4326</v>
      </c>
      <c r="E121" s="75">
        <f>VLOOKUP($A121,'Data Vlaue (Cr)'!$C:$FB,5)</f>
        <v>4183.3999999999996</v>
      </c>
      <c r="F121" s="75">
        <f t="shared" si="6"/>
        <v>20.5</v>
      </c>
      <c r="G121" s="75">
        <f t="shared" si="7"/>
        <v>3.2963476652797126</v>
      </c>
      <c r="H121" s="75">
        <f>VLOOKUP($A121,'Data Vlaue (Cr)'!$C:$FB,99)</f>
        <v>1897</v>
      </c>
      <c r="I121" s="75">
        <f>VLOOKUP($A121,'Data Vlaue (Cr)'!$C:$FB,100)</f>
        <v>1939</v>
      </c>
      <c r="J121" s="75">
        <f t="shared" si="8"/>
        <v>-42</v>
      </c>
      <c r="K121" s="75">
        <f t="shared" si="9"/>
        <v>-2.214022140221402</v>
      </c>
      <c r="L121" s="75">
        <f>VLOOKUP($A121,'Data Vlaue (Cr)'!$C:$FB,67)</f>
        <v>1388</v>
      </c>
      <c r="M121" s="75">
        <f>VLOOKUP($A121,'Data Vlaue (Cr)'!$C:$FB,68)</f>
        <v>1262</v>
      </c>
      <c r="N121" s="75">
        <f t="shared" si="10"/>
        <v>126</v>
      </c>
      <c r="O121" s="75">
        <f t="shared" si="11"/>
        <v>9.0778097982708932</v>
      </c>
      <c r="P121" s="75">
        <f>VLOOKUP($A121,'Data Vlaue (Cr)'!$C:$FB,119)</f>
        <v>0.7</v>
      </c>
      <c r="Q121" s="75">
        <f>VLOOKUP($A121,'Data Vlaue (Cr)'!$C:$FB,122)*100</f>
        <v>7.6899999999999995</v>
      </c>
      <c r="R121" s="75">
        <f>VLOOKUP($A121,'Data Vlaue (Cr)'!$C:$FB,125)</f>
        <v>0.38</v>
      </c>
      <c r="S121" s="75">
        <f>VLOOKUP($A121,'Data Vlaue (Cr)'!$C:$FB,128)*100</f>
        <v>8.57</v>
      </c>
    </row>
    <row r="122" spans="1:19" x14ac:dyDescent="0.25">
      <c r="A122" s="96" t="str">
        <f>'Data Vlaue (Cr)'!C113</f>
        <v>KEI</v>
      </c>
      <c r="B122" s="75">
        <f>VLOOKUP($A122,'Data Vlaue (Cr)'!$C:$FB,2)</f>
        <v>175</v>
      </c>
      <c r="C122" s="75">
        <f>VLOOKUP($A122,'Data Vlaue (Cr)'!$C:$FB,8)</f>
        <v>5148.6000000000004</v>
      </c>
      <c r="D122" s="75">
        <f>VLOOKUP($A122,'Data Vlaue (Cr)'!$C:$FB,4)</f>
        <v>5180.2</v>
      </c>
      <c r="E122" s="75">
        <f>VLOOKUP($A122,'Data Vlaue (Cr)'!$C:$FB,5)</f>
        <v>5046.8999999999996</v>
      </c>
      <c r="F122" s="75">
        <f t="shared" si="6"/>
        <v>31.599999999999454</v>
      </c>
      <c r="G122" s="75">
        <f t="shared" si="7"/>
        <v>2.5732597197019458</v>
      </c>
      <c r="H122" s="75">
        <f>VLOOKUP($A122,'Data Vlaue (Cr)'!$C:$FB,99)</f>
        <v>1553</v>
      </c>
      <c r="I122" s="75">
        <f>VLOOKUP($A122,'Data Vlaue (Cr)'!$C:$FB,100)</f>
        <v>1569</v>
      </c>
      <c r="J122" s="75">
        <f t="shared" si="8"/>
        <v>-16</v>
      </c>
      <c r="K122" s="75">
        <f t="shared" si="9"/>
        <v>-1.0302640051513201</v>
      </c>
      <c r="L122" s="75">
        <f>VLOOKUP($A122,'Data Vlaue (Cr)'!$C:$FB,67)</f>
        <v>2587</v>
      </c>
      <c r="M122" s="75">
        <f>VLOOKUP($A122,'Data Vlaue (Cr)'!$C:$FB,68)</f>
        <v>7123</v>
      </c>
      <c r="N122" s="75">
        <f t="shared" si="10"/>
        <v>-4536</v>
      </c>
      <c r="O122" s="75">
        <f t="shared" si="11"/>
        <v>-175.33822960958639</v>
      </c>
      <c r="P122" s="75">
        <f>VLOOKUP($A122,'Data Vlaue (Cr)'!$C:$FB,119)</f>
        <v>0.81</v>
      </c>
      <c r="Q122" s="75">
        <f>VLOOKUP($A122,'Data Vlaue (Cr)'!$C:$FB,122)*100</f>
        <v>6.58</v>
      </c>
      <c r="R122" s="75">
        <f>VLOOKUP($A122,'Data Vlaue (Cr)'!$C:$FB,125)</f>
        <v>0.45</v>
      </c>
      <c r="S122" s="75">
        <f>VLOOKUP($A122,'Data Vlaue (Cr)'!$C:$FB,128)*100</f>
        <v>-31.819999999999997</v>
      </c>
    </row>
    <row r="123" spans="1:19" x14ac:dyDescent="0.25">
      <c r="A123" s="96" t="str">
        <f>'Data Vlaue (Cr)'!C114</f>
        <v>KFINTECH</v>
      </c>
      <c r="B123" s="75">
        <f>VLOOKUP($A123,'Data Vlaue (Cr)'!$C:$FB,2)</f>
        <v>500</v>
      </c>
      <c r="C123" s="75">
        <f>VLOOKUP($A123,'Data Vlaue (Cr)'!$C:$FB,8)</f>
        <v>912.5</v>
      </c>
      <c r="D123" s="75">
        <f>VLOOKUP($A123,'Data Vlaue (Cr)'!$C:$FB,4)</f>
        <v>912.05</v>
      </c>
      <c r="E123" s="75">
        <f>VLOOKUP($A123,'Data Vlaue (Cr)'!$C:$FB,5)</f>
        <v>888.15</v>
      </c>
      <c r="F123" s="75">
        <f t="shared" si="6"/>
        <v>-0.45000000000004547</v>
      </c>
      <c r="G123" s="75">
        <f t="shared" si="7"/>
        <v>2.6204703689490683</v>
      </c>
      <c r="H123" s="75">
        <f>VLOOKUP($A123,'Data Vlaue (Cr)'!$C:$FB,99)</f>
        <v>1049</v>
      </c>
      <c r="I123" s="75">
        <f>VLOOKUP($A123,'Data Vlaue (Cr)'!$C:$FB,100)</f>
        <v>1151</v>
      </c>
      <c r="J123" s="75">
        <f t="shared" si="8"/>
        <v>-102</v>
      </c>
      <c r="K123" s="75">
        <f t="shared" si="9"/>
        <v>-9.7235462345090564</v>
      </c>
      <c r="L123" s="75">
        <f>VLOOKUP($A123,'Data Vlaue (Cr)'!$C:$FB,67)</f>
        <v>693</v>
      </c>
      <c r="M123" s="75">
        <f>VLOOKUP($A123,'Data Vlaue (Cr)'!$C:$FB,68)</f>
        <v>1833</v>
      </c>
      <c r="N123" s="75">
        <f t="shared" si="10"/>
        <v>-1140</v>
      </c>
      <c r="O123" s="75">
        <f t="shared" si="11"/>
        <v>-164.5021645021645</v>
      </c>
      <c r="P123" s="75">
        <f>VLOOKUP($A123,'Data Vlaue (Cr)'!$C:$FB,119)</f>
        <v>0.69</v>
      </c>
      <c r="Q123" s="75">
        <f>VLOOKUP($A123,'Data Vlaue (Cr)'!$C:$FB,122)*100</f>
        <v>16.950000000000003</v>
      </c>
      <c r="R123" s="75">
        <f>VLOOKUP($A123,'Data Vlaue (Cr)'!$C:$FB,125)</f>
        <v>0.43</v>
      </c>
      <c r="S123" s="75">
        <f>VLOOKUP($A123,'Data Vlaue (Cr)'!$C:$FB,128)*100</f>
        <v>-10.42</v>
      </c>
    </row>
    <row r="124" spans="1:19" x14ac:dyDescent="0.25">
      <c r="A124" s="96" t="str">
        <f>'Data Vlaue (Cr)'!C115</f>
        <v>KOTAKBANK</v>
      </c>
      <c r="B124" s="75">
        <f>VLOOKUP($A124,'Data Vlaue (Cr)'!$C:$FB,2)</f>
        <v>2000</v>
      </c>
      <c r="C124" s="75">
        <f>VLOOKUP($A124,'Data Vlaue (Cr)'!$C:$FB,8)</f>
        <v>376.6</v>
      </c>
      <c r="D124" s="75">
        <f>VLOOKUP($A124,'Data Vlaue (Cr)'!$C:$FB,4)</f>
        <v>379</v>
      </c>
      <c r="E124" s="75">
        <f>VLOOKUP($A124,'Data Vlaue (Cr)'!$C:$FB,5)</f>
        <v>372.25</v>
      </c>
      <c r="F124" s="75">
        <f t="shared" si="6"/>
        <v>2.3999999999999773</v>
      </c>
      <c r="G124" s="75">
        <f t="shared" si="7"/>
        <v>1.7810026385224276</v>
      </c>
      <c r="H124" s="75">
        <f>VLOOKUP($A124,'Data Vlaue (Cr)'!$C:$FB,99)</f>
        <v>11353</v>
      </c>
      <c r="I124" s="75">
        <f>VLOOKUP($A124,'Data Vlaue (Cr)'!$C:$FB,100)</f>
        <v>11410</v>
      </c>
      <c r="J124" s="75">
        <f t="shared" si="8"/>
        <v>-57</v>
      </c>
      <c r="K124" s="75">
        <f t="shared" si="9"/>
        <v>-0.502069937461464</v>
      </c>
      <c r="L124" s="75">
        <f>VLOOKUP($A124,'Data Vlaue (Cr)'!$C:$FB,67)</f>
        <v>6241</v>
      </c>
      <c r="M124" s="75">
        <f>VLOOKUP($A124,'Data Vlaue (Cr)'!$C:$FB,68)</f>
        <v>3713</v>
      </c>
      <c r="N124" s="75">
        <f t="shared" si="10"/>
        <v>2528</v>
      </c>
      <c r="O124" s="75">
        <f t="shared" si="11"/>
        <v>40.506329113924053</v>
      </c>
      <c r="P124" s="75">
        <f>VLOOKUP($A124,'Data Vlaue (Cr)'!$C:$FB,119)</f>
        <v>0.61</v>
      </c>
      <c r="Q124" s="75">
        <f>VLOOKUP($A124,'Data Vlaue (Cr)'!$C:$FB,122)*100</f>
        <v>-6.15</v>
      </c>
      <c r="R124" s="75">
        <f>VLOOKUP($A124,'Data Vlaue (Cr)'!$C:$FB,125)</f>
        <v>0.48</v>
      </c>
      <c r="S124" s="75">
        <f>VLOOKUP($A124,'Data Vlaue (Cr)'!$C:$FB,128)*100</f>
        <v>-2.04</v>
      </c>
    </row>
    <row r="125" spans="1:19" x14ac:dyDescent="0.25">
      <c r="A125" s="96" t="str">
        <f>'Data Vlaue (Cr)'!C116</f>
        <v>KPITTECH</v>
      </c>
      <c r="B125" s="75">
        <f>VLOOKUP($A125,'Data Vlaue (Cr)'!$C:$FB,2)</f>
        <v>425</v>
      </c>
      <c r="C125" s="75">
        <f>VLOOKUP($A125,'Data Vlaue (Cr)'!$C:$FB,8)</f>
        <v>748.6</v>
      </c>
      <c r="D125" s="75">
        <f>VLOOKUP($A125,'Data Vlaue (Cr)'!$C:$FB,4)</f>
        <v>749.4</v>
      </c>
      <c r="E125" s="75">
        <f>VLOOKUP($A125,'Data Vlaue (Cr)'!$C:$FB,5)</f>
        <v>775.15</v>
      </c>
      <c r="F125" s="75">
        <f t="shared" si="6"/>
        <v>0.79999999999995453</v>
      </c>
      <c r="G125" s="75">
        <f t="shared" si="7"/>
        <v>-3.4360821990926076</v>
      </c>
      <c r="H125" s="75">
        <f>VLOOKUP($A125,'Data Vlaue (Cr)'!$C:$FB,99)</f>
        <v>1142</v>
      </c>
      <c r="I125" s="75">
        <f>VLOOKUP($A125,'Data Vlaue (Cr)'!$C:$FB,100)</f>
        <v>785</v>
      </c>
      <c r="J125" s="75">
        <f t="shared" si="8"/>
        <v>357</v>
      </c>
      <c r="K125" s="75">
        <f t="shared" si="9"/>
        <v>31.260945709281962</v>
      </c>
      <c r="L125" s="75">
        <f>VLOOKUP($A125,'Data Vlaue (Cr)'!$C:$FB,67)</f>
        <v>8069</v>
      </c>
      <c r="M125" s="75">
        <f>VLOOKUP($A125,'Data Vlaue (Cr)'!$C:$FB,68)</f>
        <v>388</v>
      </c>
      <c r="N125" s="75">
        <f t="shared" si="10"/>
        <v>7681</v>
      </c>
      <c r="O125" s="75">
        <f t="shared" si="11"/>
        <v>95.191473540711371</v>
      </c>
      <c r="P125" s="75">
        <f>VLOOKUP($A125,'Data Vlaue (Cr)'!$C:$FB,119)</f>
        <v>0.54</v>
      </c>
      <c r="Q125" s="75">
        <f>VLOOKUP($A125,'Data Vlaue (Cr)'!$C:$FB,122)*100</f>
        <v>-8.4699999999999989</v>
      </c>
      <c r="R125" s="75">
        <f>VLOOKUP($A125,'Data Vlaue (Cr)'!$C:$FB,125)</f>
        <v>0.55000000000000004</v>
      </c>
      <c r="S125" s="75">
        <f>VLOOKUP($A125,'Data Vlaue (Cr)'!$C:$FB,128)*100</f>
        <v>41.03</v>
      </c>
    </row>
    <row r="126" spans="1:19" x14ac:dyDescent="0.25">
      <c r="A126" s="96" t="str">
        <f>'Data Vlaue (Cr)'!C117</f>
        <v>LAURUSLABS</v>
      </c>
      <c r="B126" s="75">
        <f>VLOOKUP($A126,'Data Vlaue (Cr)'!$C:$FB,2)</f>
        <v>850</v>
      </c>
      <c r="C126" s="75">
        <f>VLOOKUP($A126,'Data Vlaue (Cr)'!$C:$FB,8)</f>
        <v>1177.5999999999999</v>
      </c>
      <c r="D126" s="75">
        <f>VLOOKUP($A126,'Data Vlaue (Cr)'!$C:$FB,4)</f>
        <v>1184.2</v>
      </c>
      <c r="E126" s="75">
        <f>VLOOKUP($A126,'Data Vlaue (Cr)'!$C:$FB,5)</f>
        <v>1169.4000000000001</v>
      </c>
      <c r="F126" s="75">
        <f t="shared" si="6"/>
        <v>6.6000000000001364</v>
      </c>
      <c r="G126" s="75">
        <f t="shared" si="7"/>
        <v>1.2497888870123253</v>
      </c>
      <c r="H126" s="75">
        <f>VLOOKUP($A126,'Data Vlaue (Cr)'!$C:$FB,99)</f>
        <v>3600</v>
      </c>
      <c r="I126" s="75">
        <f>VLOOKUP($A126,'Data Vlaue (Cr)'!$C:$FB,100)</f>
        <v>3491</v>
      </c>
      <c r="J126" s="75">
        <f t="shared" si="8"/>
        <v>109</v>
      </c>
      <c r="K126" s="75">
        <f t="shared" si="9"/>
        <v>3.0277777777777777</v>
      </c>
      <c r="L126" s="75">
        <f>VLOOKUP($A126,'Data Vlaue (Cr)'!$C:$FB,67)</f>
        <v>3548</v>
      </c>
      <c r="M126" s="75">
        <f>VLOOKUP($A126,'Data Vlaue (Cr)'!$C:$FB,68)</f>
        <v>2264</v>
      </c>
      <c r="N126" s="75">
        <f t="shared" si="10"/>
        <v>1284</v>
      </c>
      <c r="O126" s="75">
        <f t="shared" si="11"/>
        <v>36.18940248027058</v>
      </c>
      <c r="P126" s="75">
        <f>VLOOKUP($A126,'Data Vlaue (Cr)'!$C:$FB,119)</f>
        <v>0.61</v>
      </c>
      <c r="Q126" s="75">
        <f>VLOOKUP($A126,'Data Vlaue (Cr)'!$C:$FB,122)*100</f>
        <v>0</v>
      </c>
      <c r="R126" s="75">
        <f>VLOOKUP($A126,'Data Vlaue (Cr)'!$C:$FB,125)</f>
        <v>0.53</v>
      </c>
      <c r="S126" s="75">
        <f>VLOOKUP($A126,'Data Vlaue (Cr)'!$C:$FB,128)*100</f>
        <v>-10.17</v>
      </c>
    </row>
    <row r="127" spans="1:19" x14ac:dyDescent="0.25">
      <c r="A127" s="96" t="str">
        <f>'Data Vlaue (Cr)'!C118</f>
        <v>LICHSGFIN</v>
      </c>
      <c r="B127" s="75">
        <f>VLOOKUP($A127,'Data Vlaue (Cr)'!$C:$FB,2)</f>
        <v>1000</v>
      </c>
      <c r="C127" s="75">
        <f>VLOOKUP($A127,'Data Vlaue (Cr)'!$C:$FB,8)</f>
        <v>582.15</v>
      </c>
      <c r="D127" s="75">
        <f>VLOOKUP($A127,'Data Vlaue (Cr)'!$C:$FB,4)</f>
        <v>585.4</v>
      </c>
      <c r="E127" s="75">
        <f>VLOOKUP($A127,'Data Vlaue (Cr)'!$C:$FB,5)</f>
        <v>560.95000000000005</v>
      </c>
      <c r="F127" s="75">
        <f t="shared" si="6"/>
        <v>3.25</v>
      </c>
      <c r="G127" s="75">
        <f t="shared" si="7"/>
        <v>4.1766313631704701</v>
      </c>
      <c r="H127" s="75">
        <f>VLOOKUP($A127,'Data Vlaue (Cr)'!$C:$FB,99)</f>
        <v>2445</v>
      </c>
      <c r="I127" s="75">
        <f>VLOOKUP($A127,'Data Vlaue (Cr)'!$C:$FB,100)</f>
        <v>2297</v>
      </c>
      <c r="J127" s="75">
        <f t="shared" si="8"/>
        <v>148</v>
      </c>
      <c r="K127" s="75">
        <f t="shared" si="9"/>
        <v>6.0531697341513295</v>
      </c>
      <c r="L127" s="75">
        <f>VLOOKUP($A127,'Data Vlaue (Cr)'!$C:$FB,67)</f>
        <v>2684</v>
      </c>
      <c r="M127" s="75">
        <f>VLOOKUP($A127,'Data Vlaue (Cr)'!$C:$FB,68)</f>
        <v>330</v>
      </c>
      <c r="N127" s="75">
        <f t="shared" si="10"/>
        <v>2354</v>
      </c>
      <c r="O127" s="75">
        <f t="shared" si="11"/>
        <v>87.704918032786878</v>
      </c>
      <c r="P127" s="75">
        <f>VLOOKUP($A127,'Data Vlaue (Cr)'!$C:$FB,119)</f>
        <v>0.71</v>
      </c>
      <c r="Q127" s="75">
        <f>VLOOKUP($A127,'Data Vlaue (Cr)'!$C:$FB,122)*100</f>
        <v>10.94</v>
      </c>
      <c r="R127" s="75">
        <f>VLOOKUP($A127,'Data Vlaue (Cr)'!$C:$FB,125)</f>
        <v>0.31</v>
      </c>
      <c r="S127" s="75">
        <f>VLOOKUP($A127,'Data Vlaue (Cr)'!$C:$FB,128)*100</f>
        <v>-18.420000000000002</v>
      </c>
    </row>
    <row r="128" spans="1:19" x14ac:dyDescent="0.25">
      <c r="A128" s="96" t="str">
        <f>'Data Vlaue (Cr)'!C119</f>
        <v>LICI</v>
      </c>
      <c r="B128" s="75">
        <f>VLOOKUP($A128,'Data Vlaue (Cr)'!$C:$FB,2)</f>
        <v>700</v>
      </c>
      <c r="C128" s="75">
        <f>VLOOKUP($A128,'Data Vlaue (Cr)'!$C:$FB,8)</f>
        <v>807.25</v>
      </c>
      <c r="D128" s="75">
        <f>VLOOKUP($A128,'Data Vlaue (Cr)'!$C:$FB,4)</f>
        <v>811.65</v>
      </c>
      <c r="E128" s="75">
        <f>VLOOKUP($A128,'Data Vlaue (Cr)'!$C:$FB,5)</f>
        <v>796.2</v>
      </c>
      <c r="F128" s="75">
        <f t="shared" si="6"/>
        <v>4.3999999999999773</v>
      </c>
      <c r="G128" s="75">
        <f t="shared" si="7"/>
        <v>1.9035298466087516</v>
      </c>
      <c r="H128" s="75">
        <f>VLOOKUP($A128,'Data Vlaue (Cr)'!$C:$FB,99)</f>
        <v>1575</v>
      </c>
      <c r="I128" s="75">
        <f>VLOOKUP($A128,'Data Vlaue (Cr)'!$C:$FB,100)</f>
        <v>1599</v>
      </c>
      <c r="J128" s="75">
        <f t="shared" si="8"/>
        <v>-24</v>
      </c>
      <c r="K128" s="75">
        <f t="shared" si="9"/>
        <v>-1.5238095238095237</v>
      </c>
      <c r="L128" s="75">
        <f>VLOOKUP($A128,'Data Vlaue (Cr)'!$C:$FB,67)</f>
        <v>564</v>
      </c>
      <c r="M128" s="75">
        <f>VLOOKUP($A128,'Data Vlaue (Cr)'!$C:$FB,68)</f>
        <v>245</v>
      </c>
      <c r="N128" s="75">
        <f t="shared" si="10"/>
        <v>319</v>
      </c>
      <c r="O128" s="75">
        <f t="shared" si="11"/>
        <v>56.560283687943254</v>
      </c>
      <c r="P128" s="75">
        <f>VLOOKUP($A128,'Data Vlaue (Cr)'!$C:$FB,119)</f>
        <v>0.57999999999999996</v>
      </c>
      <c r="Q128" s="75">
        <f>VLOOKUP($A128,'Data Vlaue (Cr)'!$C:$FB,122)*100</f>
        <v>-3.3300000000000005</v>
      </c>
      <c r="R128" s="75">
        <f>VLOOKUP($A128,'Data Vlaue (Cr)'!$C:$FB,125)</f>
        <v>0.47</v>
      </c>
      <c r="S128" s="75">
        <f>VLOOKUP($A128,'Data Vlaue (Cr)'!$C:$FB,128)*100</f>
        <v>95.83</v>
      </c>
    </row>
    <row r="129" spans="1:19" x14ac:dyDescent="0.25">
      <c r="A129" s="96" t="str">
        <f>'Data Vlaue (Cr)'!C120</f>
        <v>LODHA</v>
      </c>
      <c r="B129" s="75">
        <f>VLOOKUP($A129,'Data Vlaue (Cr)'!$C:$FB,2)</f>
        <v>450</v>
      </c>
      <c r="C129" s="75">
        <f>VLOOKUP($A129,'Data Vlaue (Cr)'!$C:$FB,8)</f>
        <v>949.15</v>
      </c>
      <c r="D129" s="75">
        <f>VLOOKUP($A129,'Data Vlaue (Cr)'!$C:$FB,4)</f>
        <v>953.35</v>
      </c>
      <c r="E129" s="75">
        <f>VLOOKUP($A129,'Data Vlaue (Cr)'!$C:$FB,5)</f>
        <v>910.35</v>
      </c>
      <c r="F129" s="75">
        <f t="shared" si="6"/>
        <v>4.2000000000000455</v>
      </c>
      <c r="G129" s="75">
        <f t="shared" si="7"/>
        <v>4.5104106571563429</v>
      </c>
      <c r="H129" s="75">
        <f>VLOOKUP($A129,'Data Vlaue (Cr)'!$C:$FB,99)</f>
        <v>1747</v>
      </c>
      <c r="I129" s="75">
        <f>VLOOKUP($A129,'Data Vlaue (Cr)'!$C:$FB,100)</f>
        <v>1815</v>
      </c>
      <c r="J129" s="75">
        <f t="shared" si="8"/>
        <v>-68</v>
      </c>
      <c r="K129" s="75">
        <f t="shared" si="9"/>
        <v>-3.8923869490555236</v>
      </c>
      <c r="L129" s="75">
        <f>VLOOKUP($A129,'Data Vlaue (Cr)'!$C:$FB,67)</f>
        <v>849</v>
      </c>
      <c r="M129" s="75">
        <f>VLOOKUP($A129,'Data Vlaue (Cr)'!$C:$FB,68)</f>
        <v>556</v>
      </c>
      <c r="N129" s="75">
        <f t="shared" si="10"/>
        <v>293</v>
      </c>
      <c r="O129" s="75">
        <f t="shared" si="11"/>
        <v>34.51118963486455</v>
      </c>
      <c r="P129" s="75">
        <f>VLOOKUP($A129,'Data Vlaue (Cr)'!$C:$FB,119)</f>
        <v>0.73</v>
      </c>
      <c r="Q129" s="75">
        <f>VLOOKUP($A129,'Data Vlaue (Cr)'!$C:$FB,122)*100</f>
        <v>7.35</v>
      </c>
      <c r="R129" s="75">
        <f>VLOOKUP($A129,'Data Vlaue (Cr)'!$C:$FB,125)</f>
        <v>0.34</v>
      </c>
      <c r="S129" s="75">
        <f>VLOOKUP($A129,'Data Vlaue (Cr)'!$C:$FB,128)*100</f>
        <v>-44.26</v>
      </c>
    </row>
    <row r="130" spans="1:19" x14ac:dyDescent="0.25">
      <c r="A130" s="96" t="str">
        <f>'Data Vlaue (Cr)'!C121</f>
        <v>LT</v>
      </c>
      <c r="B130" s="75">
        <f>VLOOKUP($A130,'Data Vlaue (Cr)'!$C:$FB,2)</f>
        <v>175</v>
      </c>
      <c r="C130" s="75">
        <f>VLOOKUP($A130,'Data Vlaue (Cr)'!$C:$FB,8)</f>
        <v>4008.5</v>
      </c>
      <c r="D130" s="75">
        <f>VLOOKUP($A130,'Data Vlaue (Cr)'!$C:$FB,4)</f>
        <v>3999.7</v>
      </c>
      <c r="E130" s="75">
        <f>VLOOKUP($A130,'Data Vlaue (Cr)'!$C:$FB,5)</f>
        <v>4079.2</v>
      </c>
      <c r="F130" s="75">
        <f t="shared" si="6"/>
        <v>-8.8000000000001819</v>
      </c>
      <c r="G130" s="75">
        <f t="shared" si="7"/>
        <v>-1.9876490736805263</v>
      </c>
      <c r="H130" s="75">
        <f>VLOOKUP($A130,'Data Vlaue (Cr)'!$C:$FB,99)</f>
        <v>12371</v>
      </c>
      <c r="I130" s="75">
        <f>VLOOKUP($A130,'Data Vlaue (Cr)'!$C:$FB,100)</f>
        <v>10018</v>
      </c>
      <c r="J130" s="75">
        <f t="shared" si="8"/>
        <v>2353</v>
      </c>
      <c r="K130" s="75">
        <f t="shared" si="9"/>
        <v>19.020289386468352</v>
      </c>
      <c r="L130" s="75">
        <f>VLOOKUP($A130,'Data Vlaue (Cr)'!$C:$FB,67)</f>
        <v>24548</v>
      </c>
      <c r="M130" s="75">
        <f>VLOOKUP($A130,'Data Vlaue (Cr)'!$C:$FB,68)</f>
        <v>6499</v>
      </c>
      <c r="N130" s="75">
        <f t="shared" si="10"/>
        <v>18049</v>
      </c>
      <c r="O130" s="75">
        <f t="shared" si="11"/>
        <v>73.525338113084572</v>
      </c>
      <c r="P130" s="75">
        <f>VLOOKUP($A130,'Data Vlaue (Cr)'!$C:$FB,119)</f>
        <v>0.6</v>
      </c>
      <c r="Q130" s="75">
        <f>VLOOKUP($A130,'Data Vlaue (Cr)'!$C:$FB,122)*100</f>
        <v>-24.05</v>
      </c>
      <c r="R130" s="75">
        <f>VLOOKUP($A130,'Data Vlaue (Cr)'!$C:$FB,125)</f>
        <v>0.43</v>
      </c>
      <c r="S130" s="75">
        <f>VLOOKUP($A130,'Data Vlaue (Cr)'!$C:$FB,128)*100</f>
        <v>-32.81</v>
      </c>
    </row>
    <row r="131" spans="1:19" x14ac:dyDescent="0.25">
      <c r="A131" s="96" t="str">
        <f>'Data Vlaue (Cr)'!C122</f>
        <v>LTF</v>
      </c>
      <c r="B131" s="75">
        <f>VLOOKUP($A131,'Data Vlaue (Cr)'!$C:$FB,2)</f>
        <v>2250</v>
      </c>
      <c r="C131" s="75">
        <f>VLOOKUP($A131,'Data Vlaue (Cr)'!$C:$FB,8)</f>
        <v>300.3</v>
      </c>
      <c r="D131" s="75">
        <f>VLOOKUP($A131,'Data Vlaue (Cr)'!$C:$FB,4)</f>
        <v>298.60000000000002</v>
      </c>
      <c r="E131" s="75">
        <f>VLOOKUP($A131,'Data Vlaue (Cr)'!$C:$FB,5)</f>
        <v>289.35000000000002</v>
      </c>
      <c r="F131" s="75">
        <f t="shared" si="6"/>
        <v>-1.6999999999999886</v>
      </c>
      <c r="G131" s="75">
        <f t="shared" si="7"/>
        <v>3.0977896851975881</v>
      </c>
      <c r="H131" s="75">
        <f>VLOOKUP($A131,'Data Vlaue (Cr)'!$C:$FB,99)</f>
        <v>2093</v>
      </c>
      <c r="I131" s="75">
        <f>VLOOKUP($A131,'Data Vlaue (Cr)'!$C:$FB,100)</f>
        <v>2110</v>
      </c>
      <c r="J131" s="75">
        <f t="shared" si="8"/>
        <v>-17</v>
      </c>
      <c r="K131" s="75">
        <f t="shared" si="9"/>
        <v>-0.81223124701385574</v>
      </c>
      <c r="L131" s="75">
        <f>VLOOKUP($A131,'Data Vlaue (Cr)'!$C:$FB,67)</f>
        <v>1804</v>
      </c>
      <c r="M131" s="75">
        <f>VLOOKUP($A131,'Data Vlaue (Cr)'!$C:$FB,68)</f>
        <v>673</v>
      </c>
      <c r="N131" s="75">
        <f t="shared" si="10"/>
        <v>1131</v>
      </c>
      <c r="O131" s="75">
        <f t="shared" si="11"/>
        <v>62.694013303769403</v>
      </c>
      <c r="P131" s="75">
        <f>VLOOKUP($A131,'Data Vlaue (Cr)'!$C:$FB,119)</f>
        <v>0.74</v>
      </c>
      <c r="Q131" s="75">
        <f>VLOOKUP($A131,'Data Vlaue (Cr)'!$C:$FB,122)*100</f>
        <v>2.78</v>
      </c>
      <c r="R131" s="75">
        <f>VLOOKUP($A131,'Data Vlaue (Cr)'!$C:$FB,125)</f>
        <v>0.34</v>
      </c>
      <c r="S131" s="75">
        <f>VLOOKUP($A131,'Data Vlaue (Cr)'!$C:$FB,128)*100</f>
        <v>-5.56</v>
      </c>
    </row>
    <row r="132" spans="1:19" x14ac:dyDescent="0.25">
      <c r="A132" s="96" t="str">
        <f>'Data Vlaue (Cr)'!C123</f>
        <v>LTM</v>
      </c>
      <c r="B132" s="75">
        <f>VLOOKUP($A132,'Data Vlaue (Cr)'!$C:$FB,2)</f>
        <v>150</v>
      </c>
      <c r="C132" s="75">
        <f>VLOOKUP($A132,'Data Vlaue (Cr)'!$C:$FB,8)</f>
        <v>4316</v>
      </c>
      <c r="D132" s="75">
        <f>VLOOKUP($A132,'Data Vlaue (Cr)'!$C:$FB,4)</f>
        <v>4262.6000000000004</v>
      </c>
      <c r="E132" s="75">
        <f>VLOOKUP($A132,'Data Vlaue (Cr)'!$C:$FB,5)</f>
        <v>4246</v>
      </c>
      <c r="F132" s="75">
        <f t="shared" si="6"/>
        <v>-53.399999999999636</v>
      </c>
      <c r="G132" s="75">
        <f t="shared" si="7"/>
        <v>0.38943367897528181</v>
      </c>
      <c r="H132" s="75">
        <f>VLOOKUP($A132,'Data Vlaue (Cr)'!$C:$FB,99)</f>
        <v>2260</v>
      </c>
      <c r="I132" s="75">
        <f>VLOOKUP($A132,'Data Vlaue (Cr)'!$C:$FB,100)</f>
        <v>2173</v>
      </c>
      <c r="J132" s="75">
        <f t="shared" si="8"/>
        <v>87</v>
      </c>
      <c r="K132" s="75">
        <f t="shared" si="9"/>
        <v>3.8495575221238942</v>
      </c>
      <c r="L132" s="75">
        <f>VLOOKUP($A132,'Data Vlaue (Cr)'!$C:$FB,67)</f>
        <v>1203</v>
      </c>
      <c r="M132" s="75">
        <f>VLOOKUP($A132,'Data Vlaue (Cr)'!$C:$FB,68)</f>
        <v>1228</v>
      </c>
      <c r="N132" s="75">
        <f t="shared" si="10"/>
        <v>-25</v>
      </c>
      <c r="O132" s="75">
        <f t="shared" si="11"/>
        <v>-2.0781379883624274</v>
      </c>
      <c r="P132" s="75">
        <f>VLOOKUP($A132,'Data Vlaue (Cr)'!$C:$FB,119)</f>
        <v>0.56999999999999995</v>
      </c>
      <c r="Q132" s="75">
        <f>VLOOKUP($A132,'Data Vlaue (Cr)'!$C:$FB,122)*100</f>
        <v>-18.57</v>
      </c>
      <c r="R132" s="75">
        <f>VLOOKUP($A132,'Data Vlaue (Cr)'!$C:$FB,125)</f>
        <v>0.33</v>
      </c>
      <c r="S132" s="75">
        <f>VLOOKUP($A132,'Data Vlaue (Cr)'!$C:$FB,128)*100</f>
        <v>-37.74</v>
      </c>
    </row>
    <row r="133" spans="1:19" x14ac:dyDescent="0.25">
      <c r="A133" s="96" t="str">
        <f>'Data Vlaue (Cr)'!C124</f>
        <v>LUPIN</v>
      </c>
      <c r="B133" s="75">
        <f>VLOOKUP($A133,'Data Vlaue (Cr)'!$C:$FB,2)</f>
        <v>425</v>
      </c>
      <c r="C133" s="75">
        <f>VLOOKUP($A133,'Data Vlaue (Cr)'!$C:$FB,8)</f>
        <v>2442.9</v>
      </c>
      <c r="D133" s="75">
        <f>VLOOKUP($A133,'Data Vlaue (Cr)'!$C:$FB,4)</f>
        <v>2459.1</v>
      </c>
      <c r="E133" s="75">
        <f>VLOOKUP($A133,'Data Vlaue (Cr)'!$C:$FB,5)</f>
        <v>2352.8000000000002</v>
      </c>
      <c r="F133" s="75">
        <f t="shared" si="6"/>
        <v>16.199999999999818</v>
      </c>
      <c r="G133" s="75">
        <f t="shared" si="7"/>
        <v>4.3227196941970529</v>
      </c>
      <c r="H133" s="75">
        <f>VLOOKUP($A133,'Data Vlaue (Cr)'!$C:$FB,99)</f>
        <v>3419</v>
      </c>
      <c r="I133" s="75">
        <f>VLOOKUP($A133,'Data Vlaue (Cr)'!$C:$FB,100)</f>
        <v>3112</v>
      </c>
      <c r="J133" s="75">
        <f t="shared" si="8"/>
        <v>307</v>
      </c>
      <c r="K133" s="75">
        <f t="shared" si="9"/>
        <v>8.9792336940625912</v>
      </c>
      <c r="L133" s="75">
        <f>VLOOKUP($A133,'Data Vlaue (Cr)'!$C:$FB,67)</f>
        <v>7100</v>
      </c>
      <c r="M133" s="75">
        <f>VLOOKUP($A133,'Data Vlaue (Cr)'!$C:$FB,68)</f>
        <v>1521</v>
      </c>
      <c r="N133" s="75">
        <f t="shared" si="10"/>
        <v>5579</v>
      </c>
      <c r="O133" s="75">
        <f t="shared" si="11"/>
        <v>78.577464788732399</v>
      </c>
      <c r="P133" s="75">
        <f>VLOOKUP($A133,'Data Vlaue (Cr)'!$C:$FB,119)</f>
        <v>0.76</v>
      </c>
      <c r="Q133" s="75">
        <f>VLOOKUP($A133,'Data Vlaue (Cr)'!$C:$FB,122)*100</f>
        <v>22.58</v>
      </c>
      <c r="R133" s="75">
        <f>VLOOKUP($A133,'Data Vlaue (Cr)'!$C:$FB,125)</f>
        <v>0.36</v>
      </c>
      <c r="S133" s="75">
        <f>VLOOKUP($A133,'Data Vlaue (Cr)'!$C:$FB,128)*100</f>
        <v>12.5</v>
      </c>
    </row>
    <row r="134" spans="1:19" x14ac:dyDescent="0.25">
      <c r="A134" s="96" t="str">
        <f>'Data Vlaue (Cr)'!C125</f>
        <v>M&amp;M</v>
      </c>
      <c r="B134" s="75">
        <f>VLOOKUP($A134,'Data Vlaue (Cr)'!$C:$FB,2)</f>
        <v>200</v>
      </c>
      <c r="C134" s="75">
        <f>VLOOKUP($A134,'Data Vlaue (Cr)'!$C:$FB,8)</f>
        <v>3300.8</v>
      </c>
      <c r="D134" s="75">
        <f>VLOOKUP($A134,'Data Vlaue (Cr)'!$C:$FB,4)</f>
        <v>3314</v>
      </c>
      <c r="E134" s="75">
        <f>VLOOKUP($A134,'Data Vlaue (Cr)'!$C:$FB,5)</f>
        <v>3229.6</v>
      </c>
      <c r="F134" s="75">
        <f t="shared" si="6"/>
        <v>13.199999999999818</v>
      </c>
      <c r="G134" s="75">
        <f t="shared" si="7"/>
        <v>2.5467712733856396</v>
      </c>
      <c r="H134" s="75">
        <f>VLOOKUP($A134,'Data Vlaue (Cr)'!$C:$FB,99)</f>
        <v>10083</v>
      </c>
      <c r="I134" s="75">
        <f>VLOOKUP($A134,'Data Vlaue (Cr)'!$C:$FB,100)</f>
        <v>10287</v>
      </c>
      <c r="J134" s="75">
        <f t="shared" si="8"/>
        <v>-204</v>
      </c>
      <c r="K134" s="75">
        <f t="shared" si="9"/>
        <v>-2.0232073787563225</v>
      </c>
      <c r="L134" s="75">
        <f>VLOOKUP($A134,'Data Vlaue (Cr)'!$C:$FB,67)</f>
        <v>14331</v>
      </c>
      <c r="M134" s="75">
        <f>VLOOKUP($A134,'Data Vlaue (Cr)'!$C:$FB,68)</f>
        <v>17847</v>
      </c>
      <c r="N134" s="75">
        <f t="shared" si="10"/>
        <v>-3516</v>
      </c>
      <c r="O134" s="75">
        <f t="shared" si="11"/>
        <v>-24.534226501988694</v>
      </c>
      <c r="P134" s="75">
        <f>VLOOKUP($A134,'Data Vlaue (Cr)'!$C:$FB,119)</f>
        <v>0.88</v>
      </c>
      <c r="Q134" s="75">
        <f>VLOOKUP($A134,'Data Vlaue (Cr)'!$C:$FB,122)*100</f>
        <v>12.82</v>
      </c>
      <c r="R134" s="75">
        <f>VLOOKUP($A134,'Data Vlaue (Cr)'!$C:$FB,125)</f>
        <v>0.5</v>
      </c>
      <c r="S134" s="75">
        <f>VLOOKUP($A134,'Data Vlaue (Cr)'!$C:$FB,128)*100</f>
        <v>16.28</v>
      </c>
    </row>
    <row r="135" spans="1:19" x14ac:dyDescent="0.25">
      <c r="A135" s="96" t="str">
        <f>'Data Vlaue (Cr)'!C126</f>
        <v>MANAPPURAM</v>
      </c>
      <c r="B135" s="75">
        <f>VLOOKUP($A135,'Data Vlaue (Cr)'!$C:$FB,2)</f>
        <v>3000</v>
      </c>
      <c r="C135" s="75">
        <f>VLOOKUP($A135,'Data Vlaue (Cr)'!$C:$FB,8)</f>
        <v>309.95</v>
      </c>
      <c r="D135" s="75">
        <f>VLOOKUP($A135,'Data Vlaue (Cr)'!$C:$FB,4)</f>
        <v>311.60000000000002</v>
      </c>
      <c r="E135" s="75">
        <f>VLOOKUP($A135,'Data Vlaue (Cr)'!$C:$FB,5)</f>
        <v>308.85000000000002</v>
      </c>
      <c r="F135" s="75">
        <f t="shared" si="6"/>
        <v>1.6500000000000341</v>
      </c>
      <c r="G135" s="75">
        <f t="shared" si="7"/>
        <v>0.88254172015404353</v>
      </c>
      <c r="H135" s="75">
        <f>VLOOKUP($A135,'Data Vlaue (Cr)'!$C:$FB,99)</f>
        <v>2197</v>
      </c>
      <c r="I135" s="75">
        <f>VLOOKUP($A135,'Data Vlaue (Cr)'!$C:$FB,100)</f>
        <v>2240</v>
      </c>
      <c r="J135" s="75">
        <f t="shared" si="8"/>
        <v>-43</v>
      </c>
      <c r="K135" s="75">
        <f t="shared" si="9"/>
        <v>-1.9572143832498861</v>
      </c>
      <c r="L135" s="75">
        <f>VLOOKUP($A135,'Data Vlaue (Cr)'!$C:$FB,67)</f>
        <v>1165</v>
      </c>
      <c r="M135" s="75">
        <f>VLOOKUP($A135,'Data Vlaue (Cr)'!$C:$FB,68)</f>
        <v>3692</v>
      </c>
      <c r="N135" s="75">
        <f t="shared" si="10"/>
        <v>-2527</v>
      </c>
      <c r="O135" s="75">
        <f t="shared" si="11"/>
        <v>-216.90987124463521</v>
      </c>
      <c r="P135" s="75">
        <f>VLOOKUP($A135,'Data Vlaue (Cr)'!$C:$FB,119)</f>
        <v>0.72</v>
      </c>
      <c r="Q135" s="75">
        <f>VLOOKUP($A135,'Data Vlaue (Cr)'!$C:$FB,122)*100</f>
        <v>5.88</v>
      </c>
      <c r="R135" s="75">
        <f>VLOOKUP($A135,'Data Vlaue (Cr)'!$C:$FB,125)</f>
        <v>0.57999999999999996</v>
      </c>
      <c r="S135" s="75">
        <f>VLOOKUP($A135,'Data Vlaue (Cr)'!$C:$FB,128)*100</f>
        <v>1.7500000000000002</v>
      </c>
    </row>
    <row r="136" spans="1:19" x14ac:dyDescent="0.25">
      <c r="A136" s="96" t="str">
        <f>'Data Vlaue (Cr)'!C127</f>
        <v>MANKIND</v>
      </c>
      <c r="B136" s="75">
        <f>VLOOKUP($A136,'Data Vlaue (Cr)'!$C:$FB,2)</f>
        <v>225</v>
      </c>
      <c r="C136" s="75">
        <f>VLOOKUP($A136,'Data Vlaue (Cr)'!$C:$FB,8)</f>
        <v>2361</v>
      </c>
      <c r="D136" s="75">
        <f>VLOOKUP($A136,'Data Vlaue (Cr)'!$C:$FB,4)</f>
        <v>2366.6</v>
      </c>
      <c r="E136" s="75">
        <f>VLOOKUP($A136,'Data Vlaue (Cr)'!$C:$FB,5)</f>
        <v>2329.9</v>
      </c>
      <c r="F136" s="75">
        <f t="shared" si="6"/>
        <v>5.5999999999999091</v>
      </c>
      <c r="G136" s="75">
        <f t="shared" si="7"/>
        <v>1.5507479083917781</v>
      </c>
      <c r="H136" s="75">
        <f>VLOOKUP($A136,'Data Vlaue (Cr)'!$C:$FB,99)</f>
        <v>1358</v>
      </c>
      <c r="I136" s="75">
        <f>VLOOKUP($A136,'Data Vlaue (Cr)'!$C:$FB,100)</f>
        <v>1311</v>
      </c>
      <c r="J136" s="75">
        <f t="shared" si="8"/>
        <v>47</v>
      </c>
      <c r="K136" s="75">
        <f t="shared" si="9"/>
        <v>3.4609720176730487</v>
      </c>
      <c r="L136" s="75">
        <f>VLOOKUP($A136,'Data Vlaue (Cr)'!$C:$FB,67)</f>
        <v>1522</v>
      </c>
      <c r="M136" s="75">
        <f>VLOOKUP($A136,'Data Vlaue (Cr)'!$C:$FB,68)</f>
        <v>1181</v>
      </c>
      <c r="N136" s="75">
        <f t="shared" si="10"/>
        <v>341</v>
      </c>
      <c r="O136" s="75">
        <f t="shared" si="11"/>
        <v>22.404730617608408</v>
      </c>
      <c r="P136" s="75">
        <f>VLOOKUP($A136,'Data Vlaue (Cr)'!$C:$FB,119)</f>
        <v>0.73</v>
      </c>
      <c r="Q136" s="75">
        <f>VLOOKUP($A136,'Data Vlaue (Cr)'!$C:$FB,122)*100</f>
        <v>17.740000000000002</v>
      </c>
      <c r="R136" s="75">
        <f>VLOOKUP($A136,'Data Vlaue (Cr)'!$C:$FB,125)</f>
        <v>0.14000000000000001</v>
      </c>
      <c r="S136" s="75">
        <f>VLOOKUP($A136,'Data Vlaue (Cr)'!$C:$FB,128)*100</f>
        <v>-30</v>
      </c>
    </row>
    <row r="137" spans="1:19" x14ac:dyDescent="0.25">
      <c r="A137" s="96" t="str">
        <f>'Data Vlaue (Cr)'!C128</f>
        <v>MARICO</v>
      </c>
      <c r="B137" s="75">
        <f>VLOOKUP($A137,'Data Vlaue (Cr)'!$C:$FB,2)</f>
        <v>1200</v>
      </c>
      <c r="C137" s="75">
        <f>VLOOKUP($A137,'Data Vlaue (Cr)'!$C:$FB,8)</f>
        <v>814.8</v>
      </c>
      <c r="D137" s="75">
        <f>VLOOKUP($A137,'Data Vlaue (Cr)'!$C:$FB,4)</f>
        <v>819.4</v>
      </c>
      <c r="E137" s="75">
        <f>VLOOKUP($A137,'Data Vlaue (Cr)'!$C:$FB,5)</f>
        <v>810.2</v>
      </c>
      <c r="F137" s="75">
        <f t="shared" si="6"/>
        <v>4.6000000000000227</v>
      </c>
      <c r="G137" s="75">
        <f t="shared" si="7"/>
        <v>1.1227727605564963</v>
      </c>
      <c r="H137" s="75">
        <f>VLOOKUP($A137,'Data Vlaue (Cr)'!$C:$FB,99)</f>
        <v>2889</v>
      </c>
      <c r="I137" s="75">
        <f>VLOOKUP($A137,'Data Vlaue (Cr)'!$C:$FB,100)</f>
        <v>2826</v>
      </c>
      <c r="J137" s="75">
        <f t="shared" si="8"/>
        <v>63</v>
      </c>
      <c r="K137" s="75">
        <f t="shared" si="9"/>
        <v>2.1806853582554515</v>
      </c>
      <c r="L137" s="75">
        <f>VLOOKUP($A137,'Data Vlaue (Cr)'!$C:$FB,67)</f>
        <v>6033</v>
      </c>
      <c r="M137" s="75">
        <f>VLOOKUP($A137,'Data Vlaue (Cr)'!$C:$FB,68)</f>
        <v>9237</v>
      </c>
      <c r="N137" s="75">
        <f t="shared" si="10"/>
        <v>-3204</v>
      </c>
      <c r="O137" s="75">
        <f t="shared" si="11"/>
        <v>-53.107906514172058</v>
      </c>
      <c r="P137" s="75">
        <f>VLOOKUP($A137,'Data Vlaue (Cr)'!$C:$FB,119)</f>
        <v>0.71</v>
      </c>
      <c r="Q137" s="75">
        <f>VLOOKUP($A137,'Data Vlaue (Cr)'!$C:$FB,122)*100</f>
        <v>-4.05</v>
      </c>
      <c r="R137" s="75">
        <f>VLOOKUP($A137,'Data Vlaue (Cr)'!$C:$FB,125)</f>
        <v>0.64</v>
      </c>
      <c r="S137" s="75">
        <f>VLOOKUP($A137,'Data Vlaue (Cr)'!$C:$FB,128)*100</f>
        <v>60</v>
      </c>
    </row>
    <row r="138" spans="1:19" x14ac:dyDescent="0.25">
      <c r="A138" s="96" t="str">
        <f>'Data Vlaue (Cr)'!C129</f>
        <v>MARUTI</v>
      </c>
      <c r="B138" s="75">
        <f>VLOOKUP($A138,'Data Vlaue (Cr)'!$C:$FB,2)</f>
        <v>50</v>
      </c>
      <c r="C138" s="75">
        <f>VLOOKUP($A138,'Data Vlaue (Cr)'!$C:$FB,8)</f>
        <v>13722</v>
      </c>
      <c r="D138" s="75">
        <f>VLOOKUP($A138,'Data Vlaue (Cr)'!$C:$FB,4)</f>
        <v>13804</v>
      </c>
      <c r="E138" s="75">
        <f>VLOOKUP($A138,'Data Vlaue (Cr)'!$C:$FB,5)</f>
        <v>13452</v>
      </c>
      <c r="F138" s="75">
        <f t="shared" si="6"/>
        <v>82</v>
      </c>
      <c r="G138" s="75">
        <f t="shared" si="7"/>
        <v>2.5499855114459575</v>
      </c>
      <c r="H138" s="75">
        <f>VLOOKUP($A138,'Data Vlaue (Cr)'!$C:$FB,99)</f>
        <v>8552</v>
      </c>
      <c r="I138" s="75">
        <f>VLOOKUP($A138,'Data Vlaue (Cr)'!$C:$FB,100)</f>
        <v>8699</v>
      </c>
      <c r="J138" s="75">
        <f t="shared" si="8"/>
        <v>-147</v>
      </c>
      <c r="K138" s="75">
        <f t="shared" si="9"/>
        <v>-1.7188961646398504</v>
      </c>
      <c r="L138" s="75">
        <f>VLOOKUP($A138,'Data Vlaue (Cr)'!$C:$FB,67)</f>
        <v>7974</v>
      </c>
      <c r="M138" s="75">
        <f>VLOOKUP($A138,'Data Vlaue (Cr)'!$C:$FB,68)</f>
        <v>6098</v>
      </c>
      <c r="N138" s="75">
        <f t="shared" si="10"/>
        <v>1876</v>
      </c>
      <c r="O138" s="75">
        <f t="shared" si="11"/>
        <v>23.526460998244296</v>
      </c>
      <c r="P138" s="75">
        <f>VLOOKUP($A138,'Data Vlaue (Cr)'!$C:$FB,119)</f>
        <v>0.48</v>
      </c>
      <c r="Q138" s="75">
        <f>VLOOKUP($A138,'Data Vlaue (Cr)'!$C:$FB,122)*100</f>
        <v>20</v>
      </c>
      <c r="R138" s="75">
        <f>VLOOKUP($A138,'Data Vlaue (Cr)'!$C:$FB,125)</f>
        <v>0.46</v>
      </c>
      <c r="S138" s="75">
        <f>VLOOKUP($A138,'Data Vlaue (Cr)'!$C:$FB,128)*100</f>
        <v>-13.209999999999999</v>
      </c>
    </row>
    <row r="139" spans="1:19" x14ac:dyDescent="0.25">
      <c r="A139" s="96" t="str">
        <f>'Data Vlaue (Cr)'!C130</f>
        <v>MAXHEALTH</v>
      </c>
      <c r="B139" s="75">
        <f>VLOOKUP($A139,'Data Vlaue (Cr)'!$C:$FB,2)</f>
        <v>525</v>
      </c>
      <c r="C139" s="75">
        <f>VLOOKUP($A139,'Data Vlaue (Cr)'!$C:$FB,8)</f>
        <v>1015.9</v>
      </c>
      <c r="D139" s="75">
        <f>VLOOKUP($A139,'Data Vlaue (Cr)'!$C:$FB,4)</f>
        <v>1022.25</v>
      </c>
      <c r="E139" s="75">
        <f>VLOOKUP($A139,'Data Vlaue (Cr)'!$C:$FB,5)</f>
        <v>1005.75</v>
      </c>
      <c r="F139" s="75">
        <f t="shared" si="6"/>
        <v>6.3500000000000227</v>
      </c>
      <c r="G139" s="75">
        <f t="shared" si="7"/>
        <v>1.6140865737344092</v>
      </c>
      <c r="H139" s="75">
        <f>VLOOKUP($A139,'Data Vlaue (Cr)'!$C:$FB,99)</f>
        <v>1749</v>
      </c>
      <c r="I139" s="75">
        <f>VLOOKUP($A139,'Data Vlaue (Cr)'!$C:$FB,100)</f>
        <v>1732</v>
      </c>
      <c r="J139" s="75">
        <f t="shared" si="8"/>
        <v>17</v>
      </c>
      <c r="K139" s="75">
        <f t="shared" si="9"/>
        <v>0.97198399085191534</v>
      </c>
      <c r="L139" s="75">
        <f>VLOOKUP($A139,'Data Vlaue (Cr)'!$C:$FB,67)</f>
        <v>411</v>
      </c>
      <c r="M139" s="75">
        <f>VLOOKUP($A139,'Data Vlaue (Cr)'!$C:$FB,68)</f>
        <v>301</v>
      </c>
      <c r="N139" s="75">
        <f t="shared" si="10"/>
        <v>110</v>
      </c>
      <c r="O139" s="75">
        <f t="shared" si="11"/>
        <v>26.763990267639905</v>
      </c>
      <c r="P139" s="75">
        <f>VLOOKUP($A139,'Data Vlaue (Cr)'!$C:$FB,119)</f>
        <v>0.51</v>
      </c>
      <c r="Q139" s="75">
        <f>VLOOKUP($A139,'Data Vlaue (Cr)'!$C:$FB,122)*100</f>
        <v>-13.56</v>
      </c>
      <c r="R139" s="75">
        <f>VLOOKUP($A139,'Data Vlaue (Cr)'!$C:$FB,125)</f>
        <v>0.45</v>
      </c>
      <c r="S139" s="75">
        <f>VLOOKUP($A139,'Data Vlaue (Cr)'!$C:$FB,128)*100</f>
        <v>-37.5</v>
      </c>
    </row>
    <row r="140" spans="1:19" x14ac:dyDescent="0.25">
      <c r="A140" s="96" t="str">
        <f>'Data Vlaue (Cr)'!C131</f>
        <v>MAZDOCK</v>
      </c>
      <c r="B140" s="75">
        <f>VLOOKUP($A140,'Data Vlaue (Cr)'!$C:$FB,2)</f>
        <v>200</v>
      </c>
      <c r="C140" s="75">
        <f>VLOOKUP($A140,'Data Vlaue (Cr)'!$C:$FB,8)</f>
        <v>2644.5</v>
      </c>
      <c r="D140" s="75">
        <f>VLOOKUP($A140,'Data Vlaue (Cr)'!$C:$FB,4)</f>
        <v>2658.7</v>
      </c>
      <c r="E140" s="75">
        <f>VLOOKUP($A140,'Data Vlaue (Cr)'!$C:$FB,5)</f>
        <v>2644.5</v>
      </c>
      <c r="F140" s="75">
        <f t="shared" ref="F140:F176" si="12">D140-C140</f>
        <v>14.199999999999818</v>
      </c>
      <c r="G140" s="75">
        <f t="shared" ref="G140:G176" si="13">(D140-E140)/D140*100</f>
        <v>0.53409561063677058</v>
      </c>
      <c r="H140" s="75">
        <f>VLOOKUP($A140,'Data Vlaue (Cr)'!$C:$FB,99)</f>
        <v>2963</v>
      </c>
      <c r="I140" s="75">
        <f>VLOOKUP($A140,'Data Vlaue (Cr)'!$C:$FB,100)</f>
        <v>2953</v>
      </c>
      <c r="J140" s="75">
        <f t="shared" ref="J140:J176" si="14">H140-I140</f>
        <v>10</v>
      </c>
      <c r="K140" s="75">
        <f t="shared" ref="K140:K176" si="15">J140/H140*100</f>
        <v>0.33749578130273372</v>
      </c>
      <c r="L140" s="75">
        <f>VLOOKUP($A140,'Data Vlaue (Cr)'!$C:$FB,67)</f>
        <v>1268</v>
      </c>
      <c r="M140" s="75">
        <f>VLOOKUP($A140,'Data Vlaue (Cr)'!$C:$FB,68)</f>
        <v>1542</v>
      </c>
      <c r="N140" s="75">
        <f t="shared" ref="N140:N176" si="16">L140-M140</f>
        <v>-274</v>
      </c>
      <c r="O140" s="75">
        <f t="shared" ref="O140:O176" si="17">N140/L140*100</f>
        <v>-21.608832807570977</v>
      </c>
      <c r="P140" s="75">
        <f>VLOOKUP($A140,'Data Vlaue (Cr)'!$C:$FB,119)</f>
        <v>0.42</v>
      </c>
      <c r="Q140" s="75">
        <f>VLOOKUP($A140,'Data Vlaue (Cr)'!$C:$FB,122)*100</f>
        <v>2.44</v>
      </c>
      <c r="R140" s="75">
        <f>VLOOKUP($A140,'Data Vlaue (Cr)'!$C:$FB,125)</f>
        <v>0.28999999999999998</v>
      </c>
      <c r="S140" s="75">
        <f>VLOOKUP($A140,'Data Vlaue (Cr)'!$C:$FB,128)*100</f>
        <v>-6.45</v>
      </c>
    </row>
    <row r="141" spans="1:19" x14ac:dyDescent="0.25">
      <c r="A141" s="96" t="str">
        <f>'Data Vlaue (Cr)'!C132</f>
        <v>MCX</v>
      </c>
      <c r="B141" s="75">
        <f>VLOOKUP($A141,'Data Vlaue (Cr)'!$C:$FB,2)</f>
        <v>625</v>
      </c>
      <c r="C141" s="75">
        <f>VLOOKUP($A141,'Data Vlaue (Cr)'!$C:$FB,8)</f>
        <v>2973.2</v>
      </c>
      <c r="D141" s="75">
        <f>VLOOKUP($A141,'Data Vlaue (Cr)'!$C:$FB,4)</f>
        <v>2987.3</v>
      </c>
      <c r="E141" s="75">
        <f>VLOOKUP($A141,'Data Vlaue (Cr)'!$C:$FB,5)</f>
        <v>2918.4</v>
      </c>
      <c r="F141" s="75">
        <f t="shared" si="12"/>
        <v>14.100000000000364</v>
      </c>
      <c r="G141" s="75">
        <f t="shared" si="13"/>
        <v>2.3064305560204899</v>
      </c>
      <c r="H141" s="75">
        <f>VLOOKUP($A141,'Data Vlaue (Cr)'!$C:$FB,99)</f>
        <v>6341</v>
      </c>
      <c r="I141" s="75">
        <f>VLOOKUP($A141,'Data Vlaue (Cr)'!$C:$FB,100)</f>
        <v>6356</v>
      </c>
      <c r="J141" s="75">
        <f t="shared" si="14"/>
        <v>-15</v>
      </c>
      <c r="K141" s="75">
        <f t="shared" si="15"/>
        <v>-0.23655574830468382</v>
      </c>
      <c r="L141" s="75">
        <f>VLOOKUP($A141,'Data Vlaue (Cr)'!$C:$FB,67)</f>
        <v>4598</v>
      </c>
      <c r="M141" s="75">
        <f>VLOOKUP($A141,'Data Vlaue (Cr)'!$C:$FB,68)</f>
        <v>3637</v>
      </c>
      <c r="N141" s="75">
        <f t="shared" si="16"/>
        <v>961</v>
      </c>
      <c r="O141" s="75">
        <f t="shared" si="17"/>
        <v>20.900391474554151</v>
      </c>
      <c r="P141" s="75">
        <f>VLOOKUP($A141,'Data Vlaue (Cr)'!$C:$FB,119)</f>
        <v>0.78</v>
      </c>
      <c r="Q141" s="75">
        <f>VLOOKUP($A141,'Data Vlaue (Cr)'!$C:$FB,122)*100</f>
        <v>13.04</v>
      </c>
      <c r="R141" s="75">
        <f>VLOOKUP($A141,'Data Vlaue (Cr)'!$C:$FB,125)</f>
        <v>0.63</v>
      </c>
      <c r="S141" s="75">
        <f>VLOOKUP($A141,'Data Vlaue (Cr)'!$C:$FB,128)*100</f>
        <v>-1.5599999999999998</v>
      </c>
    </row>
    <row r="142" spans="1:19" x14ac:dyDescent="0.25">
      <c r="A142" s="96" t="str">
        <f>'Data Vlaue (Cr)'!C133</f>
        <v>MFSL</v>
      </c>
      <c r="B142" s="75">
        <f>VLOOKUP($A142,'Data Vlaue (Cr)'!$C:$FB,2)</f>
        <v>400</v>
      </c>
      <c r="C142" s="75">
        <f>VLOOKUP($A142,'Data Vlaue (Cr)'!$C:$FB,8)</f>
        <v>1652.8</v>
      </c>
      <c r="D142" s="75">
        <f>VLOOKUP($A142,'Data Vlaue (Cr)'!$C:$FB,4)</f>
        <v>1663.9</v>
      </c>
      <c r="E142" s="75">
        <f>VLOOKUP($A142,'Data Vlaue (Cr)'!$C:$FB,5)</f>
        <v>1605.5</v>
      </c>
      <c r="F142" s="75">
        <f t="shared" si="12"/>
        <v>11.100000000000136</v>
      </c>
      <c r="G142" s="75">
        <f t="shared" si="13"/>
        <v>3.50982631167739</v>
      </c>
      <c r="H142" s="75">
        <f>VLOOKUP($A142,'Data Vlaue (Cr)'!$C:$FB,99)</f>
        <v>1760</v>
      </c>
      <c r="I142" s="75">
        <f>VLOOKUP($A142,'Data Vlaue (Cr)'!$C:$FB,100)</f>
        <v>1684</v>
      </c>
      <c r="J142" s="75">
        <f t="shared" si="14"/>
        <v>76</v>
      </c>
      <c r="K142" s="75">
        <f t="shared" si="15"/>
        <v>4.3181818181818183</v>
      </c>
      <c r="L142" s="75">
        <f>VLOOKUP($A142,'Data Vlaue (Cr)'!$C:$FB,67)</f>
        <v>414</v>
      </c>
      <c r="M142" s="75">
        <f>VLOOKUP($A142,'Data Vlaue (Cr)'!$C:$FB,68)</f>
        <v>192</v>
      </c>
      <c r="N142" s="75">
        <f t="shared" si="16"/>
        <v>222</v>
      </c>
      <c r="O142" s="75">
        <f t="shared" si="17"/>
        <v>53.623188405797109</v>
      </c>
      <c r="P142" s="75">
        <f>VLOOKUP($A142,'Data Vlaue (Cr)'!$C:$FB,119)</f>
        <v>0.51</v>
      </c>
      <c r="Q142" s="75">
        <f>VLOOKUP($A142,'Data Vlaue (Cr)'!$C:$FB,122)*100</f>
        <v>-23.880000000000003</v>
      </c>
      <c r="R142" s="75">
        <f>VLOOKUP($A142,'Data Vlaue (Cr)'!$C:$FB,125)</f>
        <v>0.25</v>
      </c>
      <c r="S142" s="75">
        <f>VLOOKUP($A142,'Data Vlaue (Cr)'!$C:$FB,128)*100</f>
        <v>-30.56</v>
      </c>
    </row>
    <row r="143" spans="1:19" x14ac:dyDescent="0.25">
      <c r="A143" s="96" t="str">
        <f>'Data Vlaue (Cr)'!C134</f>
        <v>MIDCPNIFTY</v>
      </c>
      <c r="B143" s="75">
        <f>VLOOKUP($A143,'Data Vlaue (Cr)'!$C:$FB,2)</f>
        <v>120</v>
      </c>
      <c r="C143" s="75">
        <f>VLOOKUP($A143,'Data Vlaue (Cr)'!$C:$FB,8)</f>
        <v>14312.9</v>
      </c>
      <c r="D143" s="75">
        <f>VLOOKUP($A143,'Data Vlaue (Cr)'!$C:$FB,4)</f>
        <v>14400.6</v>
      </c>
      <c r="E143" s="75">
        <f>VLOOKUP($A143,'Data Vlaue (Cr)'!$C:$FB,5)</f>
        <v>14000.85</v>
      </c>
      <c r="F143" s="75">
        <f t="shared" si="12"/>
        <v>87.700000000000728</v>
      </c>
      <c r="G143" s="75">
        <f t="shared" si="13"/>
        <v>2.7759260030832049</v>
      </c>
      <c r="H143" s="75">
        <f>VLOOKUP($A143,'Data Vlaue (Cr)'!$C:$FB,99)</f>
        <v>17227</v>
      </c>
      <c r="I143" s="75">
        <f>VLOOKUP($A143,'Data Vlaue (Cr)'!$C:$FB,100)</f>
        <v>14491</v>
      </c>
      <c r="J143" s="75">
        <f t="shared" si="14"/>
        <v>2736</v>
      </c>
      <c r="K143" s="75"/>
      <c r="L143" s="75">
        <f>VLOOKUP($A143,'Data Vlaue (Cr)'!$C:$FB,67)</f>
        <v>38416</v>
      </c>
      <c r="M143" s="75">
        <f>VLOOKUP($A143,'Data Vlaue (Cr)'!$C:$FB,68)</f>
        <v>16440</v>
      </c>
      <c r="N143" s="75">
        <f t="shared" si="16"/>
        <v>21976</v>
      </c>
      <c r="O143" s="75">
        <f t="shared" si="17"/>
        <v>57.205331112036653</v>
      </c>
      <c r="P143" s="75">
        <f>VLOOKUP($A143,'Data Vlaue (Cr)'!$C:$FB,119)</f>
        <v>1.29</v>
      </c>
      <c r="Q143" s="75">
        <f>VLOOKUP($A143,'Data Vlaue (Cr)'!$C:$FB,122)*100</f>
        <v>13.16</v>
      </c>
      <c r="R143" s="75">
        <f>VLOOKUP($A143,'Data Vlaue (Cr)'!$C:$FB,125)</f>
        <v>1.35</v>
      </c>
      <c r="S143" s="75">
        <f>VLOOKUP($A143,'Data Vlaue (Cr)'!$C:$FB,128)*100</f>
        <v>45.16</v>
      </c>
    </row>
    <row r="144" spans="1:19" x14ac:dyDescent="0.25">
      <c r="A144" s="96" t="str">
        <f>'Data Vlaue (Cr)'!C135</f>
        <v>MOTHERSON</v>
      </c>
      <c r="B144" s="75">
        <f>VLOOKUP($A144,'Data Vlaue (Cr)'!$C:$FB,2)</f>
        <v>6150</v>
      </c>
      <c r="C144" s="75">
        <f>VLOOKUP($A144,'Data Vlaue (Cr)'!$C:$FB,8)</f>
        <v>127.41</v>
      </c>
      <c r="D144" s="75">
        <f>VLOOKUP($A144,'Data Vlaue (Cr)'!$C:$FB,4)</f>
        <v>128.32</v>
      </c>
      <c r="E144" s="75">
        <f>VLOOKUP($A144,'Data Vlaue (Cr)'!$C:$FB,5)</f>
        <v>121.1</v>
      </c>
      <c r="F144" s="75">
        <f t="shared" si="12"/>
        <v>0.90999999999999659</v>
      </c>
      <c r="G144" s="75">
        <f t="shared" si="13"/>
        <v>5.6265586034912713</v>
      </c>
      <c r="H144" s="75">
        <f>VLOOKUP($A144,'Data Vlaue (Cr)'!$C:$FB,99)</f>
        <v>2433</v>
      </c>
      <c r="I144" s="75">
        <f>VLOOKUP($A144,'Data Vlaue (Cr)'!$C:$FB,100)</f>
        <v>2362</v>
      </c>
      <c r="J144" s="75">
        <f t="shared" si="14"/>
        <v>71</v>
      </c>
      <c r="K144" s="75">
        <f t="shared" si="15"/>
        <v>2.9182079736950266</v>
      </c>
      <c r="L144" s="75">
        <f>VLOOKUP($A144,'Data Vlaue (Cr)'!$C:$FB,67)</f>
        <v>1411</v>
      </c>
      <c r="M144" s="75">
        <f>VLOOKUP($A144,'Data Vlaue (Cr)'!$C:$FB,68)</f>
        <v>469</v>
      </c>
      <c r="N144" s="75">
        <f t="shared" si="16"/>
        <v>942</v>
      </c>
      <c r="O144" s="75">
        <f t="shared" si="17"/>
        <v>66.76116229624381</v>
      </c>
      <c r="P144" s="75">
        <f>VLOOKUP($A144,'Data Vlaue (Cr)'!$C:$FB,119)</f>
        <v>0.79</v>
      </c>
      <c r="Q144" s="75">
        <f>VLOOKUP($A144,'Data Vlaue (Cr)'!$C:$FB,122)*100</f>
        <v>9.7199999999999989</v>
      </c>
      <c r="R144" s="75">
        <f>VLOOKUP($A144,'Data Vlaue (Cr)'!$C:$FB,125)</f>
        <v>0.34</v>
      </c>
      <c r="S144" s="75">
        <f>VLOOKUP($A144,'Data Vlaue (Cr)'!$C:$FB,128)*100</f>
        <v>-38.18</v>
      </c>
    </row>
    <row r="145" spans="1:19" x14ac:dyDescent="0.25">
      <c r="A145" s="96" t="str">
        <f>'Data Vlaue (Cr)'!C136</f>
        <v>MOTILALOFS</v>
      </c>
      <c r="B145" s="75">
        <f>VLOOKUP($A145,'Data Vlaue (Cr)'!$C:$FB,2)</f>
        <v>775</v>
      </c>
      <c r="C145" s="75">
        <f>VLOOKUP($A145,'Data Vlaue (Cr)'!$C:$FB,8)</f>
        <v>881.7</v>
      </c>
      <c r="D145" s="75">
        <f>VLOOKUP($A145,'Data Vlaue (Cr)'!$C:$FB,4)</f>
        <v>884.65</v>
      </c>
      <c r="E145" s="75">
        <f>VLOOKUP($A145,'Data Vlaue (Cr)'!$C:$FB,5)</f>
        <v>848.05</v>
      </c>
      <c r="F145" s="75">
        <f t="shared" si="12"/>
        <v>2.9499999999999318</v>
      </c>
      <c r="G145" s="75">
        <f t="shared" si="13"/>
        <v>4.1372294127621121</v>
      </c>
      <c r="H145" s="75">
        <f>VLOOKUP($A145,'Data Vlaue (Cr)'!$C:$FB,99)</f>
        <v>567</v>
      </c>
      <c r="I145" s="75">
        <f>VLOOKUP($A145,'Data Vlaue (Cr)'!$C:$FB,100)</f>
        <v>601</v>
      </c>
      <c r="J145" s="75">
        <f t="shared" si="14"/>
        <v>-34</v>
      </c>
      <c r="K145" s="75">
        <f t="shared" si="15"/>
        <v>-5.996472663139329</v>
      </c>
      <c r="L145" s="75">
        <f>VLOOKUP($A145,'Data Vlaue (Cr)'!$C:$FB,67)</f>
        <v>521</v>
      </c>
      <c r="M145" s="75">
        <f>VLOOKUP($A145,'Data Vlaue (Cr)'!$C:$FB,68)</f>
        <v>409</v>
      </c>
      <c r="N145" s="75">
        <f t="shared" si="16"/>
        <v>112</v>
      </c>
      <c r="O145" s="75">
        <f t="shared" si="17"/>
        <v>21.497120921305182</v>
      </c>
      <c r="P145" s="75">
        <f>VLOOKUP($A145,'Data Vlaue (Cr)'!$C:$FB,119)</f>
        <v>0.64</v>
      </c>
      <c r="Q145" s="75">
        <f>VLOOKUP($A145,'Data Vlaue (Cr)'!$C:$FB,122)*100</f>
        <v>-1.54</v>
      </c>
      <c r="R145" s="75">
        <f>VLOOKUP($A145,'Data Vlaue (Cr)'!$C:$FB,125)</f>
        <v>0.5</v>
      </c>
      <c r="S145" s="75">
        <f>VLOOKUP($A145,'Data Vlaue (Cr)'!$C:$FB,128)*100</f>
        <v>72.41</v>
      </c>
    </row>
    <row r="146" spans="1:19" x14ac:dyDescent="0.25">
      <c r="A146" s="96" t="str">
        <f>'Data Vlaue (Cr)'!C137</f>
        <v>MPHASIS</v>
      </c>
      <c r="B146" s="75">
        <f>VLOOKUP($A146,'Data Vlaue (Cr)'!$C:$FB,2)</f>
        <v>275</v>
      </c>
      <c r="C146" s="75">
        <f>VLOOKUP($A146,'Data Vlaue (Cr)'!$C:$FB,8)</f>
        <v>2218.5</v>
      </c>
      <c r="D146" s="75">
        <f>VLOOKUP($A146,'Data Vlaue (Cr)'!$C:$FB,4)</f>
        <v>2232.1999999999998</v>
      </c>
      <c r="E146" s="75">
        <f>VLOOKUP($A146,'Data Vlaue (Cr)'!$C:$FB,5)</f>
        <v>2221.6</v>
      </c>
      <c r="F146" s="75">
        <f t="shared" si="12"/>
        <v>13.699999999999818</v>
      </c>
      <c r="G146" s="75">
        <f t="shared" si="13"/>
        <v>0.47486784338320537</v>
      </c>
      <c r="H146" s="75">
        <f>VLOOKUP($A146,'Data Vlaue (Cr)'!$C:$FB,99)</f>
        <v>1631</v>
      </c>
      <c r="I146" s="75">
        <f>VLOOKUP($A146,'Data Vlaue (Cr)'!$C:$FB,100)</f>
        <v>1612</v>
      </c>
      <c r="J146" s="75">
        <f t="shared" si="14"/>
        <v>19</v>
      </c>
      <c r="K146" s="75">
        <f t="shared" si="15"/>
        <v>1.1649294911097487</v>
      </c>
      <c r="L146" s="75">
        <f>VLOOKUP($A146,'Data Vlaue (Cr)'!$C:$FB,67)</f>
        <v>1063</v>
      </c>
      <c r="M146" s="75">
        <f>VLOOKUP($A146,'Data Vlaue (Cr)'!$C:$FB,68)</f>
        <v>745</v>
      </c>
      <c r="N146" s="75">
        <f t="shared" si="16"/>
        <v>318</v>
      </c>
      <c r="O146" s="75">
        <f t="shared" si="17"/>
        <v>29.915333960489182</v>
      </c>
      <c r="P146" s="75">
        <f>VLOOKUP($A146,'Data Vlaue (Cr)'!$C:$FB,119)</f>
        <v>0.6</v>
      </c>
      <c r="Q146" s="75">
        <f>VLOOKUP($A146,'Data Vlaue (Cr)'!$C:$FB,122)*100</f>
        <v>0</v>
      </c>
      <c r="R146" s="75">
        <f>VLOOKUP($A146,'Data Vlaue (Cr)'!$C:$FB,125)</f>
        <v>0.28999999999999998</v>
      </c>
      <c r="S146" s="75">
        <f>VLOOKUP($A146,'Data Vlaue (Cr)'!$C:$FB,128)*100</f>
        <v>-39.58</v>
      </c>
    </row>
    <row r="147" spans="1:19" x14ac:dyDescent="0.25">
      <c r="A147" s="96" t="str">
        <f>'Data Vlaue (Cr)'!C138</f>
        <v>MUTHOOTFIN</v>
      </c>
      <c r="B147" s="75">
        <f>VLOOKUP($A147,'Data Vlaue (Cr)'!$C:$FB,2)</f>
        <v>275</v>
      </c>
      <c r="C147" s="75">
        <f>VLOOKUP($A147,'Data Vlaue (Cr)'!$C:$FB,8)</f>
        <v>3533.6</v>
      </c>
      <c r="D147" s="75">
        <f>VLOOKUP($A147,'Data Vlaue (Cr)'!$C:$FB,4)</f>
        <v>3556.9</v>
      </c>
      <c r="E147" s="75">
        <f>VLOOKUP($A147,'Data Vlaue (Cr)'!$C:$FB,5)</f>
        <v>3466.1</v>
      </c>
      <c r="F147" s="75">
        <f t="shared" si="12"/>
        <v>23.300000000000182</v>
      </c>
      <c r="G147" s="75">
        <f t="shared" si="13"/>
        <v>2.5527847282746263</v>
      </c>
      <c r="H147" s="75">
        <f>VLOOKUP($A147,'Data Vlaue (Cr)'!$C:$FB,99)</f>
        <v>2099</v>
      </c>
      <c r="I147" s="75">
        <f>VLOOKUP($A147,'Data Vlaue (Cr)'!$C:$FB,100)</f>
        <v>1997</v>
      </c>
      <c r="J147" s="75">
        <f t="shared" si="14"/>
        <v>102</v>
      </c>
      <c r="K147" s="75">
        <f t="shared" si="15"/>
        <v>4.8594568842305863</v>
      </c>
      <c r="L147" s="75">
        <f>VLOOKUP($A147,'Data Vlaue (Cr)'!$C:$FB,67)</f>
        <v>1059</v>
      </c>
      <c r="M147" s="75">
        <f>VLOOKUP($A147,'Data Vlaue (Cr)'!$C:$FB,68)</f>
        <v>925</v>
      </c>
      <c r="N147" s="75">
        <f t="shared" si="16"/>
        <v>134</v>
      </c>
      <c r="O147" s="75">
        <f t="shared" si="17"/>
        <v>12.653446647780925</v>
      </c>
      <c r="P147" s="75">
        <f>VLOOKUP($A147,'Data Vlaue (Cr)'!$C:$FB,119)</f>
        <v>0.66</v>
      </c>
      <c r="Q147" s="75">
        <f>VLOOKUP($A147,'Data Vlaue (Cr)'!$C:$FB,122)*100</f>
        <v>-5.71</v>
      </c>
      <c r="R147" s="75">
        <f>VLOOKUP($A147,'Data Vlaue (Cr)'!$C:$FB,125)</f>
        <v>0.51</v>
      </c>
      <c r="S147" s="75">
        <f>VLOOKUP($A147,'Data Vlaue (Cr)'!$C:$FB,128)*100</f>
        <v>-15</v>
      </c>
    </row>
    <row r="148" spans="1:19" x14ac:dyDescent="0.25">
      <c r="A148" s="96" t="str">
        <f>'Data Vlaue (Cr)'!C139</f>
        <v>NAM-INDIA</v>
      </c>
      <c r="B148" s="75">
        <f>VLOOKUP($A148,'Data Vlaue (Cr)'!$C:$FB,2)</f>
        <v>625</v>
      </c>
      <c r="C148" s="75">
        <f>VLOOKUP($A148,'Data Vlaue (Cr)'!$C:$FB,8)</f>
        <v>1094.2</v>
      </c>
      <c r="D148" s="75">
        <f>VLOOKUP($A148,'Data Vlaue (Cr)'!$C:$FB,4)</f>
        <v>1093.3</v>
      </c>
      <c r="E148" s="75">
        <f>VLOOKUP($A148,'Data Vlaue (Cr)'!$C:$FB,5)</f>
        <v>1054.2</v>
      </c>
      <c r="F148" s="75">
        <f t="shared" si="12"/>
        <v>-0.90000000000009095</v>
      </c>
      <c r="G148" s="75">
        <f t="shared" si="13"/>
        <v>3.576328546602022</v>
      </c>
      <c r="H148" s="75">
        <f>VLOOKUP($A148,'Data Vlaue (Cr)'!$C:$FB,99)</f>
        <v>620</v>
      </c>
      <c r="I148" s="75">
        <f>VLOOKUP($A148,'Data Vlaue (Cr)'!$C:$FB,100)</f>
        <v>587</v>
      </c>
      <c r="J148" s="75">
        <f t="shared" si="14"/>
        <v>33</v>
      </c>
      <c r="K148" s="75">
        <f t="shared" si="15"/>
        <v>5.32258064516129</v>
      </c>
      <c r="L148" s="75">
        <f>VLOOKUP($A148,'Data Vlaue (Cr)'!$C:$FB,67)</f>
        <v>785</v>
      </c>
      <c r="M148" s="75">
        <f>VLOOKUP($A148,'Data Vlaue (Cr)'!$C:$FB,68)</f>
        <v>598</v>
      </c>
      <c r="N148" s="75">
        <f t="shared" si="16"/>
        <v>187</v>
      </c>
      <c r="O148" s="75">
        <f t="shared" si="17"/>
        <v>23.821656050955415</v>
      </c>
      <c r="P148" s="75">
        <f>VLOOKUP($A148,'Data Vlaue (Cr)'!$C:$FB,119)</f>
        <v>0.4</v>
      </c>
      <c r="Q148" s="75">
        <f>VLOOKUP($A148,'Data Vlaue (Cr)'!$C:$FB,122)*100</f>
        <v>2.56</v>
      </c>
      <c r="R148" s="75">
        <f>VLOOKUP($A148,'Data Vlaue (Cr)'!$C:$FB,125)</f>
        <v>0.19</v>
      </c>
      <c r="S148" s="75">
        <f>VLOOKUP($A148,'Data Vlaue (Cr)'!$C:$FB,128)*100</f>
        <v>18.75</v>
      </c>
    </row>
    <row r="149" spans="1:19" x14ac:dyDescent="0.25">
      <c r="A149" s="96" t="str">
        <f>'Data Vlaue (Cr)'!C140</f>
        <v>NATIONALUM</v>
      </c>
      <c r="B149" s="75">
        <f>VLOOKUP($A149,'Data Vlaue (Cr)'!$C:$FB,2)</f>
        <v>1875</v>
      </c>
      <c r="C149" s="75">
        <f>VLOOKUP($A149,'Data Vlaue (Cr)'!$C:$FB,8)</f>
        <v>406.55</v>
      </c>
      <c r="D149" s="75">
        <f>VLOOKUP($A149,'Data Vlaue (Cr)'!$C:$FB,4)</f>
        <v>407</v>
      </c>
      <c r="E149" s="75">
        <f>VLOOKUP($A149,'Data Vlaue (Cr)'!$C:$FB,5)</f>
        <v>414.05</v>
      </c>
      <c r="F149" s="75">
        <f t="shared" si="12"/>
        <v>0.44999999999998863</v>
      </c>
      <c r="G149" s="75">
        <f t="shared" si="13"/>
        <v>-1.732186732186735</v>
      </c>
      <c r="H149" s="75">
        <f>VLOOKUP($A149,'Data Vlaue (Cr)'!$C:$FB,99)</f>
        <v>4015</v>
      </c>
      <c r="I149" s="75">
        <f>VLOOKUP($A149,'Data Vlaue (Cr)'!$C:$FB,100)</f>
        <v>3929</v>
      </c>
      <c r="J149" s="75">
        <f t="shared" si="14"/>
        <v>86</v>
      </c>
      <c r="K149" s="75">
        <f t="shared" si="15"/>
        <v>2.1419676214196763</v>
      </c>
      <c r="L149" s="75">
        <f>VLOOKUP($A149,'Data Vlaue (Cr)'!$C:$FB,67)</f>
        <v>2517</v>
      </c>
      <c r="M149" s="75">
        <f>VLOOKUP($A149,'Data Vlaue (Cr)'!$C:$FB,68)</f>
        <v>2468</v>
      </c>
      <c r="N149" s="75">
        <f t="shared" si="16"/>
        <v>49</v>
      </c>
      <c r="O149" s="75">
        <f t="shared" si="17"/>
        <v>1.9467620182757253</v>
      </c>
      <c r="P149" s="75">
        <f>VLOOKUP($A149,'Data Vlaue (Cr)'!$C:$FB,119)</f>
        <v>0.53</v>
      </c>
      <c r="Q149" s="75">
        <f>VLOOKUP($A149,'Data Vlaue (Cr)'!$C:$FB,122)*100</f>
        <v>-1.8499999999999999</v>
      </c>
      <c r="R149" s="75">
        <f>VLOOKUP($A149,'Data Vlaue (Cr)'!$C:$FB,125)</f>
        <v>0.51</v>
      </c>
      <c r="S149" s="75">
        <f>VLOOKUP($A149,'Data Vlaue (Cr)'!$C:$FB,128)*100</f>
        <v>15.909999999999998</v>
      </c>
    </row>
    <row r="150" spans="1:19" x14ac:dyDescent="0.25">
      <c r="A150" s="96" t="str">
        <f>'Data Vlaue (Cr)'!C141</f>
        <v>NAUKRI</v>
      </c>
      <c r="B150" s="75">
        <f>VLOOKUP($A150,'Data Vlaue (Cr)'!$C:$FB,2)</f>
        <v>375</v>
      </c>
      <c r="C150" s="75">
        <f>VLOOKUP($A150,'Data Vlaue (Cr)'!$C:$FB,8)</f>
        <v>981.4</v>
      </c>
      <c r="D150" s="75">
        <f>VLOOKUP($A150,'Data Vlaue (Cr)'!$C:$FB,4)</f>
        <v>988.7</v>
      </c>
      <c r="E150" s="75">
        <f>VLOOKUP($A150,'Data Vlaue (Cr)'!$C:$FB,5)</f>
        <v>969.4</v>
      </c>
      <c r="F150" s="75">
        <f t="shared" si="12"/>
        <v>7.3000000000000682</v>
      </c>
      <c r="G150" s="75">
        <f t="shared" si="13"/>
        <v>1.9520582583190116</v>
      </c>
      <c r="H150" s="75">
        <f>VLOOKUP($A150,'Data Vlaue (Cr)'!$C:$FB,99)</f>
        <v>1474</v>
      </c>
      <c r="I150" s="75">
        <f>VLOOKUP($A150,'Data Vlaue (Cr)'!$C:$FB,100)</f>
        <v>1402</v>
      </c>
      <c r="J150" s="75">
        <f t="shared" si="14"/>
        <v>72</v>
      </c>
      <c r="K150" s="75">
        <f t="shared" si="15"/>
        <v>4.8846675712347354</v>
      </c>
      <c r="L150" s="75">
        <f>VLOOKUP($A150,'Data Vlaue (Cr)'!$C:$FB,67)</f>
        <v>494</v>
      </c>
      <c r="M150" s="75">
        <f>VLOOKUP($A150,'Data Vlaue (Cr)'!$C:$FB,68)</f>
        <v>435</v>
      </c>
      <c r="N150" s="75">
        <f t="shared" si="16"/>
        <v>59</v>
      </c>
      <c r="O150" s="75">
        <f t="shared" si="17"/>
        <v>11.943319838056681</v>
      </c>
      <c r="P150" s="75">
        <f>VLOOKUP($A150,'Data Vlaue (Cr)'!$C:$FB,119)</f>
        <v>0.35</v>
      </c>
      <c r="Q150" s="75">
        <f>VLOOKUP($A150,'Data Vlaue (Cr)'!$C:$FB,122)*100</f>
        <v>-7.89</v>
      </c>
      <c r="R150" s="75">
        <f>VLOOKUP($A150,'Data Vlaue (Cr)'!$C:$FB,125)</f>
        <v>0.34</v>
      </c>
      <c r="S150" s="75">
        <f>VLOOKUP($A150,'Data Vlaue (Cr)'!$C:$FB,128)*100</f>
        <v>-8.1100000000000012</v>
      </c>
    </row>
    <row r="151" spans="1:19" x14ac:dyDescent="0.25">
      <c r="A151" s="96" t="str">
        <f>'Data Vlaue (Cr)'!C142</f>
        <v>NBCC</v>
      </c>
      <c r="B151" s="75">
        <f>VLOOKUP($A151,'Data Vlaue (Cr)'!$C:$FB,2)</f>
        <v>6500</v>
      </c>
      <c r="C151" s="75">
        <f>VLOOKUP($A151,'Data Vlaue (Cr)'!$C:$FB,8)</f>
        <v>94.94</v>
      </c>
      <c r="D151" s="75">
        <f>VLOOKUP($A151,'Data Vlaue (Cr)'!$C:$FB,4)</f>
        <v>95.59</v>
      </c>
      <c r="E151" s="75">
        <f>VLOOKUP($A151,'Data Vlaue (Cr)'!$C:$FB,5)</f>
        <v>93.18</v>
      </c>
      <c r="F151" s="75">
        <f t="shared" si="12"/>
        <v>0.65000000000000568</v>
      </c>
      <c r="G151" s="75">
        <f t="shared" si="13"/>
        <v>2.5211842242912406</v>
      </c>
      <c r="H151" s="75">
        <f>VLOOKUP($A151,'Data Vlaue (Cr)'!$C:$FB,99)</f>
        <v>1011</v>
      </c>
      <c r="I151" s="75">
        <f>VLOOKUP($A151,'Data Vlaue (Cr)'!$C:$FB,100)</f>
        <v>956</v>
      </c>
      <c r="J151" s="75">
        <f t="shared" si="14"/>
        <v>55</v>
      </c>
      <c r="K151" s="75">
        <f t="shared" si="15"/>
        <v>5.4401582591493574</v>
      </c>
      <c r="L151" s="75">
        <f>VLOOKUP($A151,'Data Vlaue (Cr)'!$C:$FB,67)</f>
        <v>541</v>
      </c>
      <c r="M151" s="75">
        <f>VLOOKUP($A151,'Data Vlaue (Cr)'!$C:$FB,68)</f>
        <v>141</v>
      </c>
      <c r="N151" s="75">
        <f t="shared" si="16"/>
        <v>400</v>
      </c>
      <c r="O151" s="75">
        <f t="shared" si="17"/>
        <v>73.937153419593344</v>
      </c>
      <c r="P151" s="75">
        <f>VLOOKUP($A151,'Data Vlaue (Cr)'!$C:$FB,119)</f>
        <v>0.79</v>
      </c>
      <c r="Q151" s="75">
        <f>VLOOKUP($A151,'Data Vlaue (Cr)'!$C:$FB,122)*100</f>
        <v>8.2199999999999989</v>
      </c>
      <c r="R151" s="75">
        <f>VLOOKUP($A151,'Data Vlaue (Cr)'!$C:$FB,125)</f>
        <v>0.36</v>
      </c>
      <c r="S151" s="75">
        <f>VLOOKUP($A151,'Data Vlaue (Cr)'!$C:$FB,128)*100</f>
        <v>-29.409999999999997</v>
      </c>
    </row>
    <row r="152" spans="1:19" x14ac:dyDescent="0.25">
      <c r="A152" s="96" t="str">
        <f>'Data Vlaue (Cr)'!C143</f>
        <v>NESTLEIND</v>
      </c>
      <c r="B152" s="75">
        <f>VLOOKUP($A152,'Data Vlaue (Cr)'!$C:$FB,2)</f>
        <v>500</v>
      </c>
      <c r="C152" s="75">
        <f>VLOOKUP($A152,'Data Vlaue (Cr)'!$C:$FB,8)</f>
        <v>1486.1</v>
      </c>
      <c r="D152" s="75">
        <f>VLOOKUP($A152,'Data Vlaue (Cr)'!$C:$FB,4)</f>
        <v>1490.7</v>
      </c>
      <c r="E152" s="75">
        <f>VLOOKUP($A152,'Data Vlaue (Cr)'!$C:$FB,5)</f>
        <v>1479.8</v>
      </c>
      <c r="F152" s="75">
        <f t="shared" si="12"/>
        <v>4.6000000000001364</v>
      </c>
      <c r="G152" s="75">
        <f t="shared" si="13"/>
        <v>0.73120010733213192</v>
      </c>
      <c r="H152" s="75">
        <f>VLOOKUP($A152,'Data Vlaue (Cr)'!$C:$FB,99)</f>
        <v>3464</v>
      </c>
      <c r="I152" s="75">
        <f>VLOOKUP($A152,'Data Vlaue (Cr)'!$C:$FB,100)</f>
        <v>3303</v>
      </c>
      <c r="J152" s="75">
        <f t="shared" si="14"/>
        <v>161</v>
      </c>
      <c r="K152" s="75">
        <f t="shared" si="15"/>
        <v>4.6478060046189373</v>
      </c>
      <c r="L152" s="75">
        <f>VLOOKUP($A152,'Data Vlaue (Cr)'!$C:$FB,67)</f>
        <v>1775</v>
      </c>
      <c r="M152" s="75">
        <f>VLOOKUP($A152,'Data Vlaue (Cr)'!$C:$FB,68)</f>
        <v>1533</v>
      </c>
      <c r="N152" s="75">
        <f t="shared" si="16"/>
        <v>242</v>
      </c>
      <c r="O152" s="75">
        <f t="shared" si="17"/>
        <v>13.633802816901408</v>
      </c>
      <c r="P152" s="75">
        <f>VLOOKUP($A152,'Data Vlaue (Cr)'!$C:$FB,119)</f>
        <v>1.08</v>
      </c>
      <c r="Q152" s="75">
        <f>VLOOKUP($A152,'Data Vlaue (Cr)'!$C:$FB,122)*100</f>
        <v>16.13</v>
      </c>
      <c r="R152" s="75">
        <f>VLOOKUP($A152,'Data Vlaue (Cr)'!$C:$FB,125)</f>
        <v>0.95</v>
      </c>
      <c r="S152" s="75">
        <f>VLOOKUP($A152,'Data Vlaue (Cr)'!$C:$FB,128)*100</f>
        <v>35.709999999999994</v>
      </c>
    </row>
    <row r="153" spans="1:19" x14ac:dyDescent="0.25">
      <c r="A153" s="96" t="str">
        <f>'Data Vlaue (Cr)'!C144</f>
        <v>NHPC</v>
      </c>
      <c r="B153" s="75">
        <f>VLOOKUP($A153,'Data Vlaue (Cr)'!$C:$FB,2)</f>
        <v>6400</v>
      </c>
      <c r="C153" s="75">
        <f>VLOOKUP($A153,'Data Vlaue (Cr)'!$C:$FB,8)</f>
        <v>83.66</v>
      </c>
      <c r="D153" s="75">
        <f>VLOOKUP($A153,'Data Vlaue (Cr)'!$C:$FB,4)</f>
        <v>83.06</v>
      </c>
      <c r="E153" s="75">
        <f>VLOOKUP($A153,'Data Vlaue (Cr)'!$C:$FB,5)</f>
        <v>82.56</v>
      </c>
      <c r="F153" s="75">
        <f t="shared" si="12"/>
        <v>-0.59999999999999432</v>
      </c>
      <c r="G153" s="75">
        <f t="shared" si="13"/>
        <v>0.60197447628220557</v>
      </c>
      <c r="H153" s="75">
        <f>VLOOKUP($A153,'Data Vlaue (Cr)'!$C:$FB,99)</f>
        <v>1399</v>
      </c>
      <c r="I153" s="75">
        <f>VLOOKUP($A153,'Data Vlaue (Cr)'!$C:$FB,100)</f>
        <v>1351</v>
      </c>
      <c r="J153" s="75">
        <f t="shared" si="14"/>
        <v>48</v>
      </c>
      <c r="K153" s="75">
        <f t="shared" si="15"/>
        <v>3.4310221586847747</v>
      </c>
      <c r="L153" s="75">
        <f>VLOOKUP($A153,'Data Vlaue (Cr)'!$C:$FB,67)</f>
        <v>448</v>
      </c>
      <c r="M153" s="75">
        <f>VLOOKUP($A153,'Data Vlaue (Cr)'!$C:$FB,68)</f>
        <v>326</v>
      </c>
      <c r="N153" s="75">
        <f t="shared" si="16"/>
        <v>122</v>
      </c>
      <c r="O153" s="75">
        <f t="shared" si="17"/>
        <v>27.232142857142854</v>
      </c>
      <c r="P153" s="75">
        <f>VLOOKUP($A153,'Data Vlaue (Cr)'!$C:$FB,119)</f>
        <v>0.57999999999999996</v>
      </c>
      <c r="Q153" s="75">
        <f>VLOOKUP($A153,'Data Vlaue (Cr)'!$C:$FB,122)*100</f>
        <v>1.7500000000000002</v>
      </c>
      <c r="R153" s="75">
        <f>VLOOKUP($A153,'Data Vlaue (Cr)'!$C:$FB,125)</f>
        <v>0.25</v>
      </c>
      <c r="S153" s="75">
        <f>VLOOKUP($A153,'Data Vlaue (Cr)'!$C:$FB,128)*100</f>
        <v>-16.669999999999998</v>
      </c>
    </row>
    <row r="154" spans="1:19" x14ac:dyDescent="0.25">
      <c r="A154" s="96" t="str">
        <f>'Data Vlaue (Cr)'!C145</f>
        <v>NIFTY</v>
      </c>
      <c r="B154" s="75">
        <f>VLOOKUP($A154,'Data Vlaue (Cr)'!$C:$FB,2)</f>
        <v>65</v>
      </c>
      <c r="C154" s="75">
        <f>VLOOKUP($A154,'Data Vlaue (Cr)'!$C:$FB,8)</f>
        <v>24330.95</v>
      </c>
      <c r="D154" s="75">
        <f>VLOOKUP($A154,'Data Vlaue (Cr)'!$C:$FB,4)</f>
        <v>24447.4</v>
      </c>
      <c r="E154" s="75">
        <f>VLOOKUP($A154,'Data Vlaue (Cr)'!$C:$FB,5)</f>
        <v>24106.3</v>
      </c>
      <c r="F154" s="75">
        <f t="shared" si="12"/>
        <v>116.45000000000073</v>
      </c>
      <c r="G154" s="75">
        <f t="shared" si="13"/>
        <v>1.3952403936615025</v>
      </c>
      <c r="H154" s="75">
        <f>VLOOKUP($A154,'Data Vlaue (Cr)'!$C:$FB,99)</f>
        <v>1002870</v>
      </c>
      <c r="I154" s="75">
        <f>VLOOKUP($A154,'Data Vlaue (Cr)'!$C:$FB,100)</f>
        <v>1711208</v>
      </c>
      <c r="J154" s="75">
        <f t="shared" si="14"/>
        <v>-708338</v>
      </c>
      <c r="K154" s="75">
        <f t="shared" si="15"/>
        <v>-70.631088775215133</v>
      </c>
      <c r="L154" s="75">
        <f>VLOOKUP($A154,'Data Vlaue (Cr)'!$C:$FB,67)</f>
        <v>9633068</v>
      </c>
      <c r="M154" s="75">
        <f>VLOOKUP($A154,'Data Vlaue (Cr)'!$C:$FB,68)</f>
        <v>70394231</v>
      </c>
      <c r="N154" s="75">
        <f t="shared" si="16"/>
        <v>-60761163</v>
      </c>
      <c r="O154" s="75">
        <f t="shared" si="17"/>
        <v>-630.7560893372704</v>
      </c>
      <c r="P154" s="75">
        <f>VLOOKUP($A154,'Data Vlaue (Cr)'!$C:$FB,119)</f>
        <v>1.19</v>
      </c>
      <c r="Q154" s="75">
        <f>VLOOKUP($A154,'Data Vlaue (Cr)'!$C:$FB,122)*100</f>
        <v>10.190000000000001</v>
      </c>
      <c r="R154" s="75">
        <f>VLOOKUP($A154,'Data Vlaue (Cr)'!$C:$FB,125)</f>
        <v>1.01</v>
      </c>
      <c r="S154" s="75">
        <f>VLOOKUP($A154,'Data Vlaue (Cr)'!$C:$FB,128)*100</f>
        <v>13.48</v>
      </c>
    </row>
    <row r="155" spans="1:19" x14ac:dyDescent="0.25">
      <c r="A155" s="96" t="str">
        <f>'Data Vlaue (Cr)'!C146</f>
        <v>NIFTYNXT50</v>
      </c>
      <c r="B155" s="75">
        <f>VLOOKUP($A155,'Data Vlaue (Cr)'!$C:$FB,2)</f>
        <v>25</v>
      </c>
      <c r="C155" s="75">
        <f>VLOOKUP($A155,'Data Vlaue (Cr)'!$C:$FB,8)</f>
        <v>71691.45</v>
      </c>
      <c r="D155" s="75">
        <f>VLOOKUP($A155,'Data Vlaue (Cr)'!$C:$FB,4)</f>
        <v>72015.399999999994</v>
      </c>
      <c r="E155" s="75">
        <f>VLOOKUP($A155,'Data Vlaue (Cr)'!$C:$FB,5)</f>
        <v>70793.600000000006</v>
      </c>
      <c r="F155" s="75">
        <f t="shared" si="12"/>
        <v>323.94999999999709</v>
      </c>
      <c r="G155" s="75">
        <f t="shared" si="13"/>
        <v>1.6965815644986886</v>
      </c>
      <c r="H155" s="75">
        <f>VLOOKUP($A155,'Data Vlaue (Cr)'!$C:$FB,99)</f>
        <v>170</v>
      </c>
      <c r="I155" s="75">
        <f>VLOOKUP($A155,'Data Vlaue (Cr)'!$C:$FB,100)</f>
        <v>156</v>
      </c>
      <c r="J155" s="75">
        <f t="shared" si="14"/>
        <v>14</v>
      </c>
      <c r="K155" s="75">
        <f t="shared" si="15"/>
        <v>8.235294117647058</v>
      </c>
      <c r="L155" s="75">
        <f>VLOOKUP($A155,'Data Vlaue (Cr)'!$C:$FB,67)</f>
        <v>121</v>
      </c>
      <c r="M155" s="75">
        <f>VLOOKUP($A155,'Data Vlaue (Cr)'!$C:$FB,68)</f>
        <v>59</v>
      </c>
      <c r="N155" s="75">
        <f t="shared" si="16"/>
        <v>62</v>
      </c>
      <c r="O155" s="75">
        <f t="shared" si="17"/>
        <v>51.239669421487598</v>
      </c>
      <c r="P155" s="75">
        <f>VLOOKUP($A155,'Data Vlaue (Cr)'!$C:$FB,119)</f>
        <v>0.11</v>
      </c>
      <c r="Q155" s="75">
        <f>VLOOKUP($A155,'Data Vlaue (Cr)'!$C:$FB,122)*100</f>
        <v>10</v>
      </c>
      <c r="R155" s="75">
        <f>VLOOKUP($A155,'Data Vlaue (Cr)'!$C:$FB,125)</f>
        <v>0.06</v>
      </c>
      <c r="S155" s="75">
        <f>VLOOKUP($A155,'Data Vlaue (Cr)'!$C:$FB,128)*100</f>
        <v>50</v>
      </c>
    </row>
    <row r="156" spans="1:19" x14ac:dyDescent="0.25">
      <c r="A156" s="96" t="str">
        <f>'Data Vlaue (Cr)'!C147</f>
        <v>NMDC</v>
      </c>
      <c r="B156" s="75">
        <f>VLOOKUP($A156,'Data Vlaue (Cr)'!$C:$FB,2)</f>
        <v>6750</v>
      </c>
      <c r="C156" s="75">
        <f>VLOOKUP($A156,'Data Vlaue (Cr)'!$C:$FB,8)</f>
        <v>89.18</v>
      </c>
      <c r="D156" s="75">
        <f>VLOOKUP($A156,'Data Vlaue (Cr)'!$C:$FB,4)</f>
        <v>89.82</v>
      </c>
      <c r="E156" s="75">
        <f>VLOOKUP($A156,'Data Vlaue (Cr)'!$C:$FB,5)</f>
        <v>89.34</v>
      </c>
      <c r="F156" s="75">
        <f t="shared" si="12"/>
        <v>0.63999999999998636</v>
      </c>
      <c r="G156" s="75">
        <f t="shared" si="13"/>
        <v>0.53440213760853916</v>
      </c>
      <c r="H156" s="75">
        <f>VLOOKUP($A156,'Data Vlaue (Cr)'!$C:$FB,99)</f>
        <v>3908</v>
      </c>
      <c r="I156" s="75">
        <f>VLOOKUP($A156,'Data Vlaue (Cr)'!$C:$FB,100)</f>
        <v>3845</v>
      </c>
      <c r="J156" s="75">
        <f t="shared" si="14"/>
        <v>63</v>
      </c>
      <c r="K156" s="75">
        <f t="shared" si="15"/>
        <v>1.6120777891504605</v>
      </c>
      <c r="L156" s="75">
        <f>VLOOKUP($A156,'Data Vlaue (Cr)'!$C:$FB,67)</f>
        <v>664</v>
      </c>
      <c r="M156" s="75">
        <f>VLOOKUP($A156,'Data Vlaue (Cr)'!$C:$FB,68)</f>
        <v>498</v>
      </c>
      <c r="N156" s="75">
        <f t="shared" si="16"/>
        <v>166</v>
      </c>
      <c r="O156" s="75">
        <f t="shared" si="17"/>
        <v>25</v>
      </c>
      <c r="P156" s="75">
        <f>VLOOKUP($A156,'Data Vlaue (Cr)'!$C:$FB,119)</f>
        <v>0.5</v>
      </c>
      <c r="Q156" s="75">
        <f>VLOOKUP($A156,'Data Vlaue (Cr)'!$C:$FB,122)*100</f>
        <v>4.17</v>
      </c>
      <c r="R156" s="75">
        <f>VLOOKUP($A156,'Data Vlaue (Cr)'!$C:$FB,125)</f>
        <v>0.33</v>
      </c>
      <c r="S156" s="75">
        <f>VLOOKUP($A156,'Data Vlaue (Cr)'!$C:$FB,128)*100</f>
        <v>13.79</v>
      </c>
    </row>
    <row r="157" spans="1:19" x14ac:dyDescent="0.25">
      <c r="A157" s="96" t="str">
        <f>'Data Vlaue (Cr)'!C148</f>
        <v>NTPC</v>
      </c>
      <c r="B157" s="75">
        <f>VLOOKUP($A157,'Data Vlaue (Cr)'!$C:$FB,2)</f>
        <v>1500</v>
      </c>
      <c r="C157" s="75">
        <f>VLOOKUP($A157,'Data Vlaue (Cr)'!$C:$FB,8)</f>
        <v>394.85</v>
      </c>
      <c r="D157" s="75">
        <f>VLOOKUP($A157,'Data Vlaue (Cr)'!$C:$FB,4)</f>
        <v>397.1</v>
      </c>
      <c r="E157" s="75">
        <f>VLOOKUP($A157,'Data Vlaue (Cr)'!$C:$FB,5)</f>
        <v>399.6</v>
      </c>
      <c r="F157" s="75">
        <f t="shared" si="12"/>
        <v>2.25</v>
      </c>
      <c r="G157" s="75">
        <f t="shared" si="13"/>
        <v>-0.62956434147569873</v>
      </c>
      <c r="H157" s="75">
        <f>VLOOKUP($A157,'Data Vlaue (Cr)'!$C:$FB,99)</f>
        <v>6742</v>
      </c>
      <c r="I157" s="75">
        <f>VLOOKUP($A157,'Data Vlaue (Cr)'!$C:$FB,100)</f>
        <v>6574</v>
      </c>
      <c r="J157" s="75">
        <f t="shared" si="14"/>
        <v>168</v>
      </c>
      <c r="K157" s="75">
        <f t="shared" si="15"/>
        <v>2.4918421833283895</v>
      </c>
      <c r="L157" s="75">
        <f>VLOOKUP($A157,'Data Vlaue (Cr)'!$C:$FB,67)</f>
        <v>2597</v>
      </c>
      <c r="M157" s="75">
        <f>VLOOKUP($A157,'Data Vlaue (Cr)'!$C:$FB,68)</f>
        <v>2282</v>
      </c>
      <c r="N157" s="75">
        <f t="shared" si="16"/>
        <v>315</v>
      </c>
      <c r="O157" s="75">
        <f t="shared" si="17"/>
        <v>12.129380053908356</v>
      </c>
      <c r="P157" s="75">
        <f>VLOOKUP($A157,'Data Vlaue (Cr)'!$C:$FB,119)</f>
        <v>0.37</v>
      </c>
      <c r="Q157" s="75">
        <f>VLOOKUP($A157,'Data Vlaue (Cr)'!$C:$FB,122)*100</f>
        <v>-2.63</v>
      </c>
      <c r="R157" s="75">
        <f>VLOOKUP($A157,'Data Vlaue (Cr)'!$C:$FB,125)</f>
        <v>0.35</v>
      </c>
      <c r="S157" s="75">
        <f>VLOOKUP($A157,'Data Vlaue (Cr)'!$C:$FB,128)*100</f>
        <v>40</v>
      </c>
    </row>
    <row r="158" spans="1:19" x14ac:dyDescent="0.25">
      <c r="A158" s="96" t="str">
        <f>'Data Vlaue (Cr)'!C149</f>
        <v>NUVAMA</v>
      </c>
      <c r="B158" s="75">
        <f>VLOOKUP($A158,'Data Vlaue (Cr)'!$C:$FB,2)</f>
        <v>500</v>
      </c>
      <c r="C158" s="75">
        <f>VLOOKUP($A158,'Data Vlaue (Cr)'!$C:$FB,8)</f>
        <v>1413.6</v>
      </c>
      <c r="D158" s="75">
        <f>VLOOKUP($A158,'Data Vlaue (Cr)'!$C:$FB,4)</f>
        <v>1401.4</v>
      </c>
      <c r="E158" s="75">
        <f>VLOOKUP($A158,'Data Vlaue (Cr)'!$C:$FB,5)</f>
        <v>1342.3</v>
      </c>
      <c r="F158" s="75">
        <f t="shared" si="12"/>
        <v>-12.199999999999818</v>
      </c>
      <c r="G158" s="75">
        <f t="shared" si="13"/>
        <v>4.2172113600685126</v>
      </c>
      <c r="H158" s="75">
        <f>VLOOKUP($A158,'Data Vlaue (Cr)'!$C:$FB,99)</f>
        <v>371</v>
      </c>
      <c r="I158" s="75">
        <f>VLOOKUP($A158,'Data Vlaue (Cr)'!$C:$FB,100)</f>
        <v>335</v>
      </c>
      <c r="J158" s="75">
        <f t="shared" si="14"/>
        <v>36</v>
      </c>
      <c r="K158" s="75">
        <f t="shared" si="15"/>
        <v>9.703504043126685</v>
      </c>
      <c r="L158" s="75">
        <f>VLOOKUP($A158,'Data Vlaue (Cr)'!$C:$FB,67)</f>
        <v>406</v>
      </c>
      <c r="M158" s="75">
        <f>VLOOKUP($A158,'Data Vlaue (Cr)'!$C:$FB,68)</f>
        <v>299</v>
      </c>
      <c r="N158" s="75">
        <f t="shared" si="16"/>
        <v>107</v>
      </c>
      <c r="O158" s="75">
        <f t="shared" si="17"/>
        <v>26.354679802955665</v>
      </c>
      <c r="P158" s="75">
        <f>VLOOKUP($A158,'Data Vlaue (Cr)'!$C:$FB,119)</f>
        <v>0.62</v>
      </c>
      <c r="Q158" s="75">
        <f>VLOOKUP($A158,'Data Vlaue (Cr)'!$C:$FB,122)*100</f>
        <v>24</v>
      </c>
      <c r="R158" s="75">
        <f>VLOOKUP($A158,'Data Vlaue (Cr)'!$C:$FB,125)</f>
        <v>0.41</v>
      </c>
      <c r="S158" s="75">
        <f>VLOOKUP($A158,'Data Vlaue (Cr)'!$C:$FB,128)*100</f>
        <v>95.240000000000009</v>
      </c>
    </row>
    <row r="159" spans="1:19" x14ac:dyDescent="0.25">
      <c r="A159" s="96" t="str">
        <f>'Data Vlaue (Cr)'!C150</f>
        <v>NYKAA</v>
      </c>
      <c r="B159" s="75">
        <f>VLOOKUP($A159,'Data Vlaue (Cr)'!$C:$FB,2)</f>
        <v>3125</v>
      </c>
      <c r="C159" s="75">
        <f>VLOOKUP($A159,'Data Vlaue (Cr)'!$C:$FB,8)</f>
        <v>272.35000000000002</v>
      </c>
      <c r="D159" s="75">
        <f>VLOOKUP($A159,'Data Vlaue (Cr)'!$C:$FB,4)</f>
        <v>273.75</v>
      </c>
      <c r="E159" s="75">
        <f>VLOOKUP($A159,'Data Vlaue (Cr)'!$C:$FB,5)</f>
        <v>270.7</v>
      </c>
      <c r="F159" s="75">
        <f t="shared" si="12"/>
        <v>1.3999999999999773</v>
      </c>
      <c r="G159" s="75">
        <f t="shared" si="13"/>
        <v>1.1141552511415567</v>
      </c>
      <c r="H159" s="75">
        <f>VLOOKUP($A159,'Data Vlaue (Cr)'!$C:$FB,99)</f>
        <v>1571</v>
      </c>
      <c r="I159" s="75">
        <f>VLOOKUP($A159,'Data Vlaue (Cr)'!$C:$FB,100)</f>
        <v>1530</v>
      </c>
      <c r="J159" s="75">
        <f t="shared" si="14"/>
        <v>41</v>
      </c>
      <c r="K159" s="75">
        <f t="shared" si="15"/>
        <v>2.609802673456397</v>
      </c>
      <c r="L159" s="75">
        <f>VLOOKUP($A159,'Data Vlaue (Cr)'!$C:$FB,67)</f>
        <v>396</v>
      </c>
      <c r="M159" s="75">
        <f>VLOOKUP($A159,'Data Vlaue (Cr)'!$C:$FB,68)</f>
        <v>234</v>
      </c>
      <c r="N159" s="75">
        <f t="shared" si="16"/>
        <v>162</v>
      </c>
      <c r="O159" s="75">
        <f t="shared" si="17"/>
        <v>40.909090909090914</v>
      </c>
      <c r="P159" s="75">
        <f>VLOOKUP($A159,'Data Vlaue (Cr)'!$C:$FB,119)</f>
        <v>0.51</v>
      </c>
      <c r="Q159" s="75">
        <f>VLOOKUP($A159,'Data Vlaue (Cr)'!$C:$FB,122)*100</f>
        <v>-7.2700000000000005</v>
      </c>
      <c r="R159" s="75">
        <f>VLOOKUP($A159,'Data Vlaue (Cr)'!$C:$FB,125)</f>
        <v>0.21</v>
      </c>
      <c r="S159" s="75">
        <f>VLOOKUP($A159,'Data Vlaue (Cr)'!$C:$FB,128)*100</f>
        <v>-25</v>
      </c>
    </row>
    <row r="160" spans="1:19" x14ac:dyDescent="0.25">
      <c r="A160" s="96" t="str">
        <f>'Data Vlaue (Cr)'!C151</f>
        <v>OBEROIRLTY</v>
      </c>
      <c r="B160" s="75">
        <f>VLOOKUP($A160,'Data Vlaue (Cr)'!$C:$FB,2)</f>
        <v>350</v>
      </c>
      <c r="C160" s="75">
        <f>VLOOKUP($A160,'Data Vlaue (Cr)'!$C:$FB,8)</f>
        <v>1673.4</v>
      </c>
      <c r="D160" s="75">
        <f>VLOOKUP($A160,'Data Vlaue (Cr)'!$C:$FB,4)</f>
        <v>1680.5</v>
      </c>
      <c r="E160" s="75">
        <f>VLOOKUP($A160,'Data Vlaue (Cr)'!$C:$FB,5)</f>
        <v>1670.4</v>
      </c>
      <c r="F160" s="75">
        <f t="shared" si="12"/>
        <v>7.0999999999999091</v>
      </c>
      <c r="G160" s="75">
        <f t="shared" si="13"/>
        <v>0.60101160368937279</v>
      </c>
      <c r="H160" s="75">
        <f>VLOOKUP($A160,'Data Vlaue (Cr)'!$C:$FB,99)</f>
        <v>1427</v>
      </c>
      <c r="I160" s="75">
        <f>VLOOKUP($A160,'Data Vlaue (Cr)'!$C:$FB,100)</f>
        <v>1405</v>
      </c>
      <c r="J160" s="75">
        <f t="shared" si="14"/>
        <v>22</v>
      </c>
      <c r="K160" s="75">
        <f t="shared" si="15"/>
        <v>1.5416958654519972</v>
      </c>
      <c r="L160" s="75">
        <f>VLOOKUP($A160,'Data Vlaue (Cr)'!$C:$FB,67)</f>
        <v>245</v>
      </c>
      <c r="M160" s="75">
        <f>VLOOKUP($A160,'Data Vlaue (Cr)'!$C:$FB,68)</f>
        <v>175</v>
      </c>
      <c r="N160" s="75">
        <f t="shared" si="16"/>
        <v>70</v>
      </c>
      <c r="O160" s="75">
        <f t="shared" si="17"/>
        <v>28.571428571428569</v>
      </c>
      <c r="P160" s="75">
        <f>VLOOKUP($A160,'Data Vlaue (Cr)'!$C:$FB,119)</f>
        <v>0.36</v>
      </c>
      <c r="Q160" s="75">
        <f>VLOOKUP($A160,'Data Vlaue (Cr)'!$C:$FB,122)*100</f>
        <v>0</v>
      </c>
      <c r="R160" s="75">
        <f>VLOOKUP($A160,'Data Vlaue (Cr)'!$C:$FB,125)</f>
        <v>0.3</v>
      </c>
      <c r="S160" s="75">
        <f>VLOOKUP($A160,'Data Vlaue (Cr)'!$C:$FB,128)*100</f>
        <v>-42.309999999999995</v>
      </c>
    </row>
    <row r="161" spans="1:19" x14ac:dyDescent="0.25">
      <c r="A161" s="96" t="str">
        <f>'Data Vlaue (Cr)'!C152</f>
        <v>OFSS</v>
      </c>
      <c r="B161" s="75">
        <f>VLOOKUP($A161,'Data Vlaue (Cr)'!$C:$FB,2)</f>
        <v>75</v>
      </c>
      <c r="C161" s="75">
        <f>VLOOKUP($A161,'Data Vlaue (Cr)'!$C:$FB,8)</f>
        <v>9694.5</v>
      </c>
      <c r="D161" s="75">
        <f>VLOOKUP($A161,'Data Vlaue (Cr)'!$C:$FB,4)</f>
        <v>9645</v>
      </c>
      <c r="E161" s="75">
        <f>VLOOKUP($A161,'Data Vlaue (Cr)'!$C:$FB,5)</f>
        <v>9665.5</v>
      </c>
      <c r="F161" s="75">
        <f t="shared" si="12"/>
        <v>-49.5</v>
      </c>
      <c r="G161" s="75">
        <f t="shared" si="13"/>
        <v>-0.21254536029030585</v>
      </c>
      <c r="H161" s="75">
        <f>VLOOKUP($A161,'Data Vlaue (Cr)'!$C:$FB,99)</f>
        <v>2513</v>
      </c>
      <c r="I161" s="75">
        <f>VLOOKUP($A161,'Data Vlaue (Cr)'!$C:$FB,100)</f>
        <v>2470</v>
      </c>
      <c r="J161" s="75">
        <f t="shared" si="14"/>
        <v>43</v>
      </c>
      <c r="K161" s="75">
        <f t="shared" si="15"/>
        <v>1.7111022682053323</v>
      </c>
      <c r="L161" s="75">
        <f>VLOOKUP($A161,'Data Vlaue (Cr)'!$C:$FB,67)</f>
        <v>1592</v>
      </c>
      <c r="M161" s="75">
        <f>VLOOKUP($A161,'Data Vlaue (Cr)'!$C:$FB,68)</f>
        <v>1877</v>
      </c>
      <c r="N161" s="75">
        <f t="shared" si="16"/>
        <v>-285</v>
      </c>
      <c r="O161" s="75">
        <f t="shared" si="17"/>
        <v>-17.902010050251256</v>
      </c>
      <c r="P161" s="75">
        <f>VLOOKUP($A161,'Data Vlaue (Cr)'!$C:$FB,119)</f>
        <v>1.1000000000000001</v>
      </c>
      <c r="Q161" s="75">
        <f>VLOOKUP($A161,'Data Vlaue (Cr)'!$C:$FB,122)*100</f>
        <v>6.8000000000000007</v>
      </c>
      <c r="R161" s="75">
        <f>VLOOKUP($A161,'Data Vlaue (Cr)'!$C:$FB,125)</f>
        <v>1.76</v>
      </c>
      <c r="S161" s="75">
        <f>VLOOKUP($A161,'Data Vlaue (Cr)'!$C:$FB,128)*100</f>
        <v>141.1</v>
      </c>
    </row>
    <row r="162" spans="1:19" x14ac:dyDescent="0.25">
      <c r="A162" s="96" t="str">
        <f>'Data Vlaue (Cr)'!C153</f>
        <v>OIL</v>
      </c>
      <c r="B162" s="75">
        <f>VLOOKUP($A162,'Data Vlaue (Cr)'!$C:$FB,2)</f>
        <v>1400</v>
      </c>
      <c r="C162" s="75">
        <f>VLOOKUP($A162,'Data Vlaue (Cr)'!$C:$FB,8)</f>
        <v>450.25</v>
      </c>
      <c r="D162" s="75">
        <f>VLOOKUP($A162,'Data Vlaue (Cr)'!$C:$FB,4)</f>
        <v>453.25</v>
      </c>
      <c r="E162" s="75">
        <f>VLOOKUP($A162,'Data Vlaue (Cr)'!$C:$FB,5)</f>
        <v>478</v>
      </c>
      <c r="F162" s="75">
        <f t="shared" si="12"/>
        <v>3</v>
      </c>
      <c r="G162" s="75">
        <f t="shared" si="13"/>
        <v>-5.4605626034197465</v>
      </c>
      <c r="H162" s="75">
        <f>VLOOKUP($A162,'Data Vlaue (Cr)'!$C:$FB,99)</f>
        <v>1652</v>
      </c>
      <c r="I162" s="75">
        <f>VLOOKUP($A162,'Data Vlaue (Cr)'!$C:$FB,100)</f>
        <v>1512</v>
      </c>
      <c r="J162" s="75">
        <f t="shared" si="14"/>
        <v>140</v>
      </c>
      <c r="K162" s="75">
        <f t="shared" si="15"/>
        <v>8.4745762711864394</v>
      </c>
      <c r="L162" s="75">
        <f>VLOOKUP($A162,'Data Vlaue (Cr)'!$C:$FB,67)</f>
        <v>1247</v>
      </c>
      <c r="M162" s="75">
        <f>VLOOKUP($A162,'Data Vlaue (Cr)'!$C:$FB,68)</f>
        <v>834</v>
      </c>
      <c r="N162" s="75">
        <f t="shared" si="16"/>
        <v>413</v>
      </c>
      <c r="O162" s="75">
        <f t="shared" si="17"/>
        <v>33.119486768243782</v>
      </c>
      <c r="P162" s="75">
        <f>VLOOKUP($A162,'Data Vlaue (Cr)'!$C:$FB,119)</f>
        <v>0.45</v>
      </c>
      <c r="Q162" s="75">
        <f>VLOOKUP($A162,'Data Vlaue (Cr)'!$C:$FB,122)*100</f>
        <v>-13.459999999999999</v>
      </c>
      <c r="R162" s="75">
        <f>VLOOKUP($A162,'Data Vlaue (Cr)'!$C:$FB,125)</f>
        <v>0.52</v>
      </c>
      <c r="S162" s="75">
        <f>VLOOKUP($A162,'Data Vlaue (Cr)'!$C:$FB,128)*100</f>
        <v>30</v>
      </c>
    </row>
    <row r="163" spans="1:19" x14ac:dyDescent="0.25">
      <c r="A163" s="96" t="str">
        <f>'Data Vlaue (Cr)'!C154</f>
        <v>ONGC</v>
      </c>
      <c r="B163" s="75">
        <f>VLOOKUP($A163,'Data Vlaue (Cr)'!$C:$FB,2)</f>
        <v>2250</v>
      </c>
      <c r="C163" s="75">
        <f>VLOOKUP($A163,'Data Vlaue (Cr)'!$C:$FB,8)</f>
        <v>280.8</v>
      </c>
      <c r="D163" s="75">
        <f>VLOOKUP($A163,'Data Vlaue (Cr)'!$C:$FB,4)</f>
        <v>282.64999999999998</v>
      </c>
      <c r="E163" s="75">
        <f>VLOOKUP($A163,'Data Vlaue (Cr)'!$C:$FB,5)</f>
        <v>291.05</v>
      </c>
      <c r="F163" s="75">
        <f t="shared" si="12"/>
        <v>1.8499999999999659</v>
      </c>
      <c r="G163" s="75">
        <f t="shared" si="13"/>
        <v>-2.9718733415885494</v>
      </c>
      <c r="H163" s="75">
        <f>VLOOKUP($A163,'Data Vlaue (Cr)'!$C:$FB,99)</f>
        <v>5065</v>
      </c>
      <c r="I163" s="75">
        <f>VLOOKUP($A163,'Data Vlaue (Cr)'!$C:$FB,100)</f>
        <v>4688</v>
      </c>
      <c r="J163" s="75">
        <f t="shared" si="14"/>
        <v>377</v>
      </c>
      <c r="K163" s="75">
        <f t="shared" si="15"/>
        <v>7.4432379072063179</v>
      </c>
      <c r="L163" s="75">
        <f>VLOOKUP($A163,'Data Vlaue (Cr)'!$C:$FB,67)</f>
        <v>4278</v>
      </c>
      <c r="M163" s="75">
        <f>VLOOKUP($A163,'Data Vlaue (Cr)'!$C:$FB,68)</f>
        <v>2340</v>
      </c>
      <c r="N163" s="75">
        <f t="shared" si="16"/>
        <v>1938</v>
      </c>
      <c r="O163" s="75">
        <f t="shared" si="17"/>
        <v>45.301542776998602</v>
      </c>
      <c r="P163" s="75">
        <f>VLOOKUP($A163,'Data Vlaue (Cr)'!$C:$FB,119)</f>
        <v>0.33</v>
      </c>
      <c r="Q163" s="75">
        <f>VLOOKUP($A163,'Data Vlaue (Cr)'!$C:$FB,122)*100</f>
        <v>-10.81</v>
      </c>
      <c r="R163" s="75">
        <f>VLOOKUP($A163,'Data Vlaue (Cr)'!$C:$FB,125)</f>
        <v>0.41</v>
      </c>
      <c r="S163" s="75">
        <f>VLOOKUP($A163,'Data Vlaue (Cr)'!$C:$FB,128)*100</f>
        <v>20.59</v>
      </c>
    </row>
    <row r="164" spans="1:19" x14ac:dyDescent="0.25">
      <c r="A164" s="96" t="str">
        <f>'Data Vlaue (Cr)'!C155</f>
        <v>PAGEIND</v>
      </c>
      <c r="B164" s="75">
        <f>VLOOKUP($A164,'Data Vlaue (Cr)'!$C:$FB,2)</f>
        <v>15</v>
      </c>
      <c r="C164" s="75">
        <f>VLOOKUP($A164,'Data Vlaue (Cr)'!$C:$FB,8)</f>
        <v>37540</v>
      </c>
      <c r="D164" s="75">
        <f>VLOOKUP($A164,'Data Vlaue (Cr)'!$C:$FB,4)</f>
        <v>37750</v>
      </c>
      <c r="E164" s="75">
        <f>VLOOKUP($A164,'Data Vlaue (Cr)'!$C:$FB,5)</f>
        <v>37600</v>
      </c>
      <c r="F164" s="75">
        <f t="shared" si="12"/>
        <v>210</v>
      </c>
      <c r="G164" s="75">
        <f t="shared" si="13"/>
        <v>0.39735099337748342</v>
      </c>
      <c r="H164" s="75">
        <f>VLOOKUP($A164,'Data Vlaue (Cr)'!$C:$FB,99)</f>
        <v>1288</v>
      </c>
      <c r="I164" s="75">
        <f>VLOOKUP($A164,'Data Vlaue (Cr)'!$C:$FB,100)</f>
        <v>1291</v>
      </c>
      <c r="J164" s="75">
        <f t="shared" si="14"/>
        <v>-3</v>
      </c>
      <c r="K164" s="75">
        <f t="shared" si="15"/>
        <v>-0.23291925465838509</v>
      </c>
      <c r="L164" s="75">
        <f>VLOOKUP($A164,'Data Vlaue (Cr)'!$C:$FB,67)</f>
        <v>281</v>
      </c>
      <c r="M164" s="75">
        <f>VLOOKUP($A164,'Data Vlaue (Cr)'!$C:$FB,68)</f>
        <v>166</v>
      </c>
      <c r="N164" s="75">
        <f t="shared" si="16"/>
        <v>115</v>
      </c>
      <c r="O164" s="75">
        <f t="shared" si="17"/>
        <v>40.92526690391459</v>
      </c>
      <c r="P164" s="75">
        <f>VLOOKUP($A164,'Data Vlaue (Cr)'!$C:$FB,119)</f>
        <v>0.83</v>
      </c>
      <c r="Q164" s="75">
        <f>VLOOKUP($A164,'Data Vlaue (Cr)'!$C:$FB,122)*100</f>
        <v>7.79</v>
      </c>
      <c r="R164" s="75">
        <f>VLOOKUP($A164,'Data Vlaue (Cr)'!$C:$FB,125)</f>
        <v>2.21</v>
      </c>
      <c r="S164" s="75">
        <f>VLOOKUP($A164,'Data Vlaue (Cr)'!$C:$FB,128)*100</f>
        <v>466.66999999999996</v>
      </c>
    </row>
    <row r="165" spans="1:19" x14ac:dyDescent="0.25">
      <c r="A165" s="96" t="str">
        <f>'Data Vlaue (Cr)'!C156</f>
        <v>PATANJALI</v>
      </c>
      <c r="B165" s="75">
        <f>VLOOKUP($A165,'Data Vlaue (Cr)'!$C:$FB,2)</f>
        <v>900</v>
      </c>
      <c r="C165" s="75">
        <f>VLOOKUP($A165,'Data Vlaue (Cr)'!$C:$FB,8)</f>
        <v>460.05</v>
      </c>
      <c r="D165" s="75">
        <f>VLOOKUP($A165,'Data Vlaue (Cr)'!$C:$FB,4)</f>
        <v>461.85</v>
      </c>
      <c r="E165" s="75">
        <f>VLOOKUP($A165,'Data Vlaue (Cr)'!$C:$FB,5)</f>
        <v>457.4</v>
      </c>
      <c r="F165" s="75">
        <f t="shared" si="12"/>
        <v>1.8000000000000114</v>
      </c>
      <c r="G165" s="75">
        <f t="shared" si="13"/>
        <v>0.96351629316878751</v>
      </c>
      <c r="H165" s="75">
        <f>VLOOKUP($A165,'Data Vlaue (Cr)'!$C:$FB,99)</f>
        <v>1910</v>
      </c>
      <c r="I165" s="75">
        <f>VLOOKUP($A165,'Data Vlaue (Cr)'!$C:$FB,100)</f>
        <v>1916</v>
      </c>
      <c r="J165" s="75">
        <f t="shared" si="14"/>
        <v>-6</v>
      </c>
      <c r="K165" s="75">
        <f t="shared" si="15"/>
        <v>-0.31413612565445026</v>
      </c>
      <c r="L165" s="75">
        <f>VLOOKUP($A165,'Data Vlaue (Cr)'!$C:$FB,67)</f>
        <v>437</v>
      </c>
      <c r="M165" s="75">
        <f>VLOOKUP($A165,'Data Vlaue (Cr)'!$C:$FB,68)</f>
        <v>311</v>
      </c>
      <c r="N165" s="75">
        <f t="shared" si="16"/>
        <v>126</v>
      </c>
      <c r="O165" s="75">
        <f t="shared" si="17"/>
        <v>28.832951945080094</v>
      </c>
      <c r="P165" s="75">
        <f>VLOOKUP($A165,'Data Vlaue (Cr)'!$C:$FB,119)</f>
        <v>0.62</v>
      </c>
      <c r="Q165" s="75">
        <f>VLOOKUP($A165,'Data Vlaue (Cr)'!$C:$FB,122)*100</f>
        <v>3.3300000000000005</v>
      </c>
      <c r="R165" s="75">
        <f>VLOOKUP($A165,'Data Vlaue (Cr)'!$C:$FB,125)</f>
        <v>0.21</v>
      </c>
      <c r="S165" s="75">
        <f>VLOOKUP($A165,'Data Vlaue (Cr)'!$C:$FB,128)*100</f>
        <v>-46.150000000000006</v>
      </c>
    </row>
    <row r="166" spans="1:19" x14ac:dyDescent="0.25">
      <c r="A166" s="96" t="str">
        <f>'Data Vlaue (Cr)'!C157</f>
        <v>PAYTM</v>
      </c>
      <c r="B166" s="75">
        <f>VLOOKUP($A166,'Data Vlaue (Cr)'!$C:$FB,2)</f>
        <v>725</v>
      </c>
      <c r="C166" s="75">
        <f>VLOOKUP($A166,'Data Vlaue (Cr)'!$C:$FB,8)</f>
        <v>1110.5999999999999</v>
      </c>
      <c r="D166" s="75">
        <f>VLOOKUP($A166,'Data Vlaue (Cr)'!$C:$FB,4)</f>
        <v>1118</v>
      </c>
      <c r="E166" s="75">
        <f>VLOOKUP($A166,'Data Vlaue (Cr)'!$C:$FB,5)</f>
        <v>1092</v>
      </c>
      <c r="F166" s="75">
        <f t="shared" si="12"/>
        <v>7.4000000000000909</v>
      </c>
      <c r="G166" s="75">
        <f t="shared" si="13"/>
        <v>2.3255813953488373</v>
      </c>
      <c r="H166" s="75">
        <f>VLOOKUP($A166,'Data Vlaue (Cr)'!$C:$FB,99)</f>
        <v>3013</v>
      </c>
      <c r="I166" s="75">
        <f>VLOOKUP($A166,'Data Vlaue (Cr)'!$C:$FB,100)</f>
        <v>2820</v>
      </c>
      <c r="J166" s="75">
        <f t="shared" si="14"/>
        <v>193</v>
      </c>
      <c r="K166" s="75">
        <f t="shared" si="15"/>
        <v>6.4055758380351806</v>
      </c>
      <c r="L166" s="75">
        <f>VLOOKUP($A166,'Data Vlaue (Cr)'!$C:$FB,67)</f>
        <v>3083</v>
      </c>
      <c r="M166" s="75">
        <f>VLOOKUP($A166,'Data Vlaue (Cr)'!$C:$FB,68)</f>
        <v>1699</v>
      </c>
      <c r="N166" s="75">
        <f t="shared" si="16"/>
        <v>1384</v>
      </c>
      <c r="O166" s="75">
        <f t="shared" si="17"/>
        <v>44.891339604281541</v>
      </c>
      <c r="P166" s="75">
        <f>VLOOKUP($A166,'Data Vlaue (Cr)'!$C:$FB,119)</f>
        <v>0.85</v>
      </c>
      <c r="Q166" s="75">
        <f>VLOOKUP($A166,'Data Vlaue (Cr)'!$C:$FB,122)*100</f>
        <v>-9.5699999999999985</v>
      </c>
      <c r="R166" s="75">
        <f>VLOOKUP($A166,'Data Vlaue (Cr)'!$C:$FB,125)</f>
        <v>0.64</v>
      </c>
      <c r="S166" s="75">
        <f>VLOOKUP($A166,'Data Vlaue (Cr)'!$C:$FB,128)*100</f>
        <v>-5.88</v>
      </c>
    </row>
    <row r="167" spans="1:19" x14ac:dyDescent="0.25">
      <c r="A167" s="96" t="str">
        <f>'Data Vlaue (Cr)'!C158</f>
        <v>PERSISTENT</v>
      </c>
      <c r="B167" s="75">
        <f>VLOOKUP($A167,'Data Vlaue (Cr)'!$C:$FB,2)</f>
        <v>100</v>
      </c>
      <c r="C167" s="75">
        <f>VLOOKUP($A167,'Data Vlaue (Cr)'!$C:$FB,8)</f>
        <v>5014</v>
      </c>
      <c r="D167" s="75">
        <f>VLOOKUP($A167,'Data Vlaue (Cr)'!$C:$FB,4)</f>
        <v>5040.7</v>
      </c>
      <c r="E167" s="75">
        <f>VLOOKUP($A167,'Data Vlaue (Cr)'!$C:$FB,5)</f>
        <v>4838.7</v>
      </c>
      <c r="F167" s="75">
        <f t="shared" si="12"/>
        <v>26.699999999999818</v>
      </c>
      <c r="G167" s="75">
        <f t="shared" si="13"/>
        <v>4.0073799273910371</v>
      </c>
      <c r="H167" s="75">
        <f>VLOOKUP($A167,'Data Vlaue (Cr)'!$C:$FB,99)</f>
        <v>3156</v>
      </c>
      <c r="I167" s="75">
        <f>VLOOKUP($A167,'Data Vlaue (Cr)'!$C:$FB,100)</f>
        <v>3298</v>
      </c>
      <c r="J167" s="75">
        <f t="shared" si="14"/>
        <v>-142</v>
      </c>
      <c r="K167" s="75">
        <f t="shared" si="15"/>
        <v>-4.49936628643853</v>
      </c>
      <c r="L167" s="75">
        <f>VLOOKUP($A167,'Data Vlaue (Cr)'!$C:$FB,67)</f>
        <v>3137</v>
      </c>
      <c r="M167" s="75">
        <f>VLOOKUP($A167,'Data Vlaue (Cr)'!$C:$FB,68)</f>
        <v>1128</v>
      </c>
      <c r="N167" s="75">
        <f t="shared" si="16"/>
        <v>2009</v>
      </c>
      <c r="O167" s="75">
        <f t="shared" si="17"/>
        <v>64.042078418871526</v>
      </c>
      <c r="P167" s="75">
        <f>VLOOKUP($A167,'Data Vlaue (Cr)'!$C:$FB,119)</f>
        <v>0.65</v>
      </c>
      <c r="Q167" s="75">
        <f>VLOOKUP($A167,'Data Vlaue (Cr)'!$C:$FB,122)*100</f>
        <v>8.33</v>
      </c>
      <c r="R167" s="75">
        <f>VLOOKUP($A167,'Data Vlaue (Cr)'!$C:$FB,125)</f>
        <v>0.4</v>
      </c>
      <c r="S167" s="75">
        <f>VLOOKUP($A167,'Data Vlaue (Cr)'!$C:$FB,128)*100</f>
        <v>5.26</v>
      </c>
    </row>
    <row r="168" spans="1:19" x14ac:dyDescent="0.25">
      <c r="A168" s="96" t="str">
        <f>'Data Vlaue (Cr)'!C159</f>
        <v>PETRONET</v>
      </c>
      <c r="B168" s="75">
        <f>VLOOKUP($A168,'Data Vlaue (Cr)'!$C:$FB,2)</f>
        <v>1900</v>
      </c>
      <c r="C168" s="75">
        <f>VLOOKUP($A168,'Data Vlaue (Cr)'!$C:$FB,8)</f>
        <v>283.3</v>
      </c>
      <c r="D168" s="75">
        <f>VLOOKUP($A168,'Data Vlaue (Cr)'!$C:$FB,4)</f>
        <v>284.5</v>
      </c>
      <c r="E168" s="75">
        <f>VLOOKUP($A168,'Data Vlaue (Cr)'!$C:$FB,5)</f>
        <v>283.60000000000002</v>
      </c>
      <c r="F168" s="75">
        <f t="shared" si="12"/>
        <v>1.1999999999999886</v>
      </c>
      <c r="G168" s="75">
        <f t="shared" si="13"/>
        <v>0.31634446397187249</v>
      </c>
      <c r="H168" s="75">
        <f>VLOOKUP($A168,'Data Vlaue (Cr)'!$C:$FB,99)</f>
        <v>1614</v>
      </c>
      <c r="I168" s="75">
        <f>VLOOKUP($A168,'Data Vlaue (Cr)'!$C:$FB,100)</f>
        <v>1531</v>
      </c>
      <c r="J168" s="75">
        <f t="shared" si="14"/>
        <v>83</v>
      </c>
      <c r="K168" s="75">
        <f t="shared" si="15"/>
        <v>5.1425030978934325</v>
      </c>
      <c r="L168" s="75">
        <f>VLOOKUP($A168,'Data Vlaue (Cr)'!$C:$FB,67)</f>
        <v>1105</v>
      </c>
      <c r="M168" s="75">
        <f>VLOOKUP($A168,'Data Vlaue (Cr)'!$C:$FB,68)</f>
        <v>2693</v>
      </c>
      <c r="N168" s="75">
        <f t="shared" si="16"/>
        <v>-1588</v>
      </c>
      <c r="O168" s="75">
        <f t="shared" si="17"/>
        <v>-143.71040723981901</v>
      </c>
      <c r="P168" s="75">
        <f>VLOOKUP($A168,'Data Vlaue (Cr)'!$C:$FB,119)</f>
        <v>0.85</v>
      </c>
      <c r="Q168" s="75">
        <f>VLOOKUP($A168,'Data Vlaue (Cr)'!$C:$FB,122)*100</f>
        <v>-8.6</v>
      </c>
      <c r="R168" s="75">
        <f>VLOOKUP($A168,'Data Vlaue (Cr)'!$C:$FB,125)</f>
        <v>0.28000000000000003</v>
      </c>
      <c r="S168" s="75">
        <f>VLOOKUP($A168,'Data Vlaue (Cr)'!$C:$FB,128)*100</f>
        <v>-24.32</v>
      </c>
    </row>
    <row r="169" spans="1:19" x14ac:dyDescent="0.25">
      <c r="A169" s="96" t="str">
        <f>'Data Vlaue (Cr)'!C160</f>
        <v>PFC</v>
      </c>
      <c r="B169" s="75">
        <f>VLOOKUP($A169,'Data Vlaue (Cr)'!$C:$FB,2)</f>
        <v>1300</v>
      </c>
      <c r="C169" s="75">
        <f>VLOOKUP($A169,'Data Vlaue (Cr)'!$C:$FB,8)</f>
        <v>463.9</v>
      </c>
      <c r="D169" s="75">
        <f>VLOOKUP($A169,'Data Vlaue (Cr)'!$C:$FB,4)</f>
        <v>466.35</v>
      </c>
      <c r="E169" s="75">
        <f>VLOOKUP($A169,'Data Vlaue (Cr)'!$C:$FB,5)</f>
        <v>459.1</v>
      </c>
      <c r="F169" s="75">
        <f t="shared" si="12"/>
        <v>2.4500000000000455</v>
      </c>
      <c r="G169" s="75">
        <f t="shared" si="13"/>
        <v>1.5546263535970837</v>
      </c>
      <c r="H169" s="75">
        <f>VLOOKUP($A169,'Data Vlaue (Cr)'!$C:$FB,99)</f>
        <v>4213</v>
      </c>
      <c r="I169" s="75">
        <f>VLOOKUP($A169,'Data Vlaue (Cr)'!$C:$FB,100)</f>
        <v>4155</v>
      </c>
      <c r="J169" s="75">
        <f t="shared" si="14"/>
        <v>58</v>
      </c>
      <c r="K169" s="75">
        <f t="shared" si="15"/>
        <v>1.37669119392357</v>
      </c>
      <c r="L169" s="75">
        <f>VLOOKUP($A169,'Data Vlaue (Cr)'!$C:$FB,67)</f>
        <v>1355</v>
      </c>
      <c r="M169" s="75">
        <f>VLOOKUP($A169,'Data Vlaue (Cr)'!$C:$FB,68)</f>
        <v>2122</v>
      </c>
      <c r="N169" s="75">
        <f t="shared" si="16"/>
        <v>-767</v>
      </c>
      <c r="O169" s="75">
        <f t="shared" si="17"/>
        <v>-56.605166051660518</v>
      </c>
      <c r="P169" s="75">
        <f>VLOOKUP($A169,'Data Vlaue (Cr)'!$C:$FB,119)</f>
        <v>0.57999999999999996</v>
      </c>
      <c r="Q169" s="75">
        <f>VLOOKUP($A169,'Data Vlaue (Cr)'!$C:$FB,122)*100</f>
        <v>0</v>
      </c>
      <c r="R169" s="75">
        <f>VLOOKUP($A169,'Data Vlaue (Cr)'!$C:$FB,125)</f>
        <v>0.44</v>
      </c>
      <c r="S169" s="75">
        <f>VLOOKUP($A169,'Data Vlaue (Cr)'!$C:$FB,128)*100</f>
        <v>2.33</v>
      </c>
    </row>
    <row r="170" spans="1:19" x14ac:dyDescent="0.25">
      <c r="A170" s="96" t="str">
        <f>'Data Vlaue (Cr)'!C161</f>
        <v>PGEL</v>
      </c>
      <c r="B170" s="75">
        <f>VLOOKUP($A170,'Data Vlaue (Cr)'!$C:$FB,2)</f>
        <v>950</v>
      </c>
      <c r="C170" s="75">
        <f>VLOOKUP($A170,'Data Vlaue (Cr)'!$C:$FB,8)</f>
        <v>544.5</v>
      </c>
      <c r="D170" s="75">
        <f>VLOOKUP($A170,'Data Vlaue (Cr)'!$C:$FB,4)</f>
        <v>548.4</v>
      </c>
      <c r="E170" s="75">
        <f>VLOOKUP($A170,'Data Vlaue (Cr)'!$C:$FB,5)</f>
        <v>534.15</v>
      </c>
      <c r="F170" s="75">
        <f t="shared" si="12"/>
        <v>3.8999999999999773</v>
      </c>
      <c r="G170" s="75">
        <f t="shared" si="13"/>
        <v>2.598468271334792</v>
      </c>
      <c r="H170" s="75">
        <f>VLOOKUP($A170,'Data Vlaue (Cr)'!$C:$FB,99)</f>
        <v>1077</v>
      </c>
      <c r="I170" s="75">
        <f>VLOOKUP($A170,'Data Vlaue (Cr)'!$C:$FB,100)</f>
        <v>1060</v>
      </c>
      <c r="J170" s="75">
        <f t="shared" si="14"/>
        <v>17</v>
      </c>
      <c r="K170" s="75">
        <f t="shared" si="15"/>
        <v>1.5784586815227482</v>
      </c>
      <c r="L170" s="75">
        <f>VLOOKUP($A170,'Data Vlaue (Cr)'!$C:$FB,67)</f>
        <v>568</v>
      </c>
      <c r="M170" s="75">
        <f>VLOOKUP($A170,'Data Vlaue (Cr)'!$C:$FB,68)</f>
        <v>444</v>
      </c>
      <c r="N170" s="75">
        <f t="shared" si="16"/>
        <v>124</v>
      </c>
      <c r="O170" s="75">
        <f t="shared" si="17"/>
        <v>21.830985915492956</v>
      </c>
      <c r="P170" s="75">
        <f>VLOOKUP($A170,'Data Vlaue (Cr)'!$C:$FB,119)</f>
        <v>0.83</v>
      </c>
      <c r="Q170" s="75">
        <f>VLOOKUP($A170,'Data Vlaue (Cr)'!$C:$FB,122)*100</f>
        <v>-4.5999999999999996</v>
      </c>
      <c r="R170" s="75">
        <f>VLOOKUP($A170,'Data Vlaue (Cr)'!$C:$FB,125)</f>
        <v>0.44</v>
      </c>
      <c r="S170" s="75">
        <f>VLOOKUP($A170,'Data Vlaue (Cr)'!$C:$FB,128)*100</f>
        <v>33.33</v>
      </c>
    </row>
    <row r="171" spans="1:19" x14ac:dyDescent="0.25">
      <c r="A171" s="96" t="str">
        <f>'Data Vlaue (Cr)'!C162</f>
        <v>PHOENIXLTD</v>
      </c>
      <c r="B171" s="75">
        <f>VLOOKUP($A171,'Data Vlaue (Cr)'!$C:$FB,2)</f>
        <v>350</v>
      </c>
      <c r="C171" s="75">
        <f>VLOOKUP($A171,'Data Vlaue (Cr)'!$C:$FB,8)</f>
        <v>1839.1</v>
      </c>
      <c r="D171" s="75">
        <f>VLOOKUP($A171,'Data Vlaue (Cr)'!$C:$FB,4)</f>
        <v>1846.4</v>
      </c>
      <c r="E171" s="75">
        <f>VLOOKUP($A171,'Data Vlaue (Cr)'!$C:$FB,5)</f>
        <v>1804.7</v>
      </c>
      <c r="F171" s="75">
        <f t="shared" si="12"/>
        <v>7.3000000000001819</v>
      </c>
      <c r="G171" s="75">
        <f t="shared" si="13"/>
        <v>2.258448873483538</v>
      </c>
      <c r="H171" s="75">
        <f>VLOOKUP($A171,'Data Vlaue (Cr)'!$C:$FB,99)</f>
        <v>1077</v>
      </c>
      <c r="I171" s="75">
        <f>VLOOKUP($A171,'Data Vlaue (Cr)'!$C:$FB,100)</f>
        <v>1068</v>
      </c>
      <c r="J171" s="75">
        <f t="shared" si="14"/>
        <v>9</v>
      </c>
      <c r="K171" s="75">
        <f t="shared" si="15"/>
        <v>0.83565459610027859</v>
      </c>
      <c r="L171" s="75">
        <f>VLOOKUP($A171,'Data Vlaue (Cr)'!$C:$FB,67)</f>
        <v>408</v>
      </c>
      <c r="M171" s="75">
        <f>VLOOKUP($A171,'Data Vlaue (Cr)'!$C:$FB,68)</f>
        <v>321</v>
      </c>
      <c r="N171" s="75">
        <f t="shared" si="16"/>
        <v>87</v>
      </c>
      <c r="O171" s="75">
        <f t="shared" si="17"/>
        <v>21.323529411764707</v>
      </c>
      <c r="P171" s="75">
        <f>VLOOKUP($A171,'Data Vlaue (Cr)'!$C:$FB,119)</f>
        <v>0.62</v>
      </c>
      <c r="Q171" s="75">
        <f>VLOOKUP($A171,'Data Vlaue (Cr)'!$C:$FB,122)*100</f>
        <v>-7.46</v>
      </c>
      <c r="R171" s="75">
        <f>VLOOKUP($A171,'Data Vlaue (Cr)'!$C:$FB,125)</f>
        <v>0.28999999999999998</v>
      </c>
      <c r="S171" s="75">
        <f>VLOOKUP($A171,'Data Vlaue (Cr)'!$C:$FB,128)*100</f>
        <v>-39.58</v>
      </c>
    </row>
    <row r="172" spans="1:19" x14ac:dyDescent="0.25">
      <c r="A172" s="96" t="str">
        <f>'Data Vlaue (Cr)'!C163</f>
        <v>PIDILITIND</v>
      </c>
      <c r="B172" s="75">
        <f>VLOOKUP($A172,'Data Vlaue (Cr)'!$C:$FB,2)</f>
        <v>500</v>
      </c>
      <c r="C172" s="75">
        <f>VLOOKUP($A172,'Data Vlaue (Cr)'!$C:$FB,8)</f>
        <v>1421.5</v>
      </c>
      <c r="D172" s="75">
        <f>VLOOKUP($A172,'Data Vlaue (Cr)'!$C:$FB,4)</f>
        <v>1431.3</v>
      </c>
      <c r="E172" s="75">
        <f>VLOOKUP($A172,'Data Vlaue (Cr)'!$C:$FB,5)</f>
        <v>1372.1</v>
      </c>
      <c r="F172" s="75">
        <f t="shared" si="12"/>
        <v>9.7999999999999545</v>
      </c>
      <c r="G172" s="75">
        <f t="shared" si="13"/>
        <v>4.1361000489065916</v>
      </c>
      <c r="H172" s="75">
        <f>VLOOKUP($A172,'Data Vlaue (Cr)'!$C:$FB,99)</f>
        <v>1477</v>
      </c>
      <c r="I172" s="75">
        <f>VLOOKUP($A172,'Data Vlaue (Cr)'!$C:$FB,100)</f>
        <v>1307</v>
      </c>
      <c r="J172" s="75">
        <f t="shared" si="14"/>
        <v>170</v>
      </c>
      <c r="K172" s="75">
        <f t="shared" si="15"/>
        <v>11.509817197020988</v>
      </c>
      <c r="L172" s="75">
        <f>VLOOKUP($A172,'Data Vlaue (Cr)'!$C:$FB,67)</f>
        <v>1874</v>
      </c>
      <c r="M172" s="75">
        <f>VLOOKUP($A172,'Data Vlaue (Cr)'!$C:$FB,68)</f>
        <v>323</v>
      </c>
      <c r="N172" s="75">
        <f t="shared" si="16"/>
        <v>1551</v>
      </c>
      <c r="O172" s="75">
        <f t="shared" si="17"/>
        <v>82.764140875133407</v>
      </c>
      <c r="P172" s="75">
        <f>VLOOKUP($A172,'Data Vlaue (Cr)'!$C:$FB,119)</f>
        <v>0.56999999999999995</v>
      </c>
      <c r="Q172" s="75">
        <f>VLOOKUP($A172,'Data Vlaue (Cr)'!$C:$FB,122)*100</f>
        <v>-6.5600000000000005</v>
      </c>
      <c r="R172" s="75">
        <f>VLOOKUP($A172,'Data Vlaue (Cr)'!$C:$FB,125)</f>
        <v>0.37</v>
      </c>
      <c r="S172" s="75">
        <f>VLOOKUP($A172,'Data Vlaue (Cr)'!$C:$FB,128)*100</f>
        <v>-39.340000000000003</v>
      </c>
    </row>
    <row r="173" spans="1:19" x14ac:dyDescent="0.25">
      <c r="A173" s="96" t="str">
        <f>'Data Vlaue (Cr)'!C164</f>
        <v>PIIND</v>
      </c>
      <c r="B173" s="75">
        <f>VLOOKUP($A173,'Data Vlaue (Cr)'!$C:$FB,2)</f>
        <v>175</v>
      </c>
      <c r="C173" s="75">
        <f>VLOOKUP($A173,'Data Vlaue (Cr)'!$C:$FB,8)</f>
        <v>3071</v>
      </c>
      <c r="D173" s="75">
        <f>VLOOKUP($A173,'Data Vlaue (Cr)'!$C:$FB,4)</f>
        <v>3091.6</v>
      </c>
      <c r="E173" s="75">
        <f>VLOOKUP($A173,'Data Vlaue (Cr)'!$C:$FB,5)</f>
        <v>3027</v>
      </c>
      <c r="F173" s="75">
        <f t="shared" si="12"/>
        <v>20.599999999999909</v>
      </c>
      <c r="G173" s="75">
        <f t="shared" si="13"/>
        <v>2.0895329279337531</v>
      </c>
      <c r="H173" s="75">
        <f>VLOOKUP($A173,'Data Vlaue (Cr)'!$C:$FB,99)</f>
        <v>1322</v>
      </c>
      <c r="I173" s="75">
        <f>VLOOKUP($A173,'Data Vlaue (Cr)'!$C:$FB,100)</f>
        <v>1310</v>
      </c>
      <c r="J173" s="75">
        <f t="shared" si="14"/>
        <v>12</v>
      </c>
      <c r="K173" s="75">
        <f t="shared" si="15"/>
        <v>0.90771558245083206</v>
      </c>
      <c r="L173" s="75">
        <f>VLOOKUP($A173,'Data Vlaue (Cr)'!$C:$FB,67)</f>
        <v>536</v>
      </c>
      <c r="M173" s="75">
        <f>VLOOKUP($A173,'Data Vlaue (Cr)'!$C:$FB,68)</f>
        <v>266</v>
      </c>
      <c r="N173" s="75">
        <f t="shared" si="16"/>
        <v>270</v>
      </c>
      <c r="O173" s="75">
        <f t="shared" si="17"/>
        <v>50.373134328358205</v>
      </c>
      <c r="P173" s="75">
        <f>VLOOKUP($A173,'Data Vlaue (Cr)'!$C:$FB,119)</f>
        <v>0.52</v>
      </c>
      <c r="Q173" s="75">
        <f>VLOOKUP($A173,'Data Vlaue (Cr)'!$C:$FB,122)*100</f>
        <v>-3.6999999999999997</v>
      </c>
      <c r="R173" s="75">
        <f>VLOOKUP($A173,'Data Vlaue (Cr)'!$C:$FB,125)</f>
        <v>0.28000000000000003</v>
      </c>
      <c r="S173" s="75">
        <f>VLOOKUP($A173,'Data Vlaue (Cr)'!$C:$FB,128)*100</f>
        <v>-9.68</v>
      </c>
    </row>
    <row r="174" spans="1:19" x14ac:dyDescent="0.25">
      <c r="A174" s="96" t="str">
        <f>'Data Vlaue (Cr)'!C165</f>
        <v>PNB</v>
      </c>
      <c r="B174" s="75">
        <f>VLOOKUP($A174,'Data Vlaue (Cr)'!$C:$FB,2)</f>
        <v>8000</v>
      </c>
      <c r="C174" s="75">
        <f>VLOOKUP($A174,'Data Vlaue (Cr)'!$C:$FB,8)</f>
        <v>110.18</v>
      </c>
      <c r="D174" s="75">
        <f>VLOOKUP($A174,'Data Vlaue (Cr)'!$C:$FB,4)</f>
        <v>110.95</v>
      </c>
      <c r="E174" s="75">
        <f>VLOOKUP($A174,'Data Vlaue (Cr)'!$C:$FB,5)</f>
        <v>108.16</v>
      </c>
      <c r="F174" s="75">
        <f t="shared" si="12"/>
        <v>0.76999999999999602</v>
      </c>
      <c r="G174" s="75">
        <f t="shared" si="13"/>
        <v>2.5146462370437188</v>
      </c>
      <c r="H174" s="75">
        <f>VLOOKUP($A174,'Data Vlaue (Cr)'!$C:$FB,99)</f>
        <v>5265</v>
      </c>
      <c r="I174" s="75">
        <f>VLOOKUP($A174,'Data Vlaue (Cr)'!$C:$FB,100)</f>
        <v>5116</v>
      </c>
      <c r="J174" s="75">
        <f t="shared" si="14"/>
        <v>149</v>
      </c>
      <c r="K174" s="75">
        <f t="shared" si="15"/>
        <v>2.8300094966761633</v>
      </c>
      <c r="L174" s="75">
        <f>VLOOKUP($A174,'Data Vlaue (Cr)'!$C:$FB,67)</f>
        <v>5118</v>
      </c>
      <c r="M174" s="75">
        <f>VLOOKUP($A174,'Data Vlaue (Cr)'!$C:$FB,68)</f>
        <v>8562</v>
      </c>
      <c r="N174" s="75">
        <f t="shared" si="16"/>
        <v>-3444</v>
      </c>
      <c r="O174" s="75">
        <f t="shared" si="17"/>
        <v>-67.291910902696358</v>
      </c>
      <c r="P174" s="75">
        <f>VLOOKUP($A174,'Data Vlaue (Cr)'!$C:$FB,119)</f>
        <v>0.68</v>
      </c>
      <c r="Q174" s="75">
        <f>VLOOKUP($A174,'Data Vlaue (Cr)'!$C:$FB,122)*100</f>
        <v>1.49</v>
      </c>
      <c r="R174" s="75">
        <f>VLOOKUP($A174,'Data Vlaue (Cr)'!$C:$FB,125)</f>
        <v>0.67</v>
      </c>
      <c r="S174" s="75">
        <f>VLOOKUP($A174,'Data Vlaue (Cr)'!$C:$FB,128)*100</f>
        <v>8.06</v>
      </c>
    </row>
    <row r="175" spans="1:19" x14ac:dyDescent="0.25">
      <c r="A175" s="96" t="str">
        <f>'Data Vlaue (Cr)'!C166</f>
        <v>PNBHOUSING</v>
      </c>
      <c r="B175" s="75">
        <f>VLOOKUP($A175,'Data Vlaue (Cr)'!$C:$FB,2)</f>
        <v>650</v>
      </c>
      <c r="C175" s="75">
        <f>VLOOKUP($A175,'Data Vlaue (Cr)'!$C:$FB,8)</f>
        <v>1065.0999999999999</v>
      </c>
      <c r="D175" s="75">
        <f>VLOOKUP($A175,'Data Vlaue (Cr)'!$C:$FB,4)</f>
        <v>1070.4000000000001</v>
      </c>
      <c r="E175" s="75">
        <f>VLOOKUP($A175,'Data Vlaue (Cr)'!$C:$FB,5)</f>
        <v>1048.3</v>
      </c>
      <c r="F175" s="75">
        <f t="shared" si="12"/>
        <v>5.3000000000001819</v>
      </c>
      <c r="G175" s="75">
        <f t="shared" si="13"/>
        <v>2.0646487294469482</v>
      </c>
      <c r="H175" s="75">
        <f>VLOOKUP($A175,'Data Vlaue (Cr)'!$C:$FB,99)</f>
        <v>1547</v>
      </c>
      <c r="I175" s="75">
        <f>VLOOKUP($A175,'Data Vlaue (Cr)'!$C:$FB,100)</f>
        <v>1488</v>
      </c>
      <c r="J175" s="75">
        <f t="shared" si="14"/>
        <v>59</v>
      </c>
      <c r="K175" s="75">
        <f t="shared" si="15"/>
        <v>3.8138332255979317</v>
      </c>
      <c r="L175" s="75">
        <f>VLOOKUP($A175,'Data Vlaue (Cr)'!$C:$FB,67)</f>
        <v>592</v>
      </c>
      <c r="M175" s="75">
        <f>VLOOKUP($A175,'Data Vlaue (Cr)'!$C:$FB,68)</f>
        <v>270</v>
      </c>
      <c r="N175" s="75">
        <f t="shared" si="16"/>
        <v>322</v>
      </c>
      <c r="O175" s="75">
        <f t="shared" si="17"/>
        <v>54.391891891891895</v>
      </c>
      <c r="P175" s="75">
        <f>VLOOKUP($A175,'Data Vlaue (Cr)'!$C:$FB,119)</f>
        <v>0.59</v>
      </c>
      <c r="Q175" s="75">
        <f>VLOOKUP($A175,'Data Vlaue (Cr)'!$C:$FB,122)*100</f>
        <v>-7.8100000000000005</v>
      </c>
      <c r="R175" s="75">
        <f>VLOOKUP($A175,'Data Vlaue (Cr)'!$C:$FB,125)</f>
        <v>0.26</v>
      </c>
      <c r="S175" s="75">
        <f>VLOOKUP($A175,'Data Vlaue (Cr)'!$C:$FB,128)*100</f>
        <v>-21.21</v>
      </c>
    </row>
    <row r="176" spans="1:19" x14ac:dyDescent="0.25">
      <c r="A176" s="96" t="str">
        <f>'Data Vlaue (Cr)'!C167</f>
        <v>POLICYBZR</v>
      </c>
      <c r="B176" s="75">
        <f>VLOOKUP($A176,'Data Vlaue (Cr)'!$C:$FB,2)</f>
        <v>350</v>
      </c>
      <c r="C176" s="75">
        <f>VLOOKUP($A176,'Data Vlaue (Cr)'!$C:$FB,8)</f>
        <v>1701.8</v>
      </c>
      <c r="D176" s="75">
        <f>VLOOKUP($A176,'Data Vlaue (Cr)'!$C:$FB,4)</f>
        <v>1714.1</v>
      </c>
      <c r="E176" s="75">
        <f>VLOOKUP($A176,'Data Vlaue (Cr)'!$C:$FB,5)</f>
        <v>1689.7</v>
      </c>
      <c r="F176" s="75">
        <f t="shared" si="12"/>
        <v>12.299999999999955</v>
      </c>
      <c r="G176" s="75">
        <f t="shared" si="13"/>
        <v>1.4234875444839779</v>
      </c>
      <c r="H176" s="75">
        <f>VLOOKUP($A176,'Data Vlaue (Cr)'!$C:$FB,99)</f>
        <v>2009</v>
      </c>
      <c r="I176" s="75">
        <f>VLOOKUP($A176,'Data Vlaue (Cr)'!$C:$FB,100)</f>
        <v>1773</v>
      </c>
      <c r="J176" s="75">
        <f t="shared" si="14"/>
        <v>236</v>
      </c>
      <c r="K176" s="75">
        <f t="shared" si="15"/>
        <v>11.747137879542061</v>
      </c>
      <c r="L176" s="75">
        <f>VLOOKUP($A176,'Data Vlaue (Cr)'!$C:$FB,67)</f>
        <v>2244</v>
      </c>
      <c r="M176" s="75">
        <f>VLOOKUP($A176,'Data Vlaue (Cr)'!$C:$FB,68)</f>
        <v>533</v>
      </c>
      <c r="N176" s="75">
        <f t="shared" si="16"/>
        <v>1711</v>
      </c>
      <c r="O176" s="75">
        <f t="shared" si="17"/>
        <v>76.247771836007132</v>
      </c>
      <c r="P176" s="75">
        <f>VLOOKUP($A176,'Data Vlaue (Cr)'!$C:$FB,119)</f>
        <v>0.63</v>
      </c>
      <c r="Q176" s="75">
        <f>VLOOKUP($A176,'Data Vlaue (Cr)'!$C:$FB,122)*100</f>
        <v>6.78</v>
      </c>
      <c r="R176" s="75">
        <f>VLOOKUP($A176,'Data Vlaue (Cr)'!$C:$FB,125)</f>
        <v>0.61</v>
      </c>
      <c r="S176" s="75">
        <f>VLOOKUP($A176,'Data Vlaue (Cr)'!$C:$FB,128)*100</f>
        <v>45.24</v>
      </c>
    </row>
    <row r="177" spans="1:19" x14ac:dyDescent="0.25">
      <c r="A177" s="96" t="str">
        <f>'Data Vlaue (Cr)'!C168</f>
        <v>POLYCAB</v>
      </c>
      <c r="B177" s="75">
        <f>VLOOKUP($A177,'Data Vlaue (Cr)'!$C:$FB,2)</f>
        <v>125</v>
      </c>
      <c r="C177" s="75">
        <f>VLOOKUP($A177,'Data Vlaue (Cr)'!$C:$FB,8)</f>
        <v>8415.5</v>
      </c>
      <c r="D177" s="75">
        <f>VLOOKUP($A177,'Data Vlaue (Cr)'!$C:$FB,4)</f>
        <v>8472</v>
      </c>
      <c r="E177" s="75">
        <f>VLOOKUP($A177,'Data Vlaue (Cr)'!$C:$FB,5)</f>
        <v>8366.5</v>
      </c>
      <c r="F177" s="75">
        <f t="shared" ref="F177:F185" si="18">D177-C177</f>
        <v>56.5</v>
      </c>
      <c r="G177" s="75">
        <f t="shared" ref="G177:G185" si="19">(D177-E177)/D177*100</f>
        <v>1.2452785646836639</v>
      </c>
      <c r="H177" s="75">
        <f>VLOOKUP($A177,'Data Vlaue (Cr)'!$C:$FB,99)</f>
        <v>3963</v>
      </c>
      <c r="I177" s="75">
        <f>VLOOKUP($A177,'Data Vlaue (Cr)'!$C:$FB,100)</f>
        <v>3451</v>
      </c>
      <c r="J177" s="75">
        <f t="shared" ref="J177:J185" si="20">H177-I177</f>
        <v>512</v>
      </c>
      <c r="K177" s="75">
        <f t="shared" ref="K177:K185" si="21">J177/H177*100</f>
        <v>12.919505425182942</v>
      </c>
      <c r="L177" s="75">
        <f>VLOOKUP($A177,'Data Vlaue (Cr)'!$C:$FB,67)</f>
        <v>9142</v>
      </c>
      <c r="M177" s="75">
        <f>VLOOKUP($A177,'Data Vlaue (Cr)'!$C:$FB,68)</f>
        <v>3212</v>
      </c>
      <c r="N177" s="75">
        <f t="shared" ref="N177:N185" si="22">L177-M177</f>
        <v>5930</v>
      </c>
      <c r="O177" s="75">
        <f t="shared" ref="O177:O185" si="23">N177/L177*100</f>
        <v>64.865456136512805</v>
      </c>
      <c r="P177" s="75">
        <f>VLOOKUP($A177,'Data Vlaue (Cr)'!$C:$FB,119)</f>
        <v>1.0900000000000001</v>
      </c>
      <c r="Q177" s="75">
        <f>VLOOKUP($A177,'Data Vlaue (Cr)'!$C:$FB,122)*100</f>
        <v>-18.05</v>
      </c>
      <c r="R177" s="75">
        <f>VLOOKUP($A177,'Data Vlaue (Cr)'!$C:$FB,125)</f>
        <v>0.62</v>
      </c>
      <c r="S177" s="75">
        <f>VLOOKUP($A177,'Data Vlaue (Cr)'!$C:$FB,128)*100</f>
        <v>16.98</v>
      </c>
    </row>
    <row r="178" spans="1:19" x14ac:dyDescent="0.25">
      <c r="A178" s="96" t="str">
        <f>'Data Vlaue (Cr)'!C169</f>
        <v>POWERGRID</v>
      </c>
      <c r="B178" s="75">
        <f>VLOOKUP($A178,'Data Vlaue (Cr)'!$C:$FB,2)</f>
        <v>1900</v>
      </c>
      <c r="C178" s="75">
        <f>VLOOKUP($A178,'Data Vlaue (Cr)'!$C:$FB,8)</f>
        <v>315.95</v>
      </c>
      <c r="D178" s="75">
        <f>VLOOKUP($A178,'Data Vlaue (Cr)'!$C:$FB,4)</f>
        <v>316.75</v>
      </c>
      <c r="E178" s="75">
        <f>VLOOKUP($A178,'Data Vlaue (Cr)'!$C:$FB,5)</f>
        <v>319.64999999999998</v>
      </c>
      <c r="F178" s="75">
        <f t="shared" si="18"/>
        <v>0.80000000000001137</v>
      </c>
      <c r="G178" s="75">
        <f t="shared" si="19"/>
        <v>-0.91554853985792495</v>
      </c>
      <c r="H178" s="75">
        <f>VLOOKUP($A178,'Data Vlaue (Cr)'!$C:$FB,99)</f>
        <v>3747</v>
      </c>
      <c r="I178" s="75">
        <f>VLOOKUP($A178,'Data Vlaue (Cr)'!$C:$FB,100)</f>
        <v>3664</v>
      </c>
      <c r="J178" s="75">
        <f t="shared" si="20"/>
        <v>83</v>
      </c>
      <c r="K178" s="75">
        <f t="shared" si="21"/>
        <v>2.2151054176674676</v>
      </c>
      <c r="L178" s="75">
        <f>VLOOKUP($A178,'Data Vlaue (Cr)'!$C:$FB,67)</f>
        <v>1217</v>
      </c>
      <c r="M178" s="75">
        <f>VLOOKUP($A178,'Data Vlaue (Cr)'!$C:$FB,68)</f>
        <v>1537</v>
      </c>
      <c r="N178" s="75">
        <f t="shared" si="22"/>
        <v>-320</v>
      </c>
      <c r="O178" s="75">
        <f t="shared" si="23"/>
        <v>-26.294165981922763</v>
      </c>
      <c r="P178" s="75">
        <f>VLOOKUP($A178,'Data Vlaue (Cr)'!$C:$FB,119)</f>
        <v>0.5</v>
      </c>
      <c r="Q178" s="75">
        <f>VLOOKUP($A178,'Data Vlaue (Cr)'!$C:$FB,122)*100</f>
        <v>-5.66</v>
      </c>
      <c r="R178" s="75">
        <f>VLOOKUP($A178,'Data Vlaue (Cr)'!$C:$FB,125)</f>
        <v>0.45</v>
      </c>
      <c r="S178" s="75">
        <f>VLOOKUP($A178,'Data Vlaue (Cr)'!$C:$FB,128)*100</f>
        <v>12.5</v>
      </c>
    </row>
    <row r="179" spans="1:19" x14ac:dyDescent="0.25">
      <c r="A179" s="96" t="str">
        <f>'Data Vlaue (Cr)'!C170</f>
        <v>POWERINDIA</v>
      </c>
      <c r="B179" s="75">
        <f>VLOOKUP($A179,'Data Vlaue (Cr)'!$C:$FB,2)</f>
        <v>25</v>
      </c>
      <c r="C179" s="75">
        <f>VLOOKUP($A179,'Data Vlaue (Cr)'!$C:$FB,8)</f>
        <v>33380</v>
      </c>
      <c r="D179" s="75">
        <f>VLOOKUP($A179,'Data Vlaue (Cr)'!$C:$FB,4)</f>
        <v>33600</v>
      </c>
      <c r="E179" s="75">
        <f>VLOOKUP($A179,'Data Vlaue (Cr)'!$C:$FB,5)</f>
        <v>34315</v>
      </c>
      <c r="F179" s="75">
        <f t="shared" si="18"/>
        <v>220</v>
      </c>
      <c r="G179" s="75">
        <f t="shared" si="19"/>
        <v>-2.1279761904761907</v>
      </c>
      <c r="H179" s="75">
        <f>VLOOKUP($A179,'Data Vlaue (Cr)'!$C:$FB,99)</f>
        <v>2830</v>
      </c>
      <c r="I179" s="75">
        <f>VLOOKUP($A179,'Data Vlaue (Cr)'!$C:$FB,100)</f>
        <v>2827</v>
      </c>
      <c r="J179" s="75">
        <f t="shared" si="20"/>
        <v>3</v>
      </c>
      <c r="K179" s="75">
        <f t="shared" si="21"/>
        <v>0.10600706713780918</v>
      </c>
      <c r="L179" s="75">
        <f>VLOOKUP($A179,'Data Vlaue (Cr)'!$C:$FB,67)</f>
        <v>3001</v>
      </c>
      <c r="M179" s="75">
        <f>VLOOKUP($A179,'Data Vlaue (Cr)'!$C:$FB,68)</f>
        <v>2386</v>
      </c>
      <c r="N179" s="75">
        <f t="shared" si="22"/>
        <v>615</v>
      </c>
      <c r="O179" s="75">
        <f t="shared" si="23"/>
        <v>20.49316894368544</v>
      </c>
      <c r="P179" s="75">
        <f>VLOOKUP($A179,'Data Vlaue (Cr)'!$C:$FB,119)</f>
        <v>0.86</v>
      </c>
      <c r="Q179" s="75">
        <f>VLOOKUP($A179,'Data Vlaue (Cr)'!$C:$FB,122)*100</f>
        <v>-10.42</v>
      </c>
      <c r="R179" s="75">
        <f>VLOOKUP($A179,'Data Vlaue (Cr)'!$C:$FB,125)</f>
        <v>1.4</v>
      </c>
      <c r="S179" s="75">
        <f>VLOOKUP($A179,'Data Vlaue (Cr)'!$C:$FB,128)*100</f>
        <v>-42.15</v>
      </c>
    </row>
    <row r="180" spans="1:19" x14ac:dyDescent="0.25">
      <c r="A180" s="96" t="str">
        <f>'Data Vlaue (Cr)'!C171</f>
        <v>PREMIERENE</v>
      </c>
      <c r="B180" s="75">
        <f>VLOOKUP($A180,'Data Vlaue (Cr)'!$C:$FB,2)</f>
        <v>575</v>
      </c>
      <c r="C180" s="75">
        <f>VLOOKUP($A180,'Data Vlaue (Cr)'!$C:$FB,8)</f>
        <v>1033</v>
      </c>
      <c r="D180" s="75">
        <f>VLOOKUP($A180,'Data Vlaue (Cr)'!$C:$FB,4)</f>
        <v>1019.7</v>
      </c>
      <c r="E180" s="75">
        <f>VLOOKUP($A180,'Data Vlaue (Cr)'!$C:$FB,5)</f>
        <v>1030.3</v>
      </c>
      <c r="F180" s="75">
        <f t="shared" si="18"/>
        <v>-13.299999999999955</v>
      </c>
      <c r="G180" s="75">
        <f t="shared" si="19"/>
        <v>-1.0395214278709335</v>
      </c>
      <c r="H180" s="75">
        <f>VLOOKUP($A180,'Data Vlaue (Cr)'!$C:$FB,99)</f>
        <v>1551</v>
      </c>
      <c r="I180" s="75">
        <f>VLOOKUP($A180,'Data Vlaue (Cr)'!$C:$FB,100)</f>
        <v>1495</v>
      </c>
      <c r="J180" s="75">
        <f t="shared" si="20"/>
        <v>56</v>
      </c>
      <c r="K180" s="75">
        <f t="shared" si="21"/>
        <v>3.6105738233397808</v>
      </c>
      <c r="L180" s="75">
        <f>VLOOKUP($A180,'Data Vlaue (Cr)'!$C:$FB,67)</f>
        <v>562</v>
      </c>
      <c r="M180" s="75">
        <f>VLOOKUP($A180,'Data Vlaue (Cr)'!$C:$FB,68)</f>
        <v>692</v>
      </c>
      <c r="N180" s="75">
        <f t="shared" si="22"/>
        <v>-130</v>
      </c>
      <c r="O180" s="75">
        <f t="shared" si="23"/>
        <v>-23.131672597864767</v>
      </c>
      <c r="P180" s="75">
        <f>VLOOKUP($A180,'Data Vlaue (Cr)'!$C:$FB,119)</f>
        <v>0.89</v>
      </c>
      <c r="Q180" s="75">
        <f>VLOOKUP($A180,'Data Vlaue (Cr)'!$C:$FB,122)*100</f>
        <v>-7.2900000000000009</v>
      </c>
      <c r="R180" s="75">
        <f>VLOOKUP($A180,'Data Vlaue (Cr)'!$C:$FB,125)</f>
        <v>0.55000000000000004</v>
      </c>
      <c r="S180" s="75">
        <f>VLOOKUP($A180,'Data Vlaue (Cr)'!$C:$FB,128)*100</f>
        <v>3.7699999999999996</v>
      </c>
    </row>
    <row r="181" spans="1:19" x14ac:dyDescent="0.25">
      <c r="A181" s="96" t="str">
        <f>'Data Vlaue (Cr)'!C172</f>
        <v>PRESTIGE</v>
      </c>
      <c r="B181" s="75">
        <f>VLOOKUP($A181,'Data Vlaue (Cr)'!$C:$FB,2)</f>
        <v>450</v>
      </c>
      <c r="C181" s="75">
        <f>VLOOKUP($A181,'Data Vlaue (Cr)'!$C:$FB,8)</f>
        <v>1455.2</v>
      </c>
      <c r="D181" s="75">
        <f>VLOOKUP($A181,'Data Vlaue (Cr)'!$C:$FB,4)</f>
        <v>1464.9</v>
      </c>
      <c r="E181" s="75">
        <f>VLOOKUP($A181,'Data Vlaue (Cr)'!$C:$FB,5)</f>
        <v>1440.2</v>
      </c>
      <c r="F181" s="75">
        <f t="shared" si="18"/>
        <v>9.7000000000000455</v>
      </c>
      <c r="G181" s="75">
        <f t="shared" si="19"/>
        <v>1.6861219195849577</v>
      </c>
      <c r="H181" s="75">
        <f>VLOOKUP($A181,'Data Vlaue (Cr)'!$C:$FB,99)</f>
        <v>1138</v>
      </c>
      <c r="I181" s="75">
        <f>VLOOKUP($A181,'Data Vlaue (Cr)'!$C:$FB,100)</f>
        <v>1128</v>
      </c>
      <c r="J181" s="75">
        <f t="shared" si="20"/>
        <v>10</v>
      </c>
      <c r="K181" s="75">
        <f t="shared" si="21"/>
        <v>0.87873462214411258</v>
      </c>
      <c r="L181" s="75">
        <f>VLOOKUP($A181,'Data Vlaue (Cr)'!$C:$FB,67)</f>
        <v>239</v>
      </c>
      <c r="M181" s="75">
        <f>VLOOKUP($A181,'Data Vlaue (Cr)'!$C:$FB,68)</f>
        <v>300</v>
      </c>
      <c r="N181" s="75">
        <f t="shared" si="22"/>
        <v>-61</v>
      </c>
      <c r="O181" s="75">
        <f t="shared" si="23"/>
        <v>-25.523012552301257</v>
      </c>
      <c r="P181" s="75">
        <f>VLOOKUP($A181,'Data Vlaue (Cr)'!$C:$FB,119)</f>
        <v>0.74</v>
      </c>
      <c r="Q181" s="75">
        <f>VLOOKUP($A181,'Data Vlaue (Cr)'!$C:$FB,122)*100</f>
        <v>-8.64</v>
      </c>
      <c r="R181" s="75">
        <f>VLOOKUP($A181,'Data Vlaue (Cr)'!$C:$FB,125)</f>
        <v>0.25</v>
      </c>
      <c r="S181" s="75">
        <f>VLOOKUP($A181,'Data Vlaue (Cr)'!$C:$FB,128)*100</f>
        <v>-48.980000000000004</v>
      </c>
    </row>
    <row r="182" spans="1:19" x14ac:dyDescent="0.25">
      <c r="A182" s="96" t="str">
        <f>'Data Vlaue (Cr)'!C173</f>
        <v>RBLBANK</v>
      </c>
      <c r="B182" s="75">
        <f>VLOOKUP($A182,'Data Vlaue (Cr)'!$C:$FB,2)</f>
        <v>3175</v>
      </c>
      <c r="C182" s="75">
        <f>VLOOKUP($A182,'Data Vlaue (Cr)'!$C:$FB,8)</f>
        <v>335.85</v>
      </c>
      <c r="D182" s="75">
        <f>VLOOKUP($A182,'Data Vlaue (Cr)'!$C:$FB,4)</f>
        <v>338.15</v>
      </c>
      <c r="E182" s="75">
        <f>VLOOKUP($A182,'Data Vlaue (Cr)'!$C:$FB,5)</f>
        <v>333.7</v>
      </c>
      <c r="F182" s="75">
        <f t="shared" si="18"/>
        <v>2.2999999999999545</v>
      </c>
      <c r="G182" s="75">
        <f t="shared" si="19"/>
        <v>1.3159840307555786</v>
      </c>
      <c r="H182" s="75">
        <f>VLOOKUP($A182,'Data Vlaue (Cr)'!$C:$FB,99)</f>
        <v>3443</v>
      </c>
      <c r="I182" s="75">
        <f>VLOOKUP($A182,'Data Vlaue (Cr)'!$C:$FB,100)</f>
        <v>3382</v>
      </c>
      <c r="J182" s="75">
        <f t="shared" si="20"/>
        <v>61</v>
      </c>
      <c r="K182" s="75">
        <f t="shared" si="21"/>
        <v>1.7717107173976183</v>
      </c>
      <c r="L182" s="75">
        <f>VLOOKUP($A182,'Data Vlaue (Cr)'!$C:$FB,67)</f>
        <v>2316</v>
      </c>
      <c r="M182" s="75">
        <f>VLOOKUP($A182,'Data Vlaue (Cr)'!$C:$FB,68)</f>
        <v>1338</v>
      </c>
      <c r="N182" s="75">
        <f t="shared" si="22"/>
        <v>978</v>
      </c>
      <c r="O182" s="75">
        <f t="shared" si="23"/>
        <v>42.2279792746114</v>
      </c>
      <c r="P182" s="75">
        <f>VLOOKUP($A182,'Data Vlaue (Cr)'!$C:$FB,119)</f>
        <v>0.76</v>
      </c>
      <c r="Q182" s="75">
        <f>VLOOKUP($A182,'Data Vlaue (Cr)'!$C:$FB,122)*100</f>
        <v>4.1099999999999994</v>
      </c>
      <c r="R182" s="75">
        <f>VLOOKUP($A182,'Data Vlaue (Cr)'!$C:$FB,125)</f>
        <v>0.4</v>
      </c>
      <c r="S182" s="75">
        <f>VLOOKUP($A182,'Data Vlaue (Cr)'!$C:$FB,128)*100</f>
        <v>-16.669999999999998</v>
      </c>
    </row>
    <row r="183" spans="1:19" x14ac:dyDescent="0.25">
      <c r="A183" s="96" t="str">
        <f>'Data Vlaue (Cr)'!C174</f>
        <v>RECLTD</v>
      </c>
      <c r="B183" s="75">
        <f>VLOOKUP($A183,'Data Vlaue (Cr)'!$C:$FB,2)</f>
        <v>1400</v>
      </c>
      <c r="C183" s="75">
        <f>VLOOKUP($A183,'Data Vlaue (Cr)'!$C:$FB,8)</f>
        <v>359.1</v>
      </c>
      <c r="D183" s="75">
        <f>VLOOKUP($A183,'Data Vlaue (Cr)'!$C:$FB,4)</f>
        <v>361.45</v>
      </c>
      <c r="E183" s="75">
        <f>VLOOKUP($A183,'Data Vlaue (Cr)'!$C:$FB,5)</f>
        <v>358.6</v>
      </c>
      <c r="F183" s="75">
        <f t="shared" si="18"/>
        <v>2.3499999999999659</v>
      </c>
      <c r="G183" s="75">
        <f t="shared" si="19"/>
        <v>0.78849080094064627</v>
      </c>
      <c r="H183" s="75">
        <f>VLOOKUP($A183,'Data Vlaue (Cr)'!$C:$FB,99)</f>
        <v>4119</v>
      </c>
      <c r="I183" s="75">
        <f>VLOOKUP($A183,'Data Vlaue (Cr)'!$C:$FB,100)</f>
        <v>4049</v>
      </c>
      <c r="J183" s="75">
        <f t="shared" si="20"/>
        <v>70</v>
      </c>
      <c r="K183" s="75">
        <f t="shared" si="21"/>
        <v>1.6994416120417577</v>
      </c>
      <c r="L183" s="75">
        <f>VLOOKUP($A183,'Data Vlaue (Cr)'!$C:$FB,67)</f>
        <v>1651</v>
      </c>
      <c r="M183" s="75">
        <f>VLOOKUP($A183,'Data Vlaue (Cr)'!$C:$FB,68)</f>
        <v>1457</v>
      </c>
      <c r="N183" s="75">
        <f t="shared" si="22"/>
        <v>194</v>
      </c>
      <c r="O183" s="75">
        <f t="shared" si="23"/>
        <v>11.75045427013931</v>
      </c>
      <c r="P183" s="75">
        <f>VLOOKUP($A183,'Data Vlaue (Cr)'!$C:$FB,119)</f>
        <v>0.61</v>
      </c>
      <c r="Q183" s="75">
        <f>VLOOKUP($A183,'Data Vlaue (Cr)'!$C:$FB,122)*100</f>
        <v>1.67</v>
      </c>
      <c r="R183" s="75">
        <f>VLOOKUP($A183,'Data Vlaue (Cr)'!$C:$FB,125)</f>
        <v>0.49</v>
      </c>
      <c r="S183" s="75">
        <f>VLOOKUP($A183,'Data Vlaue (Cr)'!$C:$FB,128)*100</f>
        <v>32.43</v>
      </c>
    </row>
    <row r="184" spans="1:19" x14ac:dyDescent="0.25">
      <c r="A184" s="96" t="str">
        <f>'Data Vlaue (Cr)'!C175</f>
        <v>RELIANCE</v>
      </c>
      <c r="B184" s="75">
        <f>VLOOKUP($A184,'Data Vlaue (Cr)'!$C:$FB,2)</f>
        <v>500</v>
      </c>
      <c r="C184" s="75">
        <f>VLOOKUP($A184,'Data Vlaue (Cr)'!$C:$FB,8)</f>
        <v>1437.9</v>
      </c>
      <c r="D184" s="75">
        <f>VLOOKUP($A184,'Data Vlaue (Cr)'!$C:$FB,4)</f>
        <v>1446.2</v>
      </c>
      <c r="E184" s="75">
        <f>VLOOKUP($A184,'Data Vlaue (Cr)'!$C:$FB,5)</f>
        <v>1467.4</v>
      </c>
      <c r="F184" s="75">
        <f t="shared" si="18"/>
        <v>8.2999999999999545</v>
      </c>
      <c r="G184" s="75">
        <f t="shared" si="19"/>
        <v>-1.4659106624256704</v>
      </c>
      <c r="H184" s="75">
        <f>VLOOKUP($A184,'Data Vlaue (Cr)'!$C:$FB,99)</f>
        <v>26146</v>
      </c>
      <c r="I184" s="75">
        <f>VLOOKUP($A184,'Data Vlaue (Cr)'!$C:$FB,100)</f>
        <v>25016</v>
      </c>
      <c r="J184" s="75">
        <f t="shared" si="20"/>
        <v>1130</v>
      </c>
      <c r="K184" s="75">
        <f t="shared" si="21"/>
        <v>4.3218848007343382</v>
      </c>
      <c r="L184" s="75">
        <f>VLOOKUP($A184,'Data Vlaue (Cr)'!$C:$FB,67)</f>
        <v>24926</v>
      </c>
      <c r="M184" s="75">
        <f>VLOOKUP($A184,'Data Vlaue (Cr)'!$C:$FB,68)</f>
        <v>17434</v>
      </c>
      <c r="N184" s="75">
        <f t="shared" si="22"/>
        <v>7492</v>
      </c>
      <c r="O184" s="75">
        <f t="shared" si="23"/>
        <v>30.056968627136321</v>
      </c>
      <c r="P184" s="75">
        <f>VLOOKUP($A184,'Data Vlaue (Cr)'!$C:$FB,119)</f>
        <v>0.72</v>
      </c>
      <c r="Q184" s="75">
        <f>VLOOKUP($A184,'Data Vlaue (Cr)'!$C:$FB,122)*100</f>
        <v>-22.58</v>
      </c>
      <c r="R184" s="75">
        <f>VLOOKUP($A184,'Data Vlaue (Cr)'!$C:$FB,125)</f>
        <v>0.61</v>
      </c>
      <c r="S184" s="75">
        <f>VLOOKUP($A184,'Data Vlaue (Cr)'!$C:$FB,128)*100</f>
        <v>-17.57</v>
      </c>
    </row>
    <row r="185" spans="1:19" x14ac:dyDescent="0.25">
      <c r="A185" s="96" t="str">
        <f>'Data Vlaue (Cr)'!C176</f>
        <v>RVNL</v>
      </c>
      <c r="B185" s="75">
        <f>VLOOKUP($A185,'Data Vlaue (Cr)'!$C:$FB,2)</f>
        <v>1525</v>
      </c>
      <c r="C185" s="75">
        <f>VLOOKUP($A185,'Data Vlaue (Cr)'!$C:$FB,8)</f>
        <v>305.10000000000002</v>
      </c>
      <c r="D185" s="75">
        <f>VLOOKUP($A185,'Data Vlaue (Cr)'!$C:$FB,4)</f>
        <v>304.25</v>
      </c>
      <c r="E185" s="75">
        <f>VLOOKUP($A185,'Data Vlaue (Cr)'!$C:$FB,5)</f>
        <v>298.3</v>
      </c>
      <c r="F185" s="75">
        <f t="shared" si="18"/>
        <v>-0.85000000000002274</v>
      </c>
      <c r="G185" s="75">
        <f t="shared" si="19"/>
        <v>1.9556285949055014</v>
      </c>
      <c r="H185" s="75">
        <f>VLOOKUP($A185,'Data Vlaue (Cr)'!$C:$FB,99)</f>
        <v>2401</v>
      </c>
      <c r="I185" s="75">
        <f>VLOOKUP($A185,'Data Vlaue (Cr)'!$C:$FB,100)</f>
        <v>2386</v>
      </c>
      <c r="J185" s="75">
        <f t="shared" si="20"/>
        <v>15</v>
      </c>
      <c r="K185" s="75">
        <f t="shared" si="21"/>
        <v>0.62473969179508537</v>
      </c>
      <c r="L185" s="75">
        <f>VLOOKUP($A185,'Data Vlaue (Cr)'!$C:$FB,67)</f>
        <v>834</v>
      </c>
      <c r="M185" s="75">
        <f>VLOOKUP($A185,'Data Vlaue (Cr)'!$C:$FB,68)</f>
        <v>885</v>
      </c>
      <c r="N185" s="75">
        <f t="shared" si="22"/>
        <v>-51</v>
      </c>
      <c r="O185" s="75">
        <f t="shared" si="23"/>
        <v>-6.1151079136690649</v>
      </c>
      <c r="P185" s="75">
        <f>VLOOKUP($A185,'Data Vlaue (Cr)'!$C:$FB,119)</f>
        <v>0.61</v>
      </c>
      <c r="Q185" s="75">
        <f>VLOOKUP($A185,'Data Vlaue (Cr)'!$C:$FB,122)*100</f>
        <v>7.02</v>
      </c>
      <c r="R185" s="75">
        <f>VLOOKUP($A185,'Data Vlaue (Cr)'!$C:$FB,125)</f>
        <v>0.19</v>
      </c>
      <c r="S185" s="75">
        <f>VLOOKUP($A185,'Data Vlaue (Cr)'!$C:$FB,128)*100</f>
        <v>-24</v>
      </c>
    </row>
    <row r="186" spans="1:19" x14ac:dyDescent="0.25">
      <c r="A186" s="96" t="str">
        <f>'Data Vlaue (Cr)'!C177</f>
        <v>SAIL</v>
      </c>
      <c r="B186" s="75">
        <f>VLOOKUP($A186,'Data Vlaue (Cr)'!$C:$FB,2)</f>
        <v>4700</v>
      </c>
      <c r="C186" s="75">
        <f>VLOOKUP($A186,'Data Vlaue (Cr)'!$C:$FB,8)</f>
        <v>186.04</v>
      </c>
      <c r="D186" s="75">
        <f>VLOOKUP($A186,'Data Vlaue (Cr)'!$C:$FB,4)</f>
        <v>187.47</v>
      </c>
      <c r="E186" s="75">
        <f>VLOOKUP($A186,'Data Vlaue (Cr)'!$C:$FB,5)</f>
        <v>188.5</v>
      </c>
      <c r="F186" s="75">
        <f t="shared" ref="F186:F193" si="24">D186-C186</f>
        <v>1.4300000000000068</v>
      </c>
      <c r="G186" s="75">
        <f t="shared" ref="G186:G193" si="25">(D186-E186)/D186*100</f>
        <v>-0.54942124073185106</v>
      </c>
      <c r="H186" s="75">
        <f>VLOOKUP($A186,'Data Vlaue (Cr)'!$C:$FB,99)</f>
        <v>3994</v>
      </c>
      <c r="I186" s="75">
        <f>VLOOKUP($A186,'Data Vlaue (Cr)'!$C:$FB,100)</f>
        <v>3932</v>
      </c>
      <c r="J186" s="75">
        <f t="shared" ref="J186:J193" si="26">H186-I186</f>
        <v>62</v>
      </c>
      <c r="K186" s="75">
        <f t="shared" ref="K186:K193" si="27">J186/H186*100</f>
        <v>1.5523284927391086</v>
      </c>
      <c r="L186" s="75">
        <f>VLOOKUP($A186,'Data Vlaue (Cr)'!$C:$FB,67)</f>
        <v>384</v>
      </c>
      <c r="M186" s="75">
        <f>VLOOKUP($A186,'Data Vlaue (Cr)'!$C:$FB,68)</f>
        <v>449</v>
      </c>
      <c r="N186" s="75">
        <f t="shared" ref="N186:N193" si="28">L186-M186</f>
        <v>-65</v>
      </c>
      <c r="O186" s="75">
        <f t="shared" ref="O186:O193" si="29">N186/L186*100</f>
        <v>-16.927083333333336</v>
      </c>
      <c r="P186" s="75">
        <f>VLOOKUP($A186,'Data Vlaue (Cr)'!$C:$FB,119)</f>
        <v>0.69</v>
      </c>
      <c r="Q186" s="75">
        <f>VLOOKUP($A186,'Data Vlaue (Cr)'!$C:$FB,122)*100</f>
        <v>-2.82</v>
      </c>
      <c r="R186" s="75">
        <f>VLOOKUP($A186,'Data Vlaue (Cr)'!$C:$FB,125)</f>
        <v>0.44</v>
      </c>
      <c r="S186" s="75">
        <f>VLOOKUP($A186,'Data Vlaue (Cr)'!$C:$FB,128)*100</f>
        <v>2.33</v>
      </c>
    </row>
    <row r="187" spans="1:19" x14ac:dyDescent="0.25">
      <c r="A187" s="96" t="str">
        <f>'Data Vlaue (Cr)'!C178</f>
        <v>SAMMAANCAP</v>
      </c>
      <c r="B187" s="75">
        <f>VLOOKUP($A187,'Data Vlaue (Cr)'!$C:$FB,2)</f>
        <v>4300</v>
      </c>
      <c r="C187" s="75">
        <f>VLOOKUP($A187,'Data Vlaue (Cr)'!$C:$FB,8)</f>
        <v>149.78</v>
      </c>
      <c r="D187" s="75">
        <f>VLOOKUP($A187,'Data Vlaue (Cr)'!$C:$FB,4)</f>
        <v>150.6</v>
      </c>
      <c r="E187" s="75">
        <f>VLOOKUP($A187,'Data Vlaue (Cr)'!$C:$FB,5)</f>
        <v>145.25</v>
      </c>
      <c r="F187" s="75">
        <f t="shared" si="24"/>
        <v>0.81999999999999318</v>
      </c>
      <c r="G187" s="75">
        <f t="shared" si="25"/>
        <v>3.5524568393094249</v>
      </c>
      <c r="H187" s="75">
        <f>VLOOKUP($A187,'Data Vlaue (Cr)'!$C:$FB,99)</f>
        <v>2108</v>
      </c>
      <c r="I187" s="75">
        <f>VLOOKUP($A187,'Data Vlaue (Cr)'!$C:$FB,100)</f>
        <v>2150</v>
      </c>
      <c r="J187" s="75">
        <f t="shared" si="26"/>
        <v>-42</v>
      </c>
      <c r="K187" s="75">
        <f t="shared" si="27"/>
        <v>-1.9924098671726755</v>
      </c>
      <c r="L187" s="75">
        <f>VLOOKUP($A187,'Data Vlaue (Cr)'!$C:$FB,67)</f>
        <v>950</v>
      </c>
      <c r="M187" s="75">
        <f>VLOOKUP($A187,'Data Vlaue (Cr)'!$C:$FB,68)</f>
        <v>336</v>
      </c>
      <c r="N187" s="75">
        <f t="shared" si="28"/>
        <v>614</v>
      </c>
      <c r="O187" s="75">
        <f t="shared" si="29"/>
        <v>64.631578947368411</v>
      </c>
      <c r="P187" s="75">
        <f>VLOOKUP($A187,'Data Vlaue (Cr)'!$C:$FB,119)</f>
        <v>0.61</v>
      </c>
      <c r="Q187" s="75">
        <f>VLOOKUP($A187,'Data Vlaue (Cr)'!$C:$FB,122)*100</f>
        <v>-3.17</v>
      </c>
      <c r="R187" s="75">
        <f>VLOOKUP($A187,'Data Vlaue (Cr)'!$C:$FB,125)</f>
        <v>0.19</v>
      </c>
      <c r="S187" s="75">
        <f>VLOOKUP($A187,'Data Vlaue (Cr)'!$C:$FB,128)*100</f>
        <v>-26.919999999999998</v>
      </c>
    </row>
    <row r="188" spans="1:19" x14ac:dyDescent="0.25">
      <c r="A188" s="96" t="str">
        <f>'Data Vlaue (Cr)'!C179</f>
        <v>SBICARD</v>
      </c>
      <c r="B188" s="75">
        <f>VLOOKUP($A188,'Data Vlaue (Cr)'!$C:$FB,2)</f>
        <v>800</v>
      </c>
      <c r="C188" s="75">
        <f>VLOOKUP($A188,'Data Vlaue (Cr)'!$C:$FB,8)</f>
        <v>649.65</v>
      </c>
      <c r="D188" s="75">
        <f>VLOOKUP($A188,'Data Vlaue (Cr)'!$C:$FB,4)</f>
        <v>654</v>
      </c>
      <c r="E188" s="75">
        <f>VLOOKUP($A188,'Data Vlaue (Cr)'!$C:$FB,5)</f>
        <v>647.79999999999995</v>
      </c>
      <c r="F188" s="75">
        <f t="shared" si="24"/>
        <v>4.3500000000000227</v>
      </c>
      <c r="G188" s="75">
        <f t="shared" si="25"/>
        <v>0.94801223241590904</v>
      </c>
      <c r="H188" s="75">
        <f>VLOOKUP($A188,'Data Vlaue (Cr)'!$C:$FB,99)</f>
        <v>2643</v>
      </c>
      <c r="I188" s="75">
        <f>VLOOKUP($A188,'Data Vlaue (Cr)'!$C:$FB,100)</f>
        <v>2610</v>
      </c>
      <c r="J188" s="75">
        <f t="shared" si="26"/>
        <v>33</v>
      </c>
      <c r="K188" s="75">
        <f t="shared" si="27"/>
        <v>1.2485811577752552</v>
      </c>
      <c r="L188" s="75">
        <f>VLOOKUP($A188,'Data Vlaue (Cr)'!$C:$FB,67)</f>
        <v>1082</v>
      </c>
      <c r="M188" s="75">
        <f>VLOOKUP($A188,'Data Vlaue (Cr)'!$C:$FB,68)</f>
        <v>795</v>
      </c>
      <c r="N188" s="75">
        <f t="shared" si="28"/>
        <v>287</v>
      </c>
      <c r="O188" s="75">
        <f t="shared" si="29"/>
        <v>26.524953789279117</v>
      </c>
      <c r="P188" s="75">
        <f>VLOOKUP($A188,'Data Vlaue (Cr)'!$C:$FB,119)</f>
        <v>0.65</v>
      </c>
      <c r="Q188" s="75">
        <f>VLOOKUP($A188,'Data Vlaue (Cr)'!$C:$FB,122)*100</f>
        <v>10.17</v>
      </c>
      <c r="R188" s="75">
        <f>VLOOKUP($A188,'Data Vlaue (Cr)'!$C:$FB,125)</f>
        <v>0.57999999999999996</v>
      </c>
      <c r="S188" s="75">
        <f>VLOOKUP($A188,'Data Vlaue (Cr)'!$C:$FB,128)*100</f>
        <v>18.37</v>
      </c>
    </row>
    <row r="189" spans="1:19" x14ac:dyDescent="0.25">
      <c r="A189" s="96" t="str">
        <f>'Data Vlaue (Cr)'!C180</f>
        <v>SBILIFE</v>
      </c>
      <c r="B189" s="75">
        <f>VLOOKUP($A189,'Data Vlaue (Cr)'!$C:$FB,2)</f>
        <v>375</v>
      </c>
      <c r="C189" s="75">
        <f>VLOOKUP($A189,'Data Vlaue (Cr)'!$C:$FB,8)</f>
        <v>1859</v>
      </c>
      <c r="D189" s="75">
        <f>VLOOKUP($A189,'Data Vlaue (Cr)'!$C:$FB,4)</f>
        <v>1866.4</v>
      </c>
      <c r="E189" s="75">
        <f>VLOOKUP($A189,'Data Vlaue (Cr)'!$C:$FB,5)</f>
        <v>1825.5</v>
      </c>
      <c r="F189" s="75">
        <f t="shared" si="24"/>
        <v>7.4000000000000909</v>
      </c>
      <c r="G189" s="75">
        <f t="shared" si="25"/>
        <v>2.191384483497647</v>
      </c>
      <c r="H189" s="75">
        <f>VLOOKUP($A189,'Data Vlaue (Cr)'!$C:$FB,99)</f>
        <v>3096</v>
      </c>
      <c r="I189" s="75">
        <f>VLOOKUP($A189,'Data Vlaue (Cr)'!$C:$FB,100)</f>
        <v>3124</v>
      </c>
      <c r="J189" s="75">
        <f t="shared" si="26"/>
        <v>-28</v>
      </c>
      <c r="K189" s="75">
        <f t="shared" si="27"/>
        <v>-0.90439276485788112</v>
      </c>
      <c r="L189" s="75">
        <f>VLOOKUP($A189,'Data Vlaue (Cr)'!$C:$FB,67)</f>
        <v>1531</v>
      </c>
      <c r="M189" s="75">
        <f>VLOOKUP($A189,'Data Vlaue (Cr)'!$C:$FB,68)</f>
        <v>1334</v>
      </c>
      <c r="N189" s="75">
        <f t="shared" si="28"/>
        <v>197</v>
      </c>
      <c r="O189" s="75">
        <f t="shared" si="29"/>
        <v>12.867406923579361</v>
      </c>
      <c r="P189" s="75">
        <f>VLOOKUP($A189,'Data Vlaue (Cr)'!$C:$FB,119)</f>
        <v>0.53</v>
      </c>
      <c r="Q189" s="75">
        <f>VLOOKUP($A189,'Data Vlaue (Cr)'!$C:$FB,122)*100</f>
        <v>15.22</v>
      </c>
      <c r="R189" s="75">
        <f>VLOOKUP($A189,'Data Vlaue (Cr)'!$C:$FB,125)</f>
        <v>0.47</v>
      </c>
      <c r="S189" s="75">
        <f>VLOOKUP($A189,'Data Vlaue (Cr)'!$C:$FB,128)*100</f>
        <v>14.63</v>
      </c>
    </row>
    <row r="190" spans="1:19" x14ac:dyDescent="0.25">
      <c r="A190" s="96" t="str">
        <f>'Data Vlaue (Cr)'!C181</f>
        <v>SBIN</v>
      </c>
      <c r="B190" s="75">
        <f>VLOOKUP($A190,'Data Vlaue (Cr)'!$C:$FB,2)</f>
        <v>750</v>
      </c>
      <c r="C190" s="75">
        <f>VLOOKUP($A190,'Data Vlaue (Cr)'!$C:$FB,8)</f>
        <v>1096</v>
      </c>
      <c r="D190" s="75">
        <f>VLOOKUP($A190,'Data Vlaue (Cr)'!$C:$FB,4)</f>
        <v>1090.2</v>
      </c>
      <c r="E190" s="75">
        <f>VLOOKUP($A190,'Data Vlaue (Cr)'!$C:$FB,5)</f>
        <v>1051.8</v>
      </c>
      <c r="F190" s="75">
        <f t="shared" si="24"/>
        <v>-5.7999999999999545</v>
      </c>
      <c r="G190" s="75">
        <f t="shared" si="25"/>
        <v>3.522289488167317</v>
      </c>
      <c r="H190" s="75">
        <f>VLOOKUP($A190,'Data Vlaue (Cr)'!$C:$FB,99)</f>
        <v>17277</v>
      </c>
      <c r="I190" s="75">
        <f>VLOOKUP($A190,'Data Vlaue (Cr)'!$C:$FB,100)</f>
        <v>16933</v>
      </c>
      <c r="J190" s="75">
        <f t="shared" si="26"/>
        <v>344</v>
      </c>
      <c r="K190" s="75">
        <f t="shared" si="27"/>
        <v>1.9910864154656478</v>
      </c>
      <c r="L190" s="75">
        <f>VLOOKUP($A190,'Data Vlaue (Cr)'!$C:$FB,67)</f>
        <v>14915</v>
      </c>
      <c r="M190" s="75">
        <f>VLOOKUP($A190,'Data Vlaue (Cr)'!$C:$FB,68)</f>
        <v>7064</v>
      </c>
      <c r="N190" s="75">
        <f t="shared" si="28"/>
        <v>7851</v>
      </c>
      <c r="O190" s="75">
        <f t="shared" si="29"/>
        <v>52.638283607106942</v>
      </c>
      <c r="P190" s="75">
        <f>VLOOKUP($A190,'Data Vlaue (Cr)'!$C:$FB,119)</f>
        <v>0.76</v>
      </c>
      <c r="Q190" s="75">
        <f>VLOOKUP($A190,'Data Vlaue (Cr)'!$C:$FB,122)*100</f>
        <v>11.76</v>
      </c>
      <c r="R190" s="75">
        <f>VLOOKUP($A190,'Data Vlaue (Cr)'!$C:$FB,125)</f>
        <v>0.48</v>
      </c>
      <c r="S190" s="75">
        <f>VLOOKUP($A190,'Data Vlaue (Cr)'!$C:$FB,128)*100</f>
        <v>-20</v>
      </c>
    </row>
    <row r="191" spans="1:19" x14ac:dyDescent="0.25">
      <c r="A191" s="96" t="str">
        <f>'Data Vlaue (Cr)'!C182</f>
        <v>SHREECEM</v>
      </c>
      <c r="B191" s="75">
        <f>VLOOKUP($A191,'Data Vlaue (Cr)'!$C:$FB,2)</f>
        <v>25</v>
      </c>
      <c r="C191" s="75">
        <f>VLOOKUP($A191,'Data Vlaue (Cr)'!$C:$FB,8)</f>
        <v>24975</v>
      </c>
      <c r="D191" s="75">
        <f>VLOOKUP($A191,'Data Vlaue (Cr)'!$C:$FB,4)</f>
        <v>24795</v>
      </c>
      <c r="E191" s="75">
        <f>VLOOKUP($A191,'Data Vlaue (Cr)'!$C:$FB,5)</f>
        <v>24510</v>
      </c>
      <c r="F191" s="75">
        <f t="shared" si="24"/>
        <v>-180</v>
      </c>
      <c r="G191" s="75">
        <f t="shared" si="25"/>
        <v>1.1494252873563218</v>
      </c>
      <c r="H191" s="75">
        <f>VLOOKUP($A191,'Data Vlaue (Cr)'!$C:$FB,99)</f>
        <v>1383</v>
      </c>
      <c r="I191" s="75">
        <f>VLOOKUP($A191,'Data Vlaue (Cr)'!$C:$FB,100)</f>
        <v>1246</v>
      </c>
      <c r="J191" s="75">
        <f t="shared" si="26"/>
        <v>137</v>
      </c>
      <c r="K191" s="75">
        <f t="shared" si="27"/>
        <v>9.9060014461315973</v>
      </c>
      <c r="L191" s="75">
        <f>VLOOKUP($A191,'Data Vlaue (Cr)'!$C:$FB,67)</f>
        <v>766</v>
      </c>
      <c r="M191" s="75">
        <f>VLOOKUP($A191,'Data Vlaue (Cr)'!$C:$FB,68)</f>
        <v>318</v>
      </c>
      <c r="N191" s="75">
        <f t="shared" si="28"/>
        <v>448</v>
      </c>
      <c r="O191" s="75">
        <f t="shared" si="29"/>
        <v>58.485639686684074</v>
      </c>
      <c r="P191" s="75">
        <f>VLOOKUP($A191,'Data Vlaue (Cr)'!$C:$FB,119)</f>
        <v>0.87</v>
      </c>
      <c r="Q191" s="75">
        <f>VLOOKUP($A191,'Data Vlaue (Cr)'!$C:$FB,122)*100</f>
        <v>-1.1400000000000001</v>
      </c>
      <c r="R191" s="75">
        <f>VLOOKUP($A191,'Data Vlaue (Cr)'!$C:$FB,125)</f>
        <v>0.48</v>
      </c>
      <c r="S191" s="75">
        <f>VLOOKUP($A191,'Data Vlaue (Cr)'!$C:$FB,128)*100</f>
        <v>60</v>
      </c>
    </row>
    <row r="192" spans="1:19" x14ac:dyDescent="0.25">
      <c r="A192" s="96" t="str">
        <f>'Data Vlaue (Cr)'!C183</f>
        <v>SHRIRAMFIN</v>
      </c>
      <c r="B192" s="75">
        <f>VLOOKUP($A192,'Data Vlaue (Cr)'!$C:$FB,2)</f>
        <v>825</v>
      </c>
      <c r="C192" s="75">
        <f>VLOOKUP($A192,'Data Vlaue (Cr)'!$C:$FB,8)</f>
        <v>1004.1</v>
      </c>
      <c r="D192" s="75">
        <f>VLOOKUP($A192,'Data Vlaue (Cr)'!$C:$FB,4)</f>
        <v>1010.5</v>
      </c>
      <c r="E192" s="75">
        <f>VLOOKUP($A192,'Data Vlaue (Cr)'!$C:$FB,5)</f>
        <v>967.4</v>
      </c>
      <c r="F192" s="75">
        <f t="shared" si="24"/>
        <v>6.3999999999999773</v>
      </c>
      <c r="G192" s="75">
        <f t="shared" si="25"/>
        <v>4.2652152399802103</v>
      </c>
      <c r="H192" s="75">
        <f>VLOOKUP($A192,'Data Vlaue (Cr)'!$C:$FB,99)</f>
        <v>7024</v>
      </c>
      <c r="I192" s="75">
        <f>VLOOKUP($A192,'Data Vlaue (Cr)'!$C:$FB,100)</f>
        <v>7354</v>
      </c>
      <c r="J192" s="75">
        <f t="shared" si="26"/>
        <v>-330</v>
      </c>
      <c r="K192" s="75">
        <f t="shared" si="27"/>
        <v>-4.6981776765375853</v>
      </c>
      <c r="L192" s="75">
        <f>VLOOKUP($A192,'Data Vlaue (Cr)'!$C:$FB,67)</f>
        <v>5254</v>
      </c>
      <c r="M192" s="75">
        <f>VLOOKUP($A192,'Data Vlaue (Cr)'!$C:$FB,68)</f>
        <v>2524</v>
      </c>
      <c r="N192" s="75">
        <f t="shared" si="28"/>
        <v>2730</v>
      </c>
      <c r="O192" s="75">
        <f t="shared" si="29"/>
        <v>51.96041111534069</v>
      </c>
      <c r="P192" s="75">
        <f>VLOOKUP($A192,'Data Vlaue (Cr)'!$C:$FB,119)</f>
        <v>0.59</v>
      </c>
      <c r="Q192" s="75">
        <f>VLOOKUP($A192,'Data Vlaue (Cr)'!$C:$FB,122)*100</f>
        <v>20.41</v>
      </c>
      <c r="R192" s="75">
        <f>VLOOKUP($A192,'Data Vlaue (Cr)'!$C:$FB,125)</f>
        <v>0.53</v>
      </c>
      <c r="S192" s="75">
        <f>VLOOKUP($A192,'Data Vlaue (Cr)'!$C:$FB,128)*100</f>
        <v>-5.36</v>
      </c>
    </row>
    <row r="193" spans="1:19" x14ac:dyDescent="0.25">
      <c r="A193" s="96" t="str">
        <f>'Data Vlaue (Cr)'!C184</f>
        <v>SIEMENS</v>
      </c>
      <c r="B193" s="75">
        <f>VLOOKUP($A193,'Data Vlaue (Cr)'!$C:$FB,2)</f>
        <v>175</v>
      </c>
      <c r="C193" s="75">
        <f>VLOOKUP($A193,'Data Vlaue (Cr)'!$C:$FB,8)</f>
        <v>3841.8</v>
      </c>
      <c r="D193" s="75">
        <f>VLOOKUP($A193,'Data Vlaue (Cr)'!$C:$FB,4)</f>
        <v>3839.6</v>
      </c>
      <c r="E193" s="75">
        <f>VLOOKUP($A193,'Data Vlaue (Cr)'!$C:$FB,5)</f>
        <v>3862.4</v>
      </c>
      <c r="F193" s="75">
        <f t="shared" si="24"/>
        <v>-2.2000000000002728</v>
      </c>
      <c r="G193" s="75">
        <f t="shared" si="25"/>
        <v>-0.59381185540160908</v>
      </c>
      <c r="H193" s="75">
        <f>VLOOKUP($A193,'Data Vlaue (Cr)'!$C:$FB,99)</f>
        <v>1766</v>
      </c>
      <c r="I193" s="75">
        <f>VLOOKUP($A193,'Data Vlaue (Cr)'!$C:$FB,100)</f>
        <v>1759</v>
      </c>
      <c r="J193" s="75">
        <f t="shared" si="26"/>
        <v>7</v>
      </c>
      <c r="K193" s="75">
        <f t="shared" si="27"/>
        <v>0.39637599093997733</v>
      </c>
      <c r="L193" s="75">
        <f>VLOOKUP($A193,'Data Vlaue (Cr)'!$C:$FB,67)</f>
        <v>716</v>
      </c>
      <c r="M193" s="75">
        <f>VLOOKUP($A193,'Data Vlaue (Cr)'!$C:$FB,68)</f>
        <v>431</v>
      </c>
      <c r="N193" s="75">
        <f t="shared" si="28"/>
        <v>285</v>
      </c>
      <c r="O193" s="75">
        <f t="shared" si="29"/>
        <v>39.804469273743017</v>
      </c>
      <c r="P193" s="75">
        <f>VLOOKUP($A193,'Data Vlaue (Cr)'!$C:$FB,119)</f>
        <v>0.5</v>
      </c>
      <c r="Q193" s="75">
        <f>VLOOKUP($A193,'Data Vlaue (Cr)'!$C:$FB,122)*100</f>
        <v>-3.85</v>
      </c>
      <c r="R193" s="75">
        <f>VLOOKUP($A193,'Data Vlaue (Cr)'!$C:$FB,125)</f>
        <v>0.45</v>
      </c>
      <c r="S193" s="75">
        <f>VLOOKUP($A193,'Data Vlaue (Cr)'!$C:$FB,128)*100</f>
        <v>28.57</v>
      </c>
    </row>
    <row r="194" spans="1:19" ht="13.9" customHeight="1" x14ac:dyDescent="0.25">
      <c r="A194" s="96" t="str">
        <f>'Data Vlaue (Cr)'!C185</f>
        <v>SOLARINDS</v>
      </c>
      <c r="B194" s="75">
        <f>VLOOKUP($A194,'Data Vlaue (Cr)'!$C:$FB,2)</f>
        <v>50</v>
      </c>
      <c r="C194" s="75">
        <f>VLOOKUP($A194,'Data Vlaue (Cr)'!$C:$FB,8)</f>
        <v>15740</v>
      </c>
      <c r="D194" s="75">
        <f>VLOOKUP($A194,'Data Vlaue (Cr)'!$C:$FB,4)</f>
        <v>15785</v>
      </c>
      <c r="E194" s="75">
        <f>VLOOKUP($A194,'Data Vlaue (Cr)'!$C:$FB,5)</f>
        <v>15919</v>
      </c>
      <c r="F194" s="75">
        <f t="shared" ref="F194:F214" si="30">D194-C194</f>
        <v>45</v>
      </c>
      <c r="G194" s="75">
        <f t="shared" ref="G194:G214" si="31">(D194-E194)/D194*100</f>
        <v>-0.84890719037060502</v>
      </c>
      <c r="H194" s="75">
        <f>VLOOKUP($A194,'Data Vlaue (Cr)'!$C:$FB,99)</f>
        <v>1500</v>
      </c>
      <c r="I194" s="75">
        <f>VLOOKUP($A194,'Data Vlaue (Cr)'!$C:$FB,100)</f>
        <v>1507</v>
      </c>
      <c r="J194" s="75">
        <f t="shared" ref="J194:J214" si="32">H194-I194</f>
        <v>-7</v>
      </c>
      <c r="K194" s="75">
        <f t="shared" ref="K194:K214" si="33">J194/H194*100</f>
        <v>-0.46666666666666673</v>
      </c>
      <c r="L194" s="75">
        <f>VLOOKUP($A194,'Data Vlaue (Cr)'!$C:$FB,67)</f>
        <v>786</v>
      </c>
      <c r="M194" s="75">
        <f>VLOOKUP($A194,'Data Vlaue (Cr)'!$C:$FB,68)</f>
        <v>656</v>
      </c>
      <c r="N194" s="75">
        <f t="shared" ref="N194:N214" si="34">L194-M194</f>
        <v>130</v>
      </c>
      <c r="O194" s="75">
        <f t="shared" ref="O194:O214" si="35">N194/L194*100</f>
        <v>16.539440203562343</v>
      </c>
      <c r="P194" s="75">
        <f>VLOOKUP($A194,'Data Vlaue (Cr)'!$C:$FB,119)</f>
        <v>0.76</v>
      </c>
      <c r="Q194" s="75">
        <f>VLOOKUP($A194,'Data Vlaue (Cr)'!$C:$FB,122)*100</f>
        <v>-5</v>
      </c>
      <c r="R194" s="75">
        <f>VLOOKUP($A194,'Data Vlaue (Cr)'!$C:$FB,125)</f>
        <v>0.63</v>
      </c>
      <c r="S194" s="75">
        <f>VLOOKUP($A194,'Data Vlaue (Cr)'!$C:$FB,128)*100</f>
        <v>-18.18</v>
      </c>
    </row>
    <row r="195" spans="1:19" x14ac:dyDescent="0.25">
      <c r="A195" s="96" t="str">
        <f>'Data Vlaue (Cr)'!C186</f>
        <v>SONACOMS</v>
      </c>
      <c r="B195" s="75">
        <f>VLOOKUP($A195,'Data Vlaue (Cr)'!$C:$FB,2)</f>
        <v>1225</v>
      </c>
      <c r="C195" s="75">
        <f>VLOOKUP($A195,'Data Vlaue (Cr)'!$C:$FB,8)</f>
        <v>582.6</v>
      </c>
      <c r="D195" s="75">
        <f>VLOOKUP($A195,'Data Vlaue (Cr)'!$C:$FB,4)</f>
        <v>586.45000000000005</v>
      </c>
      <c r="E195" s="75">
        <f>VLOOKUP($A195,'Data Vlaue (Cr)'!$C:$FB,5)</f>
        <v>578.54999999999995</v>
      </c>
      <c r="F195" s="75">
        <f t="shared" si="30"/>
        <v>3.8500000000000227</v>
      </c>
      <c r="G195" s="75">
        <f t="shared" si="31"/>
        <v>1.3470884133344856</v>
      </c>
      <c r="H195" s="75">
        <f>VLOOKUP($A195,'Data Vlaue (Cr)'!$C:$FB,99)</f>
        <v>1363</v>
      </c>
      <c r="I195" s="75">
        <f>VLOOKUP($A195,'Data Vlaue (Cr)'!$C:$FB,100)</f>
        <v>1384</v>
      </c>
      <c r="J195" s="75">
        <f t="shared" si="32"/>
        <v>-21</v>
      </c>
      <c r="K195" s="75">
        <f t="shared" si="33"/>
        <v>-1.5407190022010271</v>
      </c>
      <c r="L195" s="75">
        <f>VLOOKUP($A195,'Data Vlaue (Cr)'!$C:$FB,67)</f>
        <v>532</v>
      </c>
      <c r="M195" s="75">
        <f>VLOOKUP($A195,'Data Vlaue (Cr)'!$C:$FB,68)</f>
        <v>718</v>
      </c>
      <c r="N195" s="75">
        <f t="shared" si="34"/>
        <v>-186</v>
      </c>
      <c r="O195" s="75">
        <f t="shared" si="35"/>
        <v>-34.962406015037594</v>
      </c>
      <c r="P195" s="75">
        <f>VLOOKUP($A195,'Data Vlaue (Cr)'!$C:$FB,119)</f>
        <v>0.57999999999999996</v>
      </c>
      <c r="Q195" s="75">
        <f>VLOOKUP($A195,'Data Vlaue (Cr)'!$C:$FB,122)*100</f>
        <v>1.7500000000000002</v>
      </c>
      <c r="R195" s="75">
        <f>VLOOKUP($A195,'Data Vlaue (Cr)'!$C:$FB,125)</f>
        <v>0.39</v>
      </c>
      <c r="S195" s="75">
        <f>VLOOKUP($A195,'Data Vlaue (Cr)'!$C:$FB,128)*100</f>
        <v>-22</v>
      </c>
    </row>
    <row r="196" spans="1:19" x14ac:dyDescent="0.25">
      <c r="A196" s="96" t="str">
        <f>'Data Vlaue (Cr)'!C187</f>
        <v>SRF</v>
      </c>
      <c r="B196" s="75">
        <f>VLOOKUP($A196,'Data Vlaue (Cr)'!$C:$FB,2)</f>
        <v>200</v>
      </c>
      <c r="C196" s="75">
        <f>VLOOKUP($A196,'Data Vlaue (Cr)'!$C:$FB,8)</f>
        <v>2719.6</v>
      </c>
      <c r="D196" s="75">
        <f>VLOOKUP($A196,'Data Vlaue (Cr)'!$C:$FB,4)</f>
        <v>2735.6</v>
      </c>
      <c r="E196" s="75">
        <f>VLOOKUP($A196,'Data Vlaue (Cr)'!$C:$FB,5)</f>
        <v>2542.5</v>
      </c>
      <c r="F196" s="75">
        <f t="shared" si="30"/>
        <v>16</v>
      </c>
      <c r="G196" s="75">
        <f t="shared" si="31"/>
        <v>7.0587805234683403</v>
      </c>
      <c r="H196" s="75">
        <f>VLOOKUP($A196,'Data Vlaue (Cr)'!$C:$FB,99)</f>
        <v>2088</v>
      </c>
      <c r="I196" s="75">
        <f>VLOOKUP($A196,'Data Vlaue (Cr)'!$C:$FB,100)</f>
        <v>1739</v>
      </c>
      <c r="J196" s="75">
        <f t="shared" si="32"/>
        <v>349</v>
      </c>
      <c r="K196" s="75">
        <f t="shared" si="33"/>
        <v>16.714559386973178</v>
      </c>
      <c r="L196" s="75">
        <f>VLOOKUP($A196,'Data Vlaue (Cr)'!$C:$FB,67)</f>
        <v>11813</v>
      </c>
      <c r="M196" s="75">
        <f>VLOOKUP($A196,'Data Vlaue (Cr)'!$C:$FB,68)</f>
        <v>1560</v>
      </c>
      <c r="N196" s="75">
        <f t="shared" si="34"/>
        <v>10253</v>
      </c>
      <c r="O196" s="75">
        <f t="shared" si="35"/>
        <v>86.794209768898668</v>
      </c>
      <c r="P196" s="75">
        <f>VLOOKUP($A196,'Data Vlaue (Cr)'!$C:$FB,119)</f>
        <v>0.99</v>
      </c>
      <c r="Q196" s="75">
        <f>VLOOKUP($A196,'Data Vlaue (Cr)'!$C:$FB,122)*100</f>
        <v>30.259999999999998</v>
      </c>
      <c r="R196" s="75">
        <f>VLOOKUP($A196,'Data Vlaue (Cr)'!$C:$FB,125)</f>
        <v>0.43</v>
      </c>
      <c r="S196" s="75">
        <f>VLOOKUP($A196,'Data Vlaue (Cr)'!$C:$FB,128)*100</f>
        <v>-10.42</v>
      </c>
    </row>
    <row r="197" spans="1:19" x14ac:dyDescent="0.25">
      <c r="A197" s="96" t="str">
        <f>'Data Vlaue (Cr)'!C188</f>
        <v>SUNPHARMA</v>
      </c>
      <c r="B197" s="75">
        <f>VLOOKUP($A197,'Data Vlaue (Cr)'!$C:$FB,2)</f>
        <v>350</v>
      </c>
      <c r="C197" s="75">
        <f>VLOOKUP($A197,'Data Vlaue (Cr)'!$C:$FB,8)</f>
        <v>1850.2</v>
      </c>
      <c r="D197" s="75">
        <f>VLOOKUP($A197,'Data Vlaue (Cr)'!$C:$FB,4)</f>
        <v>1857.5</v>
      </c>
      <c r="E197" s="75">
        <f>VLOOKUP($A197,'Data Vlaue (Cr)'!$C:$FB,5)</f>
        <v>1825.4</v>
      </c>
      <c r="F197" s="75">
        <f t="shared" si="30"/>
        <v>7.2999999999999545</v>
      </c>
      <c r="G197" s="75">
        <f t="shared" si="31"/>
        <v>1.7281292059219331</v>
      </c>
      <c r="H197" s="75">
        <f>VLOOKUP($A197,'Data Vlaue (Cr)'!$C:$FB,99)</f>
        <v>8416</v>
      </c>
      <c r="I197" s="75">
        <f>VLOOKUP($A197,'Data Vlaue (Cr)'!$C:$FB,100)</f>
        <v>8273</v>
      </c>
      <c r="J197" s="75">
        <f t="shared" si="32"/>
        <v>143</v>
      </c>
      <c r="K197" s="75">
        <f t="shared" si="33"/>
        <v>1.6991444866920151</v>
      </c>
      <c r="L197" s="75">
        <f>VLOOKUP($A197,'Data Vlaue (Cr)'!$C:$FB,67)</f>
        <v>5378</v>
      </c>
      <c r="M197" s="75">
        <f>VLOOKUP($A197,'Data Vlaue (Cr)'!$C:$FB,68)</f>
        <v>2792</v>
      </c>
      <c r="N197" s="75">
        <f t="shared" si="34"/>
        <v>2586</v>
      </c>
      <c r="O197" s="75">
        <f t="shared" si="35"/>
        <v>48.084789884715505</v>
      </c>
      <c r="P197" s="75">
        <f>VLOOKUP($A197,'Data Vlaue (Cr)'!$C:$FB,119)</f>
        <v>0.77</v>
      </c>
      <c r="Q197" s="75">
        <f>VLOOKUP($A197,'Data Vlaue (Cr)'!$C:$FB,122)*100</f>
        <v>8.4500000000000011</v>
      </c>
      <c r="R197" s="75">
        <f>VLOOKUP($A197,'Data Vlaue (Cr)'!$C:$FB,125)</f>
        <v>0.51</v>
      </c>
      <c r="S197" s="75">
        <f>VLOOKUP($A197,'Data Vlaue (Cr)'!$C:$FB,128)*100</f>
        <v>-25</v>
      </c>
    </row>
    <row r="198" spans="1:19" x14ac:dyDescent="0.25">
      <c r="A198" s="96" t="str">
        <f>'Data Vlaue (Cr)'!C189</f>
        <v>SUPREMEIND</v>
      </c>
      <c r="B198" s="75">
        <f>VLOOKUP($A198,'Data Vlaue (Cr)'!$C:$FB,2)</f>
        <v>175</v>
      </c>
      <c r="C198" s="75">
        <f>VLOOKUP($A198,'Data Vlaue (Cr)'!$C:$FB,8)</f>
        <v>3709.4</v>
      </c>
      <c r="D198" s="75">
        <f>VLOOKUP($A198,'Data Vlaue (Cr)'!$C:$FB,4)</f>
        <v>3735.7</v>
      </c>
      <c r="E198" s="75">
        <f>VLOOKUP($A198,'Data Vlaue (Cr)'!$C:$FB,5)</f>
        <v>3650.6</v>
      </c>
      <c r="F198" s="75">
        <f t="shared" si="30"/>
        <v>26.299999999999727</v>
      </c>
      <c r="G198" s="75">
        <f t="shared" si="31"/>
        <v>2.2780201836335872</v>
      </c>
      <c r="H198" s="75">
        <f>VLOOKUP($A198,'Data Vlaue (Cr)'!$C:$FB,99)</f>
        <v>1312</v>
      </c>
      <c r="I198" s="75">
        <f>VLOOKUP($A198,'Data Vlaue (Cr)'!$C:$FB,100)</f>
        <v>1334</v>
      </c>
      <c r="J198" s="75">
        <f t="shared" si="32"/>
        <v>-22</v>
      </c>
      <c r="K198" s="75">
        <f t="shared" si="33"/>
        <v>-1.6768292682926831</v>
      </c>
      <c r="L198" s="75">
        <f>VLOOKUP($A198,'Data Vlaue (Cr)'!$C:$FB,67)</f>
        <v>795</v>
      </c>
      <c r="M198" s="75">
        <f>VLOOKUP($A198,'Data Vlaue (Cr)'!$C:$FB,68)</f>
        <v>387</v>
      </c>
      <c r="N198" s="75">
        <f t="shared" si="34"/>
        <v>408</v>
      </c>
      <c r="O198" s="75">
        <f t="shared" si="35"/>
        <v>51.320754716981135</v>
      </c>
      <c r="P198" s="75">
        <f>VLOOKUP($A198,'Data Vlaue (Cr)'!$C:$FB,119)</f>
        <v>0.43</v>
      </c>
      <c r="Q198" s="75">
        <f>VLOOKUP($A198,'Data Vlaue (Cr)'!$C:$FB,122)*100</f>
        <v>2.3800000000000003</v>
      </c>
      <c r="R198" s="75">
        <f>VLOOKUP($A198,'Data Vlaue (Cr)'!$C:$FB,125)</f>
        <v>0.64</v>
      </c>
      <c r="S198" s="75">
        <f>VLOOKUP($A198,'Data Vlaue (Cr)'!$C:$FB,128)*100</f>
        <v>128.57</v>
      </c>
    </row>
    <row r="199" spans="1:19" x14ac:dyDescent="0.25">
      <c r="A199" s="96" t="str">
        <f>'Data Vlaue (Cr)'!C190</f>
        <v>SUZLON</v>
      </c>
      <c r="B199" s="75">
        <f>VLOOKUP($A199,'Data Vlaue (Cr)'!$C:$FB,2)</f>
        <v>9025</v>
      </c>
      <c r="C199" s="75">
        <f>VLOOKUP($A199,'Data Vlaue (Cr)'!$C:$FB,8)</f>
        <v>54.32</v>
      </c>
      <c r="D199" s="75">
        <f>VLOOKUP($A199,'Data Vlaue (Cr)'!$C:$FB,4)</f>
        <v>54.62</v>
      </c>
      <c r="E199" s="75">
        <f>VLOOKUP($A199,'Data Vlaue (Cr)'!$C:$FB,5)</f>
        <v>55.07</v>
      </c>
      <c r="F199" s="75">
        <f t="shared" si="30"/>
        <v>0.29999999999999716</v>
      </c>
      <c r="G199" s="75">
        <f t="shared" si="31"/>
        <v>-0.82387403881362653</v>
      </c>
      <c r="H199" s="75">
        <f>VLOOKUP($A199,'Data Vlaue (Cr)'!$C:$FB,99)</f>
        <v>2830</v>
      </c>
      <c r="I199" s="75">
        <f>VLOOKUP($A199,'Data Vlaue (Cr)'!$C:$FB,100)</f>
        <v>2765</v>
      </c>
      <c r="J199" s="75">
        <f t="shared" si="32"/>
        <v>65</v>
      </c>
      <c r="K199" s="75">
        <f t="shared" si="33"/>
        <v>2.2968197879858656</v>
      </c>
      <c r="L199" s="75">
        <f>VLOOKUP($A199,'Data Vlaue (Cr)'!$C:$FB,67)</f>
        <v>1276</v>
      </c>
      <c r="M199" s="75">
        <f>VLOOKUP($A199,'Data Vlaue (Cr)'!$C:$FB,68)</f>
        <v>1080</v>
      </c>
      <c r="N199" s="75">
        <f t="shared" si="34"/>
        <v>196</v>
      </c>
      <c r="O199" s="75">
        <f t="shared" si="35"/>
        <v>15.360501567398119</v>
      </c>
      <c r="P199" s="75">
        <f>VLOOKUP($A199,'Data Vlaue (Cr)'!$C:$FB,119)</f>
        <v>0.38</v>
      </c>
      <c r="Q199" s="75">
        <f>VLOOKUP($A199,'Data Vlaue (Cr)'!$C:$FB,122)*100</f>
        <v>-2.56</v>
      </c>
      <c r="R199" s="75">
        <f>VLOOKUP($A199,'Data Vlaue (Cr)'!$C:$FB,125)</f>
        <v>0.28999999999999998</v>
      </c>
      <c r="S199" s="75">
        <f>VLOOKUP($A199,'Data Vlaue (Cr)'!$C:$FB,128)*100</f>
        <v>-6.45</v>
      </c>
    </row>
    <row r="200" spans="1:19" x14ac:dyDescent="0.25">
      <c r="A200" s="96" t="str">
        <f>'Data Vlaue (Cr)'!C191</f>
        <v>SWIGGY</v>
      </c>
      <c r="B200" s="75">
        <f>VLOOKUP($A200,'Data Vlaue (Cr)'!$C:$FB,2)</f>
        <v>1300</v>
      </c>
      <c r="C200" s="75">
        <f>VLOOKUP($A200,'Data Vlaue (Cr)'!$C:$FB,8)</f>
        <v>279.85000000000002</v>
      </c>
      <c r="D200" s="75">
        <f>VLOOKUP($A200,'Data Vlaue (Cr)'!$C:$FB,4)</f>
        <v>281.60000000000002</v>
      </c>
      <c r="E200" s="75">
        <f>VLOOKUP($A200,'Data Vlaue (Cr)'!$C:$FB,5)</f>
        <v>274.8</v>
      </c>
      <c r="F200" s="75">
        <f t="shared" si="30"/>
        <v>1.75</v>
      </c>
      <c r="G200" s="75">
        <f t="shared" si="31"/>
        <v>2.4147727272727311</v>
      </c>
      <c r="H200" s="75">
        <f>VLOOKUP($A200,'Data Vlaue (Cr)'!$C:$FB,99)</f>
        <v>1673</v>
      </c>
      <c r="I200" s="75">
        <f>VLOOKUP($A200,'Data Vlaue (Cr)'!$C:$FB,100)</f>
        <v>1664</v>
      </c>
      <c r="J200" s="75">
        <f t="shared" si="32"/>
        <v>9</v>
      </c>
      <c r="K200" s="75">
        <f t="shared" si="33"/>
        <v>0.53795576808129109</v>
      </c>
      <c r="L200" s="75">
        <f>VLOOKUP($A200,'Data Vlaue (Cr)'!$C:$FB,67)</f>
        <v>440</v>
      </c>
      <c r="M200" s="75">
        <f>VLOOKUP($A200,'Data Vlaue (Cr)'!$C:$FB,68)</f>
        <v>426</v>
      </c>
      <c r="N200" s="75">
        <f t="shared" si="34"/>
        <v>14</v>
      </c>
      <c r="O200" s="75">
        <f t="shared" si="35"/>
        <v>3.1818181818181817</v>
      </c>
      <c r="P200" s="75">
        <f>VLOOKUP($A200,'Data Vlaue (Cr)'!$C:$FB,119)</f>
        <v>0.59</v>
      </c>
      <c r="Q200" s="75">
        <f>VLOOKUP($A200,'Data Vlaue (Cr)'!$C:$FB,122)*100</f>
        <v>0</v>
      </c>
      <c r="R200" s="75">
        <f>VLOOKUP($A200,'Data Vlaue (Cr)'!$C:$FB,125)</f>
        <v>0.42</v>
      </c>
      <c r="S200" s="75">
        <f>VLOOKUP($A200,'Data Vlaue (Cr)'!$C:$FB,128)*100</f>
        <v>23.53</v>
      </c>
    </row>
    <row r="201" spans="1:19" x14ac:dyDescent="0.25">
      <c r="A201" s="96" t="str">
        <f>'Data Vlaue (Cr)'!C192</f>
        <v>TATACONSUM</v>
      </c>
      <c r="B201" s="75">
        <f>VLOOKUP($A201,'Data Vlaue (Cr)'!$C:$FB,2)</f>
        <v>550</v>
      </c>
      <c r="C201" s="75">
        <f>VLOOKUP($A201,'Data Vlaue (Cr)'!$C:$FB,8)</f>
        <v>1152.2</v>
      </c>
      <c r="D201" s="75">
        <f>VLOOKUP($A201,'Data Vlaue (Cr)'!$C:$FB,4)</f>
        <v>1158.5</v>
      </c>
      <c r="E201" s="75">
        <f>VLOOKUP($A201,'Data Vlaue (Cr)'!$C:$FB,5)</f>
        <v>1158.9000000000001</v>
      </c>
      <c r="F201" s="75">
        <f t="shared" si="30"/>
        <v>6.2999999999999545</v>
      </c>
      <c r="G201" s="75">
        <f t="shared" si="31"/>
        <v>-3.4527406128622436E-2</v>
      </c>
      <c r="H201" s="75">
        <f>VLOOKUP($A201,'Data Vlaue (Cr)'!$C:$FB,99)</f>
        <v>1621</v>
      </c>
      <c r="I201" s="75">
        <f>VLOOKUP($A201,'Data Vlaue (Cr)'!$C:$FB,100)</f>
        <v>1556</v>
      </c>
      <c r="J201" s="75">
        <f t="shared" si="32"/>
        <v>65</v>
      </c>
      <c r="K201" s="75">
        <f t="shared" si="33"/>
        <v>4.0098704503392968</v>
      </c>
      <c r="L201" s="75">
        <f>VLOOKUP($A201,'Data Vlaue (Cr)'!$C:$FB,67)</f>
        <v>768</v>
      </c>
      <c r="M201" s="75">
        <f>VLOOKUP($A201,'Data Vlaue (Cr)'!$C:$FB,68)</f>
        <v>358</v>
      </c>
      <c r="N201" s="75">
        <f t="shared" si="34"/>
        <v>410</v>
      </c>
      <c r="O201" s="75">
        <f t="shared" si="35"/>
        <v>53.385416666666664</v>
      </c>
      <c r="P201" s="75">
        <f>VLOOKUP($A201,'Data Vlaue (Cr)'!$C:$FB,119)</f>
        <v>0.47</v>
      </c>
      <c r="Q201" s="75">
        <f>VLOOKUP($A201,'Data Vlaue (Cr)'!$C:$FB,122)*100</f>
        <v>-11.32</v>
      </c>
      <c r="R201" s="75">
        <f>VLOOKUP($A201,'Data Vlaue (Cr)'!$C:$FB,125)</f>
        <v>0.26</v>
      </c>
      <c r="S201" s="75">
        <f>VLOOKUP($A201,'Data Vlaue (Cr)'!$C:$FB,128)*100</f>
        <v>-13.33</v>
      </c>
    </row>
    <row r="202" spans="1:19" x14ac:dyDescent="0.25">
      <c r="A202" s="96" t="str">
        <f>'Data Vlaue (Cr)'!C193</f>
        <v>TATAELXSI</v>
      </c>
      <c r="B202" s="75">
        <f>VLOOKUP($A202,'Data Vlaue (Cr)'!$C:$FB,2)</f>
        <v>100</v>
      </c>
      <c r="C202" s="75">
        <f>VLOOKUP($A202,'Data Vlaue (Cr)'!$C:$FB,8)</f>
        <v>4281.3</v>
      </c>
      <c r="D202" s="75">
        <f>VLOOKUP($A202,'Data Vlaue (Cr)'!$C:$FB,4)</f>
        <v>4284.7</v>
      </c>
      <c r="E202" s="75">
        <f>VLOOKUP($A202,'Data Vlaue (Cr)'!$C:$FB,5)</f>
        <v>4218.6000000000004</v>
      </c>
      <c r="F202" s="75">
        <f t="shared" si="30"/>
        <v>3.3999999999996362</v>
      </c>
      <c r="G202" s="75">
        <f t="shared" si="31"/>
        <v>1.5426984386304632</v>
      </c>
      <c r="H202" s="75">
        <f>VLOOKUP($A202,'Data Vlaue (Cr)'!$C:$FB,99)</f>
        <v>1857</v>
      </c>
      <c r="I202" s="75">
        <f>VLOOKUP($A202,'Data Vlaue (Cr)'!$C:$FB,100)</f>
        <v>1863</v>
      </c>
      <c r="J202" s="75">
        <f t="shared" si="32"/>
        <v>-6</v>
      </c>
      <c r="K202" s="75">
        <f t="shared" si="33"/>
        <v>-0.32310177705977383</v>
      </c>
      <c r="L202" s="75">
        <f>VLOOKUP($A202,'Data Vlaue (Cr)'!$C:$FB,67)</f>
        <v>1310</v>
      </c>
      <c r="M202" s="75">
        <f>VLOOKUP($A202,'Data Vlaue (Cr)'!$C:$FB,68)</f>
        <v>645</v>
      </c>
      <c r="N202" s="75">
        <f t="shared" si="34"/>
        <v>665</v>
      </c>
      <c r="O202" s="75">
        <f t="shared" si="35"/>
        <v>50.763358778625957</v>
      </c>
      <c r="P202" s="75">
        <f>VLOOKUP($A202,'Data Vlaue (Cr)'!$C:$FB,119)</f>
        <v>0.45</v>
      </c>
      <c r="Q202" s="75">
        <f>VLOOKUP($A202,'Data Vlaue (Cr)'!$C:$FB,122)*100</f>
        <v>4.6500000000000004</v>
      </c>
      <c r="R202" s="75">
        <f>VLOOKUP($A202,'Data Vlaue (Cr)'!$C:$FB,125)</f>
        <v>0.3</v>
      </c>
      <c r="S202" s="75">
        <f>VLOOKUP($A202,'Data Vlaue (Cr)'!$C:$FB,128)*100</f>
        <v>-11.76</v>
      </c>
    </row>
    <row r="203" spans="1:19" x14ac:dyDescent="0.25">
      <c r="A203" s="96" t="str">
        <f>'Data Vlaue (Cr)'!C194</f>
        <v>TATAPOWER</v>
      </c>
      <c r="B203" s="75">
        <f>VLOOKUP($A203,'Data Vlaue (Cr)'!$C:$FB,2)</f>
        <v>1450</v>
      </c>
      <c r="C203" s="75">
        <f>VLOOKUP($A203,'Data Vlaue (Cr)'!$C:$FB,8)</f>
        <v>443.25</v>
      </c>
      <c r="D203" s="75">
        <f>VLOOKUP($A203,'Data Vlaue (Cr)'!$C:$FB,4)</f>
        <v>445.05</v>
      </c>
      <c r="E203" s="75">
        <f>VLOOKUP($A203,'Data Vlaue (Cr)'!$C:$FB,5)</f>
        <v>443.75</v>
      </c>
      <c r="F203" s="75">
        <f t="shared" si="30"/>
        <v>1.8000000000000114</v>
      </c>
      <c r="G203" s="75">
        <f t="shared" si="31"/>
        <v>0.29210201101000138</v>
      </c>
      <c r="H203" s="75">
        <f>VLOOKUP($A203,'Data Vlaue (Cr)'!$C:$FB,99)</f>
        <v>4304</v>
      </c>
      <c r="I203" s="75">
        <f>VLOOKUP($A203,'Data Vlaue (Cr)'!$C:$FB,100)</f>
        <v>4281</v>
      </c>
      <c r="J203" s="75">
        <f t="shared" si="32"/>
        <v>23</v>
      </c>
      <c r="K203" s="75">
        <f t="shared" si="33"/>
        <v>0.53438661710037172</v>
      </c>
      <c r="L203" s="75">
        <f>VLOOKUP($A203,'Data Vlaue (Cr)'!$C:$FB,67)</f>
        <v>1568</v>
      </c>
      <c r="M203" s="75">
        <f>VLOOKUP($A203,'Data Vlaue (Cr)'!$C:$FB,68)</f>
        <v>2920</v>
      </c>
      <c r="N203" s="75">
        <f t="shared" si="34"/>
        <v>-1352</v>
      </c>
      <c r="O203" s="75">
        <f t="shared" si="35"/>
        <v>-86.224489795918373</v>
      </c>
      <c r="P203" s="75">
        <f>VLOOKUP($A203,'Data Vlaue (Cr)'!$C:$FB,119)</f>
        <v>0.6</v>
      </c>
      <c r="Q203" s="75">
        <f>VLOOKUP($A203,'Data Vlaue (Cr)'!$C:$FB,122)*100</f>
        <v>-4.7600000000000007</v>
      </c>
      <c r="R203" s="75">
        <f>VLOOKUP($A203,'Data Vlaue (Cr)'!$C:$FB,125)</f>
        <v>0.36</v>
      </c>
      <c r="S203" s="75">
        <f>VLOOKUP($A203,'Data Vlaue (Cr)'!$C:$FB,128)*100</f>
        <v>-12.2</v>
      </c>
    </row>
    <row r="204" spans="1:19" x14ac:dyDescent="0.25">
      <c r="A204" s="96" t="str">
        <f>'Data Vlaue (Cr)'!C195</f>
        <v>TATASTEEL</v>
      </c>
      <c r="B204" s="75">
        <f>VLOOKUP($A204,'Data Vlaue (Cr)'!$C:$FB,2)</f>
        <v>2750</v>
      </c>
      <c r="C204" s="75">
        <f>VLOOKUP($A204,'Data Vlaue (Cr)'!$C:$FB,8)</f>
        <v>215.47</v>
      </c>
      <c r="D204" s="75">
        <f>VLOOKUP($A204,'Data Vlaue (Cr)'!$C:$FB,4)</f>
        <v>216.73</v>
      </c>
      <c r="E204" s="75">
        <f>VLOOKUP($A204,'Data Vlaue (Cr)'!$C:$FB,5)</f>
        <v>212.45</v>
      </c>
      <c r="F204" s="75">
        <f t="shared" si="30"/>
        <v>1.2599999999999909</v>
      </c>
      <c r="G204" s="75">
        <f t="shared" si="31"/>
        <v>1.9748073640012926</v>
      </c>
      <c r="H204" s="75">
        <f>VLOOKUP($A204,'Data Vlaue (Cr)'!$C:$FB,99)</f>
        <v>7026</v>
      </c>
      <c r="I204" s="75">
        <f>VLOOKUP($A204,'Data Vlaue (Cr)'!$C:$FB,100)</f>
        <v>6998</v>
      </c>
      <c r="J204" s="75">
        <f t="shared" si="32"/>
        <v>28</v>
      </c>
      <c r="K204" s="75">
        <f t="shared" si="33"/>
        <v>0.39851978366068891</v>
      </c>
      <c r="L204" s="75">
        <f>VLOOKUP($A204,'Data Vlaue (Cr)'!$C:$FB,67)</f>
        <v>3305</v>
      </c>
      <c r="M204" s="75">
        <f>VLOOKUP($A204,'Data Vlaue (Cr)'!$C:$FB,68)</f>
        <v>1962</v>
      </c>
      <c r="N204" s="75">
        <f t="shared" si="34"/>
        <v>1343</v>
      </c>
      <c r="O204" s="75">
        <f t="shared" si="35"/>
        <v>40.635400907715578</v>
      </c>
      <c r="P204" s="75">
        <f>VLOOKUP($A204,'Data Vlaue (Cr)'!$C:$FB,119)</f>
        <v>0.71</v>
      </c>
      <c r="Q204" s="75">
        <f>VLOOKUP($A204,'Data Vlaue (Cr)'!$C:$FB,122)*100</f>
        <v>9.2299999999999986</v>
      </c>
      <c r="R204" s="75">
        <f>VLOOKUP($A204,'Data Vlaue (Cr)'!$C:$FB,125)</f>
        <v>0.69</v>
      </c>
      <c r="S204" s="75">
        <f>VLOOKUP($A204,'Data Vlaue (Cr)'!$C:$FB,128)*100</f>
        <v>0</v>
      </c>
    </row>
    <row r="205" spans="1:19" x14ac:dyDescent="0.25">
      <c r="A205" s="96" t="str">
        <f>'Data Vlaue (Cr)'!C196</f>
        <v>TCS</v>
      </c>
      <c r="B205" s="75">
        <f>VLOOKUP($A205,'Data Vlaue (Cr)'!$C:$FB,2)</f>
        <v>175</v>
      </c>
      <c r="C205" s="75">
        <f>VLOOKUP($A205,'Data Vlaue (Cr)'!$C:$FB,8)</f>
        <v>2435.4</v>
      </c>
      <c r="D205" s="75">
        <f>VLOOKUP($A205,'Data Vlaue (Cr)'!$C:$FB,4)</f>
        <v>2409.5</v>
      </c>
      <c r="E205" s="75">
        <f>VLOOKUP($A205,'Data Vlaue (Cr)'!$C:$FB,5)</f>
        <v>2418.1999999999998</v>
      </c>
      <c r="F205" s="75">
        <f t="shared" si="30"/>
        <v>-25.900000000000091</v>
      </c>
      <c r="G205" s="75">
        <f t="shared" si="31"/>
        <v>-0.36107076156878265</v>
      </c>
      <c r="H205" s="75">
        <f>VLOOKUP($A205,'Data Vlaue (Cr)'!$C:$FB,99)</f>
        <v>14757</v>
      </c>
      <c r="I205" s="75">
        <f>VLOOKUP($A205,'Data Vlaue (Cr)'!$C:$FB,100)</f>
        <v>13959</v>
      </c>
      <c r="J205" s="75">
        <f t="shared" si="32"/>
        <v>798</v>
      </c>
      <c r="K205" s="75">
        <f t="shared" si="33"/>
        <v>5.4076031713762962</v>
      </c>
      <c r="L205" s="75">
        <f>VLOOKUP($A205,'Data Vlaue (Cr)'!$C:$FB,67)</f>
        <v>6802</v>
      </c>
      <c r="M205" s="75">
        <f>VLOOKUP($A205,'Data Vlaue (Cr)'!$C:$FB,68)</f>
        <v>3234</v>
      </c>
      <c r="N205" s="75">
        <f t="shared" si="34"/>
        <v>3568</v>
      </c>
      <c r="O205" s="75">
        <f t="shared" si="35"/>
        <v>52.455160246986175</v>
      </c>
      <c r="P205" s="75">
        <f>VLOOKUP($A205,'Data Vlaue (Cr)'!$C:$FB,119)</f>
        <v>0.68</v>
      </c>
      <c r="Q205" s="75">
        <f>VLOOKUP($A205,'Data Vlaue (Cr)'!$C:$FB,122)*100</f>
        <v>-4.2299999999999995</v>
      </c>
      <c r="R205" s="75">
        <f>VLOOKUP($A205,'Data Vlaue (Cr)'!$C:$FB,125)</f>
        <v>0.5</v>
      </c>
      <c r="S205" s="75">
        <f>VLOOKUP($A205,'Data Vlaue (Cr)'!$C:$FB,128)*100</f>
        <v>16.28</v>
      </c>
    </row>
    <row r="206" spans="1:19" x14ac:dyDescent="0.25">
      <c r="A206" s="96" t="str">
        <f>'Data Vlaue (Cr)'!C197</f>
        <v>TECHM</v>
      </c>
      <c r="B206" s="75">
        <f>VLOOKUP($A206,'Data Vlaue (Cr)'!$C:$FB,2)</f>
        <v>600</v>
      </c>
      <c r="C206" s="75">
        <f>VLOOKUP($A206,'Data Vlaue (Cr)'!$C:$FB,8)</f>
        <v>1466.7</v>
      </c>
      <c r="D206" s="75">
        <f>VLOOKUP($A206,'Data Vlaue (Cr)'!$C:$FB,4)</f>
        <v>1466</v>
      </c>
      <c r="E206" s="75">
        <f>VLOOKUP($A206,'Data Vlaue (Cr)'!$C:$FB,5)</f>
        <v>1453.8</v>
      </c>
      <c r="F206" s="75">
        <f t="shared" si="30"/>
        <v>-0.70000000000004547</v>
      </c>
      <c r="G206" s="75">
        <f t="shared" si="31"/>
        <v>0.83219645293315447</v>
      </c>
      <c r="H206" s="75">
        <f>VLOOKUP($A206,'Data Vlaue (Cr)'!$C:$FB,99)</f>
        <v>4517</v>
      </c>
      <c r="I206" s="75">
        <f>VLOOKUP($A206,'Data Vlaue (Cr)'!$C:$FB,100)</f>
        <v>4503</v>
      </c>
      <c r="J206" s="75">
        <f t="shared" si="32"/>
        <v>14</v>
      </c>
      <c r="K206" s="75">
        <f t="shared" si="33"/>
        <v>0.3099402258135931</v>
      </c>
      <c r="L206" s="75">
        <f>VLOOKUP($A206,'Data Vlaue (Cr)'!$C:$FB,67)</f>
        <v>1340</v>
      </c>
      <c r="M206" s="75">
        <f>VLOOKUP($A206,'Data Vlaue (Cr)'!$C:$FB,68)</f>
        <v>1079</v>
      </c>
      <c r="N206" s="75">
        <f t="shared" si="34"/>
        <v>261</v>
      </c>
      <c r="O206" s="75">
        <f t="shared" si="35"/>
        <v>19.477611940298509</v>
      </c>
      <c r="P206" s="75">
        <f>VLOOKUP($A206,'Data Vlaue (Cr)'!$C:$FB,119)</f>
        <v>0.68</v>
      </c>
      <c r="Q206" s="75">
        <f>VLOOKUP($A206,'Data Vlaue (Cr)'!$C:$FB,122)*100</f>
        <v>-2.86</v>
      </c>
      <c r="R206" s="75">
        <f>VLOOKUP($A206,'Data Vlaue (Cr)'!$C:$FB,125)</f>
        <v>0.49</v>
      </c>
      <c r="S206" s="75">
        <f>VLOOKUP($A206,'Data Vlaue (Cr)'!$C:$FB,128)*100</f>
        <v>-15.52</v>
      </c>
    </row>
    <row r="207" spans="1:19" x14ac:dyDescent="0.25">
      <c r="A207" s="96" t="str">
        <f>'Data Vlaue (Cr)'!C198</f>
        <v>TIINDIA</v>
      </c>
      <c r="B207" s="75">
        <f>VLOOKUP($A207,'Data Vlaue (Cr)'!$C:$FB,2)</f>
        <v>200</v>
      </c>
      <c r="C207" s="75">
        <f>VLOOKUP($A207,'Data Vlaue (Cr)'!$C:$FB,8)</f>
        <v>2917</v>
      </c>
      <c r="D207" s="75">
        <f>VLOOKUP($A207,'Data Vlaue (Cr)'!$C:$FB,4)</f>
        <v>2937.7</v>
      </c>
      <c r="E207" s="75">
        <f>VLOOKUP($A207,'Data Vlaue (Cr)'!$C:$FB,5)</f>
        <v>2949.9</v>
      </c>
      <c r="F207" s="75">
        <f t="shared" si="30"/>
        <v>20.699999999999818</v>
      </c>
      <c r="G207" s="75">
        <f t="shared" si="31"/>
        <v>-0.41529087381285612</v>
      </c>
      <c r="H207" s="75">
        <f>VLOOKUP($A207,'Data Vlaue (Cr)'!$C:$FB,99)</f>
        <v>909</v>
      </c>
      <c r="I207" s="75">
        <f>VLOOKUP($A207,'Data Vlaue (Cr)'!$C:$FB,100)</f>
        <v>883</v>
      </c>
      <c r="J207" s="75">
        <f t="shared" si="32"/>
        <v>26</v>
      </c>
      <c r="K207" s="75">
        <f t="shared" si="33"/>
        <v>2.8602860286028604</v>
      </c>
      <c r="L207" s="75">
        <f>VLOOKUP($A207,'Data Vlaue (Cr)'!$C:$FB,67)</f>
        <v>281</v>
      </c>
      <c r="M207" s="75">
        <f>VLOOKUP($A207,'Data Vlaue (Cr)'!$C:$FB,68)</f>
        <v>116</v>
      </c>
      <c r="N207" s="75">
        <f t="shared" si="34"/>
        <v>165</v>
      </c>
      <c r="O207" s="75">
        <f t="shared" si="35"/>
        <v>58.718861209964416</v>
      </c>
      <c r="P207" s="75">
        <f>VLOOKUP($A207,'Data Vlaue (Cr)'!$C:$FB,119)</f>
        <v>0.55000000000000004</v>
      </c>
      <c r="Q207" s="75">
        <f>VLOOKUP($A207,'Data Vlaue (Cr)'!$C:$FB,122)*100</f>
        <v>-19.12</v>
      </c>
      <c r="R207" s="75">
        <f>VLOOKUP($A207,'Data Vlaue (Cr)'!$C:$FB,125)</f>
        <v>0.28999999999999998</v>
      </c>
      <c r="S207" s="75">
        <f>VLOOKUP($A207,'Data Vlaue (Cr)'!$C:$FB,128)*100</f>
        <v>81.25</v>
      </c>
    </row>
    <row r="208" spans="1:19" x14ac:dyDescent="0.25">
      <c r="A208" s="96" t="str">
        <f>'Data Vlaue (Cr)'!C199</f>
        <v>TITAN</v>
      </c>
      <c r="B208" s="75">
        <f>VLOOKUP($A208,'Data Vlaue (Cr)'!$C:$FB,2)</f>
        <v>175</v>
      </c>
      <c r="C208" s="75">
        <f>VLOOKUP($A208,'Data Vlaue (Cr)'!$C:$FB,8)</f>
        <v>4359.6000000000004</v>
      </c>
      <c r="D208" s="75">
        <f>VLOOKUP($A208,'Data Vlaue (Cr)'!$C:$FB,4)</f>
        <v>4375.8999999999996</v>
      </c>
      <c r="E208" s="75">
        <f>VLOOKUP($A208,'Data Vlaue (Cr)'!$C:$FB,5)</f>
        <v>4387.6000000000004</v>
      </c>
      <c r="F208" s="75">
        <f t="shared" si="30"/>
        <v>16.299999999999272</v>
      </c>
      <c r="G208" s="75">
        <f t="shared" si="31"/>
        <v>-0.26737356886584995</v>
      </c>
      <c r="H208" s="75">
        <f>VLOOKUP($A208,'Data Vlaue (Cr)'!$C:$FB,99)</f>
        <v>5246</v>
      </c>
      <c r="I208" s="75">
        <f>VLOOKUP($A208,'Data Vlaue (Cr)'!$C:$FB,100)</f>
        <v>5265</v>
      </c>
      <c r="J208" s="75">
        <f t="shared" si="32"/>
        <v>-19</v>
      </c>
      <c r="K208" s="75">
        <f t="shared" si="33"/>
        <v>-0.36218070911170419</v>
      </c>
      <c r="L208" s="75">
        <f>VLOOKUP($A208,'Data Vlaue (Cr)'!$C:$FB,67)</f>
        <v>4188</v>
      </c>
      <c r="M208" s="75">
        <f>VLOOKUP($A208,'Data Vlaue (Cr)'!$C:$FB,68)</f>
        <v>1957</v>
      </c>
      <c r="N208" s="75">
        <f t="shared" si="34"/>
        <v>2231</v>
      </c>
      <c r="O208" s="75">
        <f t="shared" si="35"/>
        <v>53.271251193887295</v>
      </c>
      <c r="P208" s="75">
        <f>VLOOKUP($A208,'Data Vlaue (Cr)'!$C:$FB,119)</f>
        <v>0.7</v>
      </c>
      <c r="Q208" s="75">
        <f>VLOOKUP($A208,'Data Vlaue (Cr)'!$C:$FB,122)*100</f>
        <v>-11.39</v>
      </c>
      <c r="R208" s="75">
        <f>VLOOKUP($A208,'Data Vlaue (Cr)'!$C:$FB,125)</f>
        <v>0.64</v>
      </c>
      <c r="S208" s="75">
        <f>VLOOKUP($A208,'Data Vlaue (Cr)'!$C:$FB,128)*100</f>
        <v>1.59</v>
      </c>
    </row>
    <row r="209" spans="1:19" x14ac:dyDescent="0.25">
      <c r="A209" s="96" t="str">
        <f>'Data Vlaue (Cr)'!C200</f>
        <v>TMPV</v>
      </c>
      <c r="B209" s="75">
        <f>VLOOKUP($A209,'Data Vlaue (Cr)'!$C:$FB,2)</f>
        <v>800</v>
      </c>
      <c r="C209" s="75">
        <f>VLOOKUP($A209,'Data Vlaue (Cr)'!$C:$FB,8)</f>
        <v>358.15</v>
      </c>
      <c r="D209" s="75">
        <f>VLOOKUP($A209,'Data Vlaue (Cr)'!$C:$FB,4)</f>
        <v>360.35</v>
      </c>
      <c r="E209" s="75">
        <f>VLOOKUP($A209,'Data Vlaue (Cr)'!$C:$FB,5)</f>
        <v>342.1</v>
      </c>
      <c r="F209" s="75">
        <f t="shared" si="30"/>
        <v>2.2000000000000455</v>
      </c>
      <c r="G209" s="75">
        <f t="shared" si="31"/>
        <v>5.0645206049673925</v>
      </c>
      <c r="H209" s="75">
        <f>VLOOKUP($A209,'Data Vlaue (Cr)'!$C:$FB,99)</f>
        <v>4083</v>
      </c>
      <c r="I209" s="75">
        <f>VLOOKUP($A209,'Data Vlaue (Cr)'!$C:$FB,100)</f>
        <v>4046</v>
      </c>
      <c r="J209" s="75">
        <f t="shared" si="32"/>
        <v>37</v>
      </c>
      <c r="K209" s="75">
        <f t="shared" si="33"/>
        <v>0.9061964241978937</v>
      </c>
      <c r="L209" s="75">
        <f>VLOOKUP($A209,'Data Vlaue (Cr)'!$C:$FB,67)</f>
        <v>2853</v>
      </c>
      <c r="M209" s="75">
        <f>VLOOKUP($A209,'Data Vlaue (Cr)'!$C:$FB,68)</f>
        <v>1365</v>
      </c>
      <c r="N209" s="75">
        <f t="shared" si="34"/>
        <v>1488</v>
      </c>
      <c r="O209" s="75">
        <f t="shared" si="35"/>
        <v>52.15562565720294</v>
      </c>
      <c r="P209" s="75">
        <f>VLOOKUP($A209,'Data Vlaue (Cr)'!$C:$FB,119)</f>
        <v>0.65</v>
      </c>
      <c r="Q209" s="75">
        <f>VLOOKUP($A209,'Data Vlaue (Cr)'!$C:$FB,122)*100</f>
        <v>3.17</v>
      </c>
      <c r="R209" s="75">
        <f>VLOOKUP($A209,'Data Vlaue (Cr)'!$C:$FB,125)</f>
        <v>0.46</v>
      </c>
      <c r="S209" s="75">
        <f>VLOOKUP($A209,'Data Vlaue (Cr)'!$C:$FB,128)*100</f>
        <v>43.75</v>
      </c>
    </row>
    <row r="210" spans="1:19" x14ac:dyDescent="0.25">
      <c r="A210" s="96" t="str">
        <f>'Data Vlaue (Cr)'!C201</f>
        <v>TORNTPHARM</v>
      </c>
      <c r="B210" s="75">
        <f>VLOOKUP($A210,'Data Vlaue (Cr)'!$C:$FB,2)</f>
        <v>125</v>
      </c>
      <c r="C210" s="75">
        <f>VLOOKUP($A210,'Data Vlaue (Cr)'!$C:$FB,8)</f>
        <v>4358.3</v>
      </c>
      <c r="D210" s="75">
        <f>VLOOKUP($A210,'Data Vlaue (Cr)'!$C:$FB,4)</f>
        <v>4372.3</v>
      </c>
      <c r="E210" s="75">
        <f>VLOOKUP($A210,'Data Vlaue (Cr)'!$C:$FB,5)</f>
        <v>4291.7</v>
      </c>
      <c r="F210" s="75">
        <f t="shared" si="30"/>
        <v>14</v>
      </c>
      <c r="G210" s="75">
        <f t="shared" si="31"/>
        <v>1.8434233698511164</v>
      </c>
      <c r="H210" s="75">
        <f>VLOOKUP($A210,'Data Vlaue (Cr)'!$C:$FB,99)</f>
        <v>1416</v>
      </c>
      <c r="I210" s="75">
        <f>VLOOKUP($A210,'Data Vlaue (Cr)'!$C:$FB,100)</f>
        <v>1400</v>
      </c>
      <c r="J210" s="75">
        <f t="shared" si="32"/>
        <v>16</v>
      </c>
      <c r="K210" s="75">
        <f t="shared" si="33"/>
        <v>1.1299435028248588</v>
      </c>
      <c r="L210" s="75">
        <f>VLOOKUP($A210,'Data Vlaue (Cr)'!$C:$FB,67)</f>
        <v>747</v>
      </c>
      <c r="M210" s="75">
        <f>VLOOKUP($A210,'Data Vlaue (Cr)'!$C:$FB,68)</f>
        <v>368</v>
      </c>
      <c r="N210" s="75">
        <f t="shared" si="34"/>
        <v>379</v>
      </c>
      <c r="O210" s="75">
        <f t="shared" si="35"/>
        <v>50.736278447121819</v>
      </c>
      <c r="P210" s="75">
        <f>VLOOKUP($A210,'Data Vlaue (Cr)'!$C:$FB,119)</f>
        <v>0.51</v>
      </c>
      <c r="Q210" s="75">
        <f>VLOOKUP($A210,'Data Vlaue (Cr)'!$C:$FB,122)*100</f>
        <v>8.51</v>
      </c>
      <c r="R210" s="75">
        <f>VLOOKUP($A210,'Data Vlaue (Cr)'!$C:$FB,125)</f>
        <v>0.25</v>
      </c>
      <c r="S210" s="75">
        <f>VLOOKUP($A210,'Data Vlaue (Cr)'!$C:$FB,128)*100</f>
        <v>-16.669999999999998</v>
      </c>
    </row>
    <row r="211" spans="1:19" x14ac:dyDescent="0.25">
      <c r="A211" s="96" t="str">
        <f>'Data Vlaue (Cr)'!C202</f>
        <v>TRENT</v>
      </c>
      <c r="B211" s="75">
        <f>VLOOKUP($A211,'Data Vlaue (Cr)'!$C:$FB,2)</f>
        <v>100</v>
      </c>
      <c r="C211" s="75">
        <f>VLOOKUP($A211,'Data Vlaue (Cr)'!$C:$FB,8)</f>
        <v>4289.8</v>
      </c>
      <c r="D211" s="75">
        <f>VLOOKUP($A211,'Data Vlaue (Cr)'!$C:$FB,4)</f>
        <v>4318.1000000000004</v>
      </c>
      <c r="E211" s="75">
        <f>VLOOKUP($A211,'Data Vlaue (Cr)'!$C:$FB,5)</f>
        <v>4143.6000000000004</v>
      </c>
      <c r="F211" s="75">
        <f t="shared" si="30"/>
        <v>28.300000000000182</v>
      </c>
      <c r="G211" s="75">
        <f t="shared" si="31"/>
        <v>4.041129200342743</v>
      </c>
      <c r="H211" s="75">
        <f>VLOOKUP($A211,'Data Vlaue (Cr)'!$C:$FB,99)</f>
        <v>5079</v>
      </c>
      <c r="I211" s="75">
        <f>VLOOKUP($A211,'Data Vlaue (Cr)'!$C:$FB,100)</f>
        <v>5194</v>
      </c>
      <c r="J211" s="75">
        <f t="shared" si="32"/>
        <v>-115</v>
      </c>
      <c r="K211" s="75">
        <f t="shared" si="33"/>
        <v>-2.2642252411892105</v>
      </c>
      <c r="L211" s="75">
        <f>VLOOKUP($A211,'Data Vlaue (Cr)'!$C:$FB,67)</f>
        <v>5200</v>
      </c>
      <c r="M211" s="75">
        <f>VLOOKUP($A211,'Data Vlaue (Cr)'!$C:$FB,68)</f>
        <v>1544</v>
      </c>
      <c r="N211" s="75">
        <f t="shared" si="34"/>
        <v>3656</v>
      </c>
      <c r="O211" s="75">
        <f t="shared" si="35"/>
        <v>70.307692307692307</v>
      </c>
      <c r="P211" s="75">
        <f>VLOOKUP($A211,'Data Vlaue (Cr)'!$C:$FB,119)</f>
        <v>0.45</v>
      </c>
      <c r="Q211" s="75">
        <f>VLOOKUP($A211,'Data Vlaue (Cr)'!$C:$FB,122)*100</f>
        <v>15.379999999999999</v>
      </c>
      <c r="R211" s="75">
        <f>VLOOKUP($A211,'Data Vlaue (Cr)'!$C:$FB,125)</f>
        <v>0.33</v>
      </c>
      <c r="S211" s="75">
        <f>VLOOKUP($A211,'Data Vlaue (Cr)'!$C:$FB,128)*100</f>
        <v>-31.25</v>
      </c>
    </row>
    <row r="212" spans="1:19" x14ac:dyDescent="0.25">
      <c r="A212" s="96" t="str">
        <f>'Data Vlaue (Cr)'!C203</f>
        <v>TVSMOTOR</v>
      </c>
      <c r="B212" s="75">
        <f>VLOOKUP($A212,'Data Vlaue (Cr)'!$C:$FB,2)</f>
        <v>175</v>
      </c>
      <c r="C212" s="75">
        <f>VLOOKUP($A212,'Data Vlaue (Cr)'!$C:$FB,8)</f>
        <v>3617.9</v>
      </c>
      <c r="D212" s="75">
        <f>VLOOKUP($A212,'Data Vlaue (Cr)'!$C:$FB,4)</f>
        <v>3633</v>
      </c>
      <c r="E212" s="75">
        <f>VLOOKUP($A212,'Data Vlaue (Cr)'!$C:$FB,5)</f>
        <v>3543.3</v>
      </c>
      <c r="F212" s="75">
        <f t="shared" si="30"/>
        <v>15.099999999999909</v>
      </c>
      <c r="G212" s="75">
        <f t="shared" si="31"/>
        <v>2.4690338563170884</v>
      </c>
      <c r="H212" s="75">
        <f>VLOOKUP($A212,'Data Vlaue (Cr)'!$C:$FB,99)</f>
        <v>4020</v>
      </c>
      <c r="I212" s="75">
        <f>VLOOKUP($A212,'Data Vlaue (Cr)'!$C:$FB,100)</f>
        <v>4090</v>
      </c>
      <c r="J212" s="75">
        <f t="shared" si="32"/>
        <v>-70</v>
      </c>
      <c r="K212" s="75">
        <f t="shared" si="33"/>
        <v>-1.7412935323383085</v>
      </c>
      <c r="L212" s="75">
        <f>VLOOKUP($A212,'Data Vlaue (Cr)'!$C:$FB,67)</f>
        <v>2116</v>
      </c>
      <c r="M212" s="75">
        <f>VLOOKUP($A212,'Data Vlaue (Cr)'!$C:$FB,68)</f>
        <v>739</v>
      </c>
      <c r="N212" s="75">
        <f t="shared" si="34"/>
        <v>1377</v>
      </c>
      <c r="O212" s="75">
        <f t="shared" si="35"/>
        <v>65.075614366729681</v>
      </c>
      <c r="P212" s="75">
        <f>VLOOKUP($A212,'Data Vlaue (Cr)'!$C:$FB,119)</f>
        <v>0.6</v>
      </c>
      <c r="Q212" s="75">
        <f>VLOOKUP($A212,'Data Vlaue (Cr)'!$C:$FB,122)*100</f>
        <v>1.69</v>
      </c>
      <c r="R212" s="75">
        <f>VLOOKUP($A212,'Data Vlaue (Cr)'!$C:$FB,125)</f>
        <v>0.27</v>
      </c>
      <c r="S212" s="75">
        <f>VLOOKUP($A212,'Data Vlaue (Cr)'!$C:$FB,128)*100</f>
        <v>-32.5</v>
      </c>
    </row>
    <row r="213" spans="1:19" x14ac:dyDescent="0.25">
      <c r="A213" s="96" t="str">
        <f>'Data Vlaue (Cr)'!C204</f>
        <v>ULTRACEMCO</v>
      </c>
      <c r="B213" s="75">
        <f>VLOOKUP($A213,'Data Vlaue (Cr)'!$C:$FB,2)</f>
        <v>50</v>
      </c>
      <c r="C213" s="75">
        <f>VLOOKUP($A213,'Data Vlaue (Cr)'!$C:$FB,8)</f>
        <v>12093</v>
      </c>
      <c r="D213" s="75">
        <f>VLOOKUP($A213,'Data Vlaue (Cr)'!$C:$FB,4)</f>
        <v>12169</v>
      </c>
      <c r="E213" s="75">
        <f>VLOOKUP($A213,'Data Vlaue (Cr)'!$C:$FB,5)</f>
        <v>11987</v>
      </c>
      <c r="F213" s="75">
        <f t="shared" si="30"/>
        <v>76</v>
      </c>
      <c r="G213" s="75">
        <f t="shared" si="31"/>
        <v>1.4956035828745173</v>
      </c>
      <c r="H213" s="75">
        <f>VLOOKUP($A213,'Data Vlaue (Cr)'!$C:$FB,99)</f>
        <v>5331</v>
      </c>
      <c r="I213" s="75">
        <f>VLOOKUP($A213,'Data Vlaue (Cr)'!$C:$FB,100)</f>
        <v>5438</v>
      </c>
      <c r="J213" s="75">
        <f t="shared" si="32"/>
        <v>-107</v>
      </c>
      <c r="K213" s="75">
        <f t="shared" si="33"/>
        <v>-2.0071281185518663</v>
      </c>
      <c r="L213" s="75">
        <f>VLOOKUP($A213,'Data Vlaue (Cr)'!$C:$FB,67)</f>
        <v>3417</v>
      </c>
      <c r="M213" s="75">
        <f>VLOOKUP($A213,'Data Vlaue (Cr)'!$C:$FB,68)</f>
        <v>3759</v>
      </c>
      <c r="N213" s="75">
        <f t="shared" si="34"/>
        <v>-342</v>
      </c>
      <c r="O213" s="75">
        <f t="shared" si="35"/>
        <v>-10.008779631255488</v>
      </c>
      <c r="P213" s="75">
        <f>VLOOKUP($A213,'Data Vlaue (Cr)'!$C:$FB,119)</f>
        <v>0.41</v>
      </c>
      <c r="Q213" s="75">
        <f>VLOOKUP($A213,'Data Vlaue (Cr)'!$C:$FB,122)*100</f>
        <v>0</v>
      </c>
      <c r="R213" s="75">
        <f>VLOOKUP($A213,'Data Vlaue (Cr)'!$C:$FB,125)</f>
        <v>0.47</v>
      </c>
      <c r="S213" s="75">
        <f>VLOOKUP($A213,'Data Vlaue (Cr)'!$C:$FB,128)*100</f>
        <v>-2.08</v>
      </c>
    </row>
    <row r="214" spans="1:19" x14ac:dyDescent="0.25">
      <c r="A214" s="96" t="str">
        <f>'Data Vlaue (Cr)'!C205</f>
        <v>UNIONBANK</v>
      </c>
      <c r="B214" s="75">
        <f>VLOOKUP($A214,'Data Vlaue (Cr)'!$C:$FB,2)</f>
        <v>4425</v>
      </c>
      <c r="C214" s="75">
        <f>VLOOKUP($A214,'Data Vlaue (Cr)'!$C:$FB,8)</f>
        <v>168.75</v>
      </c>
      <c r="D214" s="75">
        <f>VLOOKUP($A214,'Data Vlaue (Cr)'!$C:$FB,4)</f>
        <v>169.82</v>
      </c>
      <c r="E214" s="75">
        <f>VLOOKUP($A214,'Data Vlaue (Cr)'!$C:$FB,5)</f>
        <v>164.47</v>
      </c>
      <c r="F214" s="75">
        <f t="shared" si="30"/>
        <v>1.0699999999999932</v>
      </c>
      <c r="G214" s="75">
        <f t="shared" si="31"/>
        <v>3.1503945353904097</v>
      </c>
      <c r="H214" s="75">
        <f>VLOOKUP($A214,'Data Vlaue (Cr)'!$C:$FB,99)</f>
        <v>4083</v>
      </c>
      <c r="I214" s="75">
        <f>VLOOKUP($A214,'Data Vlaue (Cr)'!$C:$FB,100)</f>
        <v>4067</v>
      </c>
      <c r="J214" s="75">
        <f t="shared" si="32"/>
        <v>16</v>
      </c>
      <c r="K214" s="75">
        <f t="shared" si="33"/>
        <v>0.39186872397746753</v>
      </c>
      <c r="L214" s="75">
        <f>VLOOKUP($A214,'Data Vlaue (Cr)'!$C:$FB,67)</f>
        <v>1888</v>
      </c>
      <c r="M214" s="75">
        <f>VLOOKUP($A214,'Data Vlaue (Cr)'!$C:$FB,68)</f>
        <v>1221</v>
      </c>
      <c r="N214" s="75">
        <f t="shared" si="34"/>
        <v>667</v>
      </c>
      <c r="O214" s="75">
        <f t="shared" si="35"/>
        <v>35.32838983050847</v>
      </c>
      <c r="P214" s="75">
        <f>VLOOKUP($A214,'Data Vlaue (Cr)'!$C:$FB,119)</f>
        <v>0.46</v>
      </c>
      <c r="Q214" s="75">
        <f>VLOOKUP($A214,'Data Vlaue (Cr)'!$C:$FB,122)*100</f>
        <v>-6.12</v>
      </c>
      <c r="R214" s="75">
        <f>VLOOKUP($A214,'Data Vlaue (Cr)'!$C:$FB,125)</f>
        <v>0.37</v>
      </c>
      <c r="S214" s="75">
        <f>VLOOKUP($A214,'Data Vlaue (Cr)'!$C:$FB,128)*100</f>
        <v>23.330000000000002</v>
      </c>
    </row>
    <row r="215" spans="1:19" x14ac:dyDescent="0.25">
      <c r="A215" s="96" t="str">
        <f>'Data Vlaue (Cr)'!C206</f>
        <v>UNITDSPR</v>
      </c>
      <c r="B215" s="75">
        <f>VLOOKUP($A215,'Data Vlaue (Cr)'!$C:$FB,2)</f>
        <v>400</v>
      </c>
      <c r="C215" s="75">
        <f>VLOOKUP($A215,'Data Vlaue (Cr)'!$C:$FB,8)</f>
        <v>1290.3</v>
      </c>
      <c r="D215" s="75">
        <f>VLOOKUP($A215,'Data Vlaue (Cr)'!$C:$FB,4)</f>
        <v>1298.7</v>
      </c>
      <c r="E215" s="75">
        <f>VLOOKUP($A215,'Data Vlaue (Cr)'!$C:$FB,5)</f>
        <v>1322.9</v>
      </c>
      <c r="F215" s="75">
        <f t="shared" ref="F215:F221" si="36">D215-C215</f>
        <v>8.4000000000000909</v>
      </c>
      <c r="G215" s="75">
        <f t="shared" ref="G215:G221" si="37">(D215-E215)/D215*100</f>
        <v>-1.863401863401867</v>
      </c>
      <c r="H215" s="75">
        <f>VLOOKUP($A215,'Data Vlaue (Cr)'!$C:$FB,99)</f>
        <v>2374</v>
      </c>
      <c r="I215" s="75">
        <f>VLOOKUP($A215,'Data Vlaue (Cr)'!$C:$FB,100)</f>
        <v>2154</v>
      </c>
      <c r="J215" s="75">
        <f t="shared" ref="J215:J221" si="38">H215-I215</f>
        <v>220</v>
      </c>
      <c r="K215" s="75">
        <f t="shared" ref="K215:K221" si="39">J215/H215*100</f>
        <v>9.2670598146588041</v>
      </c>
      <c r="L215" s="75">
        <f>VLOOKUP($A215,'Data Vlaue (Cr)'!$C:$FB,67)</f>
        <v>1455</v>
      </c>
      <c r="M215" s="75">
        <f>VLOOKUP($A215,'Data Vlaue (Cr)'!$C:$FB,68)</f>
        <v>269</v>
      </c>
      <c r="N215" s="75">
        <f t="shared" ref="N215:N221" si="40">L215-M215</f>
        <v>1186</v>
      </c>
      <c r="O215" s="75">
        <f t="shared" ref="O215:O221" si="41">N215/L215*100</f>
        <v>81.512027491408929</v>
      </c>
      <c r="P215" s="75">
        <f>VLOOKUP($A215,'Data Vlaue (Cr)'!$C:$FB,119)</f>
        <v>0.67</v>
      </c>
      <c r="Q215" s="75">
        <f>VLOOKUP($A215,'Data Vlaue (Cr)'!$C:$FB,122)*100</f>
        <v>-1.47</v>
      </c>
      <c r="R215" s="75">
        <f>VLOOKUP($A215,'Data Vlaue (Cr)'!$C:$FB,125)</f>
        <v>0.61</v>
      </c>
      <c r="S215" s="75">
        <f>VLOOKUP($A215,'Data Vlaue (Cr)'!$C:$FB,128)*100</f>
        <v>79.41</v>
      </c>
    </row>
    <row r="216" spans="1:19" x14ac:dyDescent="0.25">
      <c r="A216" s="96" t="str">
        <f>'Data Vlaue (Cr)'!C207</f>
        <v>UNOMINDA</v>
      </c>
      <c r="B216" s="75">
        <f>VLOOKUP($A216,'Data Vlaue (Cr)'!$C:$FB,2)</f>
        <v>550</v>
      </c>
      <c r="C216" s="75">
        <f>VLOOKUP($A216,'Data Vlaue (Cr)'!$C:$FB,8)</f>
        <v>1127.9000000000001</v>
      </c>
      <c r="D216" s="75">
        <f>VLOOKUP($A216,'Data Vlaue (Cr)'!$C:$FB,4)</f>
        <v>1133.5999999999999</v>
      </c>
      <c r="E216" s="75">
        <f>VLOOKUP($A216,'Data Vlaue (Cr)'!$C:$FB,5)</f>
        <v>1092.7</v>
      </c>
      <c r="F216" s="75">
        <f t="shared" si="36"/>
        <v>5.6999999999998181</v>
      </c>
      <c r="G216" s="75">
        <f t="shared" si="37"/>
        <v>3.6079745942131147</v>
      </c>
      <c r="H216" s="75">
        <f>VLOOKUP($A216,'Data Vlaue (Cr)'!$C:$FB,99)</f>
        <v>715</v>
      </c>
      <c r="I216" s="75">
        <f>VLOOKUP($A216,'Data Vlaue (Cr)'!$C:$FB,100)</f>
        <v>698</v>
      </c>
      <c r="J216" s="75">
        <f t="shared" si="38"/>
        <v>17</v>
      </c>
      <c r="K216" s="75">
        <f t="shared" si="39"/>
        <v>2.3776223776223775</v>
      </c>
      <c r="L216" s="75">
        <f>VLOOKUP($A216,'Data Vlaue (Cr)'!$C:$FB,67)</f>
        <v>424</v>
      </c>
      <c r="M216" s="75">
        <f>VLOOKUP($A216,'Data Vlaue (Cr)'!$C:$FB,68)</f>
        <v>362</v>
      </c>
      <c r="N216" s="75">
        <f t="shared" si="40"/>
        <v>62</v>
      </c>
      <c r="O216" s="75">
        <f t="shared" si="41"/>
        <v>14.622641509433961</v>
      </c>
      <c r="P216" s="75">
        <f>VLOOKUP($A216,'Data Vlaue (Cr)'!$C:$FB,119)</f>
        <v>0.42</v>
      </c>
      <c r="Q216" s="75">
        <f>VLOOKUP($A216,'Data Vlaue (Cr)'!$C:$FB,122)*100</f>
        <v>0</v>
      </c>
      <c r="R216" s="75">
        <f>VLOOKUP($A216,'Data Vlaue (Cr)'!$C:$FB,125)</f>
        <v>0.24</v>
      </c>
      <c r="S216" s="75">
        <f>VLOOKUP($A216,'Data Vlaue (Cr)'!$C:$FB,128)*100</f>
        <v>-51.019999999999996</v>
      </c>
    </row>
    <row r="217" spans="1:19" x14ac:dyDescent="0.25">
      <c r="A217" s="96" t="str">
        <f>'Data Vlaue (Cr)'!C208</f>
        <v>UPL</v>
      </c>
      <c r="B217" s="75">
        <f>VLOOKUP($A217,'Data Vlaue (Cr)'!$C:$FB,2)</f>
        <v>1355</v>
      </c>
      <c r="C217" s="75">
        <f>VLOOKUP($A217,'Data Vlaue (Cr)'!$C:$FB,8)</f>
        <v>660</v>
      </c>
      <c r="D217" s="75">
        <f>VLOOKUP($A217,'Data Vlaue (Cr)'!$C:$FB,4)</f>
        <v>664.5</v>
      </c>
      <c r="E217" s="75">
        <f>VLOOKUP($A217,'Data Vlaue (Cr)'!$C:$FB,5)</f>
        <v>646.25</v>
      </c>
      <c r="F217" s="75">
        <f t="shared" si="36"/>
        <v>4.5</v>
      </c>
      <c r="G217" s="75">
        <f t="shared" si="37"/>
        <v>2.7464258841234011</v>
      </c>
      <c r="H217" s="75">
        <f>VLOOKUP($A217,'Data Vlaue (Cr)'!$C:$FB,99)</f>
        <v>2442</v>
      </c>
      <c r="I217" s="75">
        <f>VLOOKUP($A217,'Data Vlaue (Cr)'!$C:$FB,100)</f>
        <v>2453</v>
      </c>
      <c r="J217" s="75">
        <f t="shared" si="38"/>
        <v>-11</v>
      </c>
      <c r="K217" s="75">
        <f t="shared" si="39"/>
        <v>-0.45045045045045046</v>
      </c>
      <c r="L217" s="75">
        <f>VLOOKUP($A217,'Data Vlaue (Cr)'!$C:$FB,67)</f>
        <v>851</v>
      </c>
      <c r="M217" s="75">
        <f>VLOOKUP($A217,'Data Vlaue (Cr)'!$C:$FB,68)</f>
        <v>266</v>
      </c>
      <c r="N217" s="75">
        <f t="shared" si="40"/>
        <v>585</v>
      </c>
      <c r="O217" s="75">
        <f t="shared" si="41"/>
        <v>68.742655699177433</v>
      </c>
      <c r="P217" s="75">
        <f>VLOOKUP($A217,'Data Vlaue (Cr)'!$C:$FB,119)</f>
        <v>0.66</v>
      </c>
      <c r="Q217" s="75">
        <f>VLOOKUP($A217,'Data Vlaue (Cr)'!$C:$FB,122)*100</f>
        <v>-7.04</v>
      </c>
      <c r="R217" s="75">
        <f>VLOOKUP($A217,'Data Vlaue (Cr)'!$C:$FB,125)</f>
        <v>0.45</v>
      </c>
      <c r="S217" s="75">
        <f>VLOOKUP($A217,'Data Vlaue (Cr)'!$C:$FB,128)*100</f>
        <v>21.62</v>
      </c>
    </row>
    <row r="218" spans="1:19" x14ac:dyDescent="0.25">
      <c r="A218" s="96" t="str">
        <f>'Data Vlaue (Cr)'!C209</f>
        <v>VBL</v>
      </c>
      <c r="B218" s="75">
        <f>VLOOKUP($A218,'Data Vlaue (Cr)'!$C:$FB,2)</f>
        <v>1125</v>
      </c>
      <c r="C218" s="75">
        <f>VLOOKUP($A218,'Data Vlaue (Cr)'!$C:$FB,8)</f>
        <v>508.95</v>
      </c>
      <c r="D218" s="75">
        <f>VLOOKUP($A218,'Data Vlaue (Cr)'!$C:$FB,4)</f>
        <v>512.5</v>
      </c>
      <c r="E218" s="75">
        <f>VLOOKUP($A218,'Data Vlaue (Cr)'!$C:$FB,5)</f>
        <v>514.35</v>
      </c>
      <c r="F218" s="75">
        <f t="shared" si="36"/>
        <v>3.5500000000000114</v>
      </c>
      <c r="G218" s="75">
        <f t="shared" si="37"/>
        <v>-0.36097560975610199</v>
      </c>
      <c r="H218" s="75">
        <f>VLOOKUP($A218,'Data Vlaue (Cr)'!$C:$FB,99)</f>
        <v>3470</v>
      </c>
      <c r="I218" s="75">
        <f>VLOOKUP($A218,'Data Vlaue (Cr)'!$C:$FB,100)</f>
        <v>3434</v>
      </c>
      <c r="J218" s="75">
        <f t="shared" si="38"/>
        <v>36</v>
      </c>
      <c r="K218" s="75">
        <f t="shared" si="39"/>
        <v>1.0374639769452449</v>
      </c>
      <c r="L218" s="75">
        <f>VLOOKUP($A218,'Data Vlaue (Cr)'!$C:$FB,67)</f>
        <v>785</v>
      </c>
      <c r="M218" s="75">
        <f>VLOOKUP($A218,'Data Vlaue (Cr)'!$C:$FB,68)</f>
        <v>952</v>
      </c>
      <c r="N218" s="75">
        <f t="shared" si="40"/>
        <v>-167</v>
      </c>
      <c r="O218" s="75">
        <f t="shared" si="41"/>
        <v>-21.273885350318473</v>
      </c>
      <c r="P218" s="75">
        <f>VLOOKUP($A218,'Data Vlaue (Cr)'!$C:$FB,119)</f>
        <v>0.56000000000000005</v>
      </c>
      <c r="Q218" s="75">
        <f>VLOOKUP($A218,'Data Vlaue (Cr)'!$C:$FB,122)*100</f>
        <v>-1.7500000000000002</v>
      </c>
      <c r="R218" s="75">
        <f>VLOOKUP($A218,'Data Vlaue (Cr)'!$C:$FB,125)</f>
        <v>0.57999999999999996</v>
      </c>
      <c r="S218" s="75">
        <f>VLOOKUP($A218,'Data Vlaue (Cr)'!$C:$FB,128)*100</f>
        <v>-6.45</v>
      </c>
    </row>
    <row r="219" spans="1:19" x14ac:dyDescent="0.25">
      <c r="A219" s="96" t="str">
        <f>'Data Vlaue (Cr)'!C210</f>
        <v>VEDL</v>
      </c>
      <c r="B219" s="75">
        <f>VLOOKUP($A219,'Data Vlaue (Cr)'!$C:$FB,2)</f>
        <v>1150</v>
      </c>
      <c r="C219" s="75">
        <f>VLOOKUP($A219,'Data Vlaue (Cr)'!$C:$FB,8)</f>
        <v>316.39999999999998</v>
      </c>
      <c r="D219" s="75">
        <f>VLOOKUP($A219,'Data Vlaue (Cr)'!$C:$FB,4)</f>
        <v>318</v>
      </c>
      <c r="E219" s="75">
        <f>VLOOKUP($A219,'Data Vlaue (Cr)'!$C:$FB,5)</f>
        <v>305.2</v>
      </c>
      <c r="F219" s="75">
        <f t="shared" si="36"/>
        <v>1.6000000000000227</v>
      </c>
      <c r="G219" s="75">
        <f t="shared" si="37"/>
        <v>4.0251572327044061</v>
      </c>
      <c r="H219" s="75">
        <f>VLOOKUP($A219,'Data Vlaue (Cr)'!$C:$FB,99)</f>
        <v>2538</v>
      </c>
      <c r="I219" s="75">
        <f>VLOOKUP($A219,'Data Vlaue (Cr)'!$C:$FB,100)</f>
        <v>2265</v>
      </c>
      <c r="J219" s="75">
        <f t="shared" si="38"/>
        <v>273</v>
      </c>
      <c r="K219" s="75">
        <f t="shared" si="39"/>
        <v>10.756501182033098</v>
      </c>
      <c r="L219" s="75">
        <f>VLOOKUP($A219,'Data Vlaue (Cr)'!$C:$FB,67)</f>
        <v>6589</v>
      </c>
      <c r="M219" s="75">
        <f>VLOOKUP($A219,'Data Vlaue (Cr)'!$C:$FB,68)</f>
        <v>5873</v>
      </c>
      <c r="N219" s="75">
        <f t="shared" si="40"/>
        <v>716</v>
      </c>
      <c r="O219" s="75">
        <f t="shared" si="41"/>
        <v>10.866595841554105</v>
      </c>
      <c r="P219" s="75">
        <f>VLOOKUP($A219,'Data Vlaue (Cr)'!$C:$FB,119)</f>
        <v>0.75</v>
      </c>
      <c r="Q219" s="75">
        <f>VLOOKUP($A219,'Data Vlaue (Cr)'!$C:$FB,122)*100</f>
        <v>13.639999999999999</v>
      </c>
      <c r="R219" s="75">
        <f>VLOOKUP($A219,'Data Vlaue (Cr)'!$C:$FB,125)</f>
        <v>0.49</v>
      </c>
      <c r="S219" s="75">
        <f>VLOOKUP($A219,'Data Vlaue (Cr)'!$C:$FB,128)*100</f>
        <v>19.509999999999998</v>
      </c>
    </row>
    <row r="220" spans="1:19" x14ac:dyDescent="0.25">
      <c r="A220" s="96" t="str">
        <f>'Data Vlaue (Cr)'!C211</f>
        <v>VMM</v>
      </c>
      <c r="B220" s="75">
        <f>VLOOKUP($A220,'Data Vlaue (Cr)'!$C:$FB,2)</f>
        <v>4850</v>
      </c>
      <c r="C220" s="75">
        <f>VLOOKUP($A220,'Data Vlaue (Cr)'!$C:$FB,8)</f>
        <v>124.2</v>
      </c>
      <c r="D220" s="75">
        <f>VLOOKUP($A220,'Data Vlaue (Cr)'!$C:$FB,4)</f>
        <v>124.95</v>
      </c>
      <c r="E220" s="75">
        <f>VLOOKUP($A220,'Data Vlaue (Cr)'!$C:$FB,5)</f>
        <v>125.38</v>
      </c>
      <c r="F220" s="75">
        <f t="shared" si="36"/>
        <v>0.75</v>
      </c>
      <c r="G220" s="75">
        <f t="shared" si="37"/>
        <v>-0.34413765506201888</v>
      </c>
      <c r="H220" s="75">
        <f>VLOOKUP($A220,'Data Vlaue (Cr)'!$C:$FB,99)</f>
        <v>448</v>
      </c>
      <c r="I220" s="75">
        <f>VLOOKUP($A220,'Data Vlaue (Cr)'!$C:$FB,100)</f>
        <v>440</v>
      </c>
      <c r="J220" s="75">
        <f t="shared" si="38"/>
        <v>8</v>
      </c>
      <c r="K220" s="75">
        <f t="shared" si="39"/>
        <v>1.7857142857142856</v>
      </c>
      <c r="L220" s="75">
        <f>VLOOKUP($A220,'Data Vlaue (Cr)'!$C:$FB,67)</f>
        <v>109</v>
      </c>
      <c r="M220" s="75">
        <f>VLOOKUP($A220,'Data Vlaue (Cr)'!$C:$FB,68)</f>
        <v>103</v>
      </c>
      <c r="N220" s="75">
        <f t="shared" si="40"/>
        <v>6</v>
      </c>
      <c r="O220" s="75">
        <f t="shared" si="41"/>
        <v>5.5045871559633035</v>
      </c>
      <c r="P220" s="75">
        <f>VLOOKUP($A220,'Data Vlaue (Cr)'!$C:$FB,119)</f>
        <v>0.45</v>
      </c>
      <c r="Q220" s="75">
        <f>VLOOKUP($A220,'Data Vlaue (Cr)'!$C:$FB,122)*100</f>
        <v>-13.459999999999999</v>
      </c>
      <c r="R220" s="75">
        <f>VLOOKUP($A220,'Data Vlaue (Cr)'!$C:$FB,125)</f>
        <v>0.34</v>
      </c>
      <c r="S220" s="75">
        <f>VLOOKUP($A220,'Data Vlaue (Cr)'!$C:$FB,128)*100</f>
        <v>13.33</v>
      </c>
    </row>
    <row r="221" spans="1:19" x14ac:dyDescent="0.25">
      <c r="A221" s="96" t="str">
        <f>'Data Vlaue (Cr)'!C212</f>
        <v>VOLTAS</v>
      </c>
      <c r="B221" s="75">
        <f>VLOOKUP($A221,'Data Vlaue (Cr)'!$C:$FB,2)</f>
        <v>375</v>
      </c>
      <c r="C221" s="75">
        <f>VLOOKUP($A221,'Data Vlaue (Cr)'!$C:$FB,8)</f>
        <v>1379.6</v>
      </c>
      <c r="D221" s="75">
        <f>VLOOKUP($A221,'Data Vlaue (Cr)'!$C:$FB,4)</f>
        <v>1384.1</v>
      </c>
      <c r="E221" s="75">
        <f>VLOOKUP($A221,'Data Vlaue (Cr)'!$C:$FB,5)</f>
        <v>1377.6</v>
      </c>
      <c r="F221" s="75">
        <f t="shared" si="36"/>
        <v>4.5</v>
      </c>
      <c r="G221" s="75">
        <f t="shared" si="37"/>
        <v>0.46961924716422226</v>
      </c>
      <c r="H221" s="75">
        <f>VLOOKUP($A221,'Data Vlaue (Cr)'!$C:$FB,99)</f>
        <v>2503</v>
      </c>
      <c r="I221" s="75">
        <f>VLOOKUP($A221,'Data Vlaue (Cr)'!$C:$FB,100)</f>
        <v>2374</v>
      </c>
      <c r="J221" s="75">
        <f t="shared" si="38"/>
        <v>129</v>
      </c>
      <c r="K221" s="75">
        <f t="shared" si="39"/>
        <v>5.1538154214942065</v>
      </c>
      <c r="L221" s="75">
        <f>VLOOKUP($A221,'Data Vlaue (Cr)'!$C:$FB,67)</f>
        <v>1297</v>
      </c>
      <c r="M221" s="75">
        <f>VLOOKUP($A221,'Data Vlaue (Cr)'!$C:$FB,68)</f>
        <v>2180</v>
      </c>
      <c r="N221" s="75">
        <f t="shared" si="40"/>
        <v>-883</v>
      </c>
      <c r="O221" s="75">
        <f t="shared" si="41"/>
        <v>-68.080185042405546</v>
      </c>
      <c r="P221" s="75">
        <f>VLOOKUP($A221,'Data Vlaue (Cr)'!$C:$FB,119)</f>
        <v>0.69</v>
      </c>
      <c r="Q221" s="75">
        <f>VLOOKUP($A221,'Data Vlaue (Cr)'!$C:$FB,122)*100</f>
        <v>2.9899999999999998</v>
      </c>
      <c r="R221" s="75">
        <f>VLOOKUP($A221,'Data Vlaue (Cr)'!$C:$FB,125)</f>
        <v>0.46</v>
      </c>
      <c r="S221" s="75">
        <f>VLOOKUP($A221,'Data Vlaue (Cr)'!$C:$FB,128)*100</f>
        <v>-36.11</v>
      </c>
    </row>
    <row r="222" spans="1:19" x14ac:dyDescent="0.25">
      <c r="A222" s="96" t="str">
        <f>'Data Vlaue (Cr)'!C213</f>
        <v>WAAREEENER</v>
      </c>
      <c r="B222" s="75">
        <f>VLOOKUP($A222,'Data Vlaue (Cr)'!$C:$FB,2)</f>
        <v>175</v>
      </c>
      <c r="C222" s="75">
        <f>VLOOKUP($A222,'Data Vlaue (Cr)'!$C:$FB,8)</f>
        <v>3225.1</v>
      </c>
      <c r="D222" s="75">
        <f>VLOOKUP($A222,'Data Vlaue (Cr)'!$C:$FB,4)</f>
        <v>3247.8</v>
      </c>
      <c r="E222" s="75">
        <f>VLOOKUP($A222,'Data Vlaue (Cr)'!$C:$FB,5)</f>
        <v>3199.2</v>
      </c>
      <c r="F222" s="75">
        <f t="shared" ref="F222:F229" si="42">D222-C222</f>
        <v>22.700000000000273</v>
      </c>
      <c r="G222" s="75">
        <f t="shared" ref="G222:G229" si="43">(D222-E222)/D222*100</f>
        <v>1.4963975614262073</v>
      </c>
      <c r="H222" s="75">
        <f>VLOOKUP($A222,'Data Vlaue (Cr)'!$C:$FB,99)</f>
        <v>4111</v>
      </c>
      <c r="I222" s="75">
        <f>VLOOKUP($A222,'Data Vlaue (Cr)'!$C:$FB,100)</f>
        <v>4100</v>
      </c>
      <c r="J222" s="75">
        <f t="shared" ref="J222:J229" si="44">H222-I222</f>
        <v>11</v>
      </c>
      <c r="K222" s="75">
        <f t="shared" ref="K222:K229" si="45">J222/H222*100</f>
        <v>0.26757479931890049</v>
      </c>
      <c r="L222" s="75">
        <f>VLOOKUP($A222,'Data Vlaue (Cr)'!$C:$FB,67)</f>
        <v>2241</v>
      </c>
      <c r="M222" s="75">
        <f>VLOOKUP($A222,'Data Vlaue (Cr)'!$C:$FB,68)</f>
        <v>2137</v>
      </c>
      <c r="N222" s="75">
        <f t="shared" ref="N222:N229" si="46">L222-M222</f>
        <v>104</v>
      </c>
      <c r="O222" s="75">
        <f t="shared" ref="O222:O229" si="47">N222/L222*100</f>
        <v>4.6407853636769305</v>
      </c>
      <c r="P222" s="75">
        <f>VLOOKUP($A222,'Data Vlaue (Cr)'!$C:$FB,119)</f>
        <v>0.56000000000000005</v>
      </c>
      <c r="Q222" s="75">
        <f>VLOOKUP($A222,'Data Vlaue (Cr)'!$C:$FB,122)*100</f>
        <v>5.66</v>
      </c>
      <c r="R222" s="75">
        <f>VLOOKUP($A222,'Data Vlaue (Cr)'!$C:$FB,125)</f>
        <v>0.35</v>
      </c>
      <c r="S222" s="75">
        <f>VLOOKUP($A222,'Data Vlaue (Cr)'!$C:$FB,128)*100</f>
        <v>-7.89</v>
      </c>
    </row>
    <row r="223" spans="1:19" x14ac:dyDescent="0.25">
      <c r="A223" s="96" t="str">
        <f>'Data Vlaue (Cr)'!C214</f>
        <v>WIPRO</v>
      </c>
      <c r="B223" s="75">
        <f>VLOOKUP($A223,'Data Vlaue (Cr)'!$C:$FB,2)</f>
        <v>3000</v>
      </c>
      <c r="C223" s="75">
        <f>VLOOKUP($A223,'Data Vlaue (Cr)'!$C:$FB,8)</f>
        <v>199.12</v>
      </c>
      <c r="D223" s="75">
        <f>VLOOKUP($A223,'Data Vlaue (Cr)'!$C:$FB,4)</f>
        <v>197.51</v>
      </c>
      <c r="E223" s="75">
        <f>VLOOKUP($A223,'Data Vlaue (Cr)'!$C:$FB,5)</f>
        <v>196.13</v>
      </c>
      <c r="F223" s="75">
        <f t="shared" si="42"/>
        <v>-1.6100000000000136</v>
      </c>
      <c r="G223" s="75">
        <f t="shared" si="43"/>
        <v>0.69869880006075413</v>
      </c>
      <c r="H223" s="75">
        <f>VLOOKUP($A223,'Data Vlaue (Cr)'!$C:$FB,99)</f>
        <v>9975</v>
      </c>
      <c r="I223" s="75">
        <f>VLOOKUP($A223,'Data Vlaue (Cr)'!$C:$FB,100)</f>
        <v>9959</v>
      </c>
      <c r="J223" s="75">
        <f t="shared" si="44"/>
        <v>16</v>
      </c>
      <c r="K223" s="75">
        <f t="shared" si="45"/>
        <v>0.16040100250626568</v>
      </c>
      <c r="L223" s="75">
        <f>VLOOKUP($A223,'Data Vlaue (Cr)'!$C:$FB,67)</f>
        <v>2576</v>
      </c>
      <c r="M223" s="75">
        <f>VLOOKUP($A223,'Data Vlaue (Cr)'!$C:$FB,68)</f>
        <v>1777</v>
      </c>
      <c r="N223" s="75">
        <f t="shared" si="46"/>
        <v>799</v>
      </c>
      <c r="O223" s="75">
        <f t="shared" si="47"/>
        <v>31.017080745341612</v>
      </c>
      <c r="P223" s="75">
        <f>VLOOKUP($A223,'Data Vlaue (Cr)'!$C:$FB,119)</f>
        <v>0.53</v>
      </c>
      <c r="Q223" s="75">
        <f>VLOOKUP($A223,'Data Vlaue (Cr)'!$C:$FB,122)*100</f>
        <v>0</v>
      </c>
      <c r="R223" s="75">
        <f>VLOOKUP($A223,'Data Vlaue (Cr)'!$C:$FB,125)</f>
        <v>0.48</v>
      </c>
      <c r="S223" s="75">
        <f>VLOOKUP($A223,'Data Vlaue (Cr)'!$C:$FB,128)*100</f>
        <v>14.29</v>
      </c>
    </row>
    <row r="224" spans="1:19" x14ac:dyDescent="0.25">
      <c r="A224" s="96" t="str">
        <f>'Data Vlaue (Cr)'!C215</f>
        <v>YESBANK</v>
      </c>
      <c r="B224" s="75">
        <f>VLOOKUP($A224,'Data Vlaue (Cr)'!$C:$FB,2)</f>
        <v>31100</v>
      </c>
      <c r="C224" s="75">
        <f>VLOOKUP($A224,'Data Vlaue (Cr)'!$C:$FB,8)</f>
        <v>22.13</v>
      </c>
      <c r="D224" s="75">
        <f>VLOOKUP($A224,'Data Vlaue (Cr)'!$C:$FB,4)</f>
        <v>22.23</v>
      </c>
      <c r="E224" s="75">
        <f>VLOOKUP($A224,'Data Vlaue (Cr)'!$C:$FB,5)</f>
        <v>20.61</v>
      </c>
      <c r="F224" s="75">
        <f t="shared" si="42"/>
        <v>0.10000000000000142</v>
      </c>
      <c r="G224" s="75">
        <f t="shared" si="43"/>
        <v>7.2874493927125554</v>
      </c>
      <c r="H224" s="75">
        <f>VLOOKUP($A224,'Data Vlaue (Cr)'!$C:$FB,99)</f>
        <v>4311</v>
      </c>
      <c r="I224" s="75">
        <f>VLOOKUP($A224,'Data Vlaue (Cr)'!$C:$FB,100)</f>
        <v>4095</v>
      </c>
      <c r="J224" s="75">
        <f t="shared" si="44"/>
        <v>216</v>
      </c>
      <c r="K224" s="75">
        <f t="shared" si="45"/>
        <v>5.010438413361169</v>
      </c>
      <c r="L224" s="75">
        <f>VLOOKUP($A224,'Data Vlaue (Cr)'!$C:$FB,67)</f>
        <v>7245</v>
      </c>
      <c r="M224" s="75">
        <f>VLOOKUP($A224,'Data Vlaue (Cr)'!$C:$FB,68)</f>
        <v>3684</v>
      </c>
      <c r="N224" s="75">
        <f t="shared" si="46"/>
        <v>3561</v>
      </c>
      <c r="O224" s="75">
        <f t="shared" si="47"/>
        <v>49.151138716356108</v>
      </c>
      <c r="P224" s="75">
        <f>VLOOKUP($A224,'Data Vlaue (Cr)'!$C:$FB,119)</f>
        <v>0.61</v>
      </c>
      <c r="Q224" s="75">
        <f>VLOOKUP($A224,'Data Vlaue (Cr)'!$C:$FB,122)*100</f>
        <v>7.02</v>
      </c>
      <c r="R224" s="75">
        <f>VLOOKUP($A224,'Data Vlaue (Cr)'!$C:$FB,125)</f>
        <v>0.31</v>
      </c>
      <c r="S224" s="75">
        <f>VLOOKUP($A224,'Data Vlaue (Cr)'!$C:$FB,128)*100</f>
        <v>0</v>
      </c>
    </row>
    <row r="225" spans="1:19" x14ac:dyDescent="0.25">
      <c r="A225" s="96" t="str">
        <f>'Data Vlaue (Cr)'!C216</f>
        <v>ZYDUSLIFE</v>
      </c>
      <c r="B225" s="75">
        <f>VLOOKUP($A225,'Data Vlaue (Cr)'!$C:$FB,2)</f>
        <v>900</v>
      </c>
      <c r="C225" s="75">
        <f>VLOOKUP($A225,'Data Vlaue (Cr)'!$C:$FB,8)</f>
        <v>938.8</v>
      </c>
      <c r="D225" s="75">
        <f>VLOOKUP($A225,'Data Vlaue (Cr)'!$C:$FB,4)</f>
        <v>944.8</v>
      </c>
      <c r="E225" s="75">
        <f>VLOOKUP($A225,'Data Vlaue (Cr)'!$C:$FB,5)</f>
        <v>918.7</v>
      </c>
      <c r="F225" s="75">
        <f t="shared" ref="F225" si="48">D225-C225</f>
        <v>6</v>
      </c>
      <c r="G225" s="75">
        <f t="shared" ref="G225" si="49">(D225-E225)/D225*100</f>
        <v>2.7624894157493554</v>
      </c>
      <c r="H225" s="75">
        <f>VLOOKUP($A225,'Data Vlaue (Cr)'!$C:$FB,99)</f>
        <v>1473</v>
      </c>
      <c r="I225" s="75">
        <f>VLOOKUP($A225,'Data Vlaue (Cr)'!$C:$FB,100)</f>
        <v>1407</v>
      </c>
      <c r="J225" s="75">
        <f t="shared" ref="J225" si="50">H225-I225</f>
        <v>66</v>
      </c>
      <c r="K225" s="75">
        <f t="shared" ref="K225" si="51">J225/H225*100</f>
        <v>4.4806517311608962</v>
      </c>
      <c r="L225" s="75">
        <f>VLOOKUP($A225,'Data Vlaue (Cr)'!$C:$FB,67)</f>
        <v>1317</v>
      </c>
      <c r="M225" s="75">
        <f>VLOOKUP($A225,'Data Vlaue (Cr)'!$C:$FB,68)</f>
        <v>418</v>
      </c>
      <c r="N225" s="75">
        <f t="shared" ref="N225" si="52">L225-M225</f>
        <v>899</v>
      </c>
      <c r="O225" s="75">
        <f t="shared" ref="O225" si="53">N225/L225*100</f>
        <v>68.261199696279419</v>
      </c>
      <c r="P225" s="75">
        <f>VLOOKUP($A225,'Data Vlaue (Cr)'!$C:$FB,119)</f>
        <v>0.62</v>
      </c>
      <c r="Q225" s="75">
        <f>VLOOKUP($A225,'Data Vlaue (Cr)'!$C:$FB,122)*100</f>
        <v>-11.43</v>
      </c>
      <c r="R225" s="75">
        <f>VLOOKUP($A225,'Data Vlaue (Cr)'!$C:$FB,125)</f>
        <v>0.27</v>
      </c>
      <c r="S225" s="75">
        <f>VLOOKUP($A225,'Data Vlaue (Cr)'!$C:$FB,128)*100</f>
        <v>-22.86</v>
      </c>
    </row>
    <row r="226" spans="1:19" x14ac:dyDescent="0.25">
      <c r="A226" s="96">
        <f>'Data Vlaue (Cr)'!C217</f>
        <v>0</v>
      </c>
      <c r="B226" s="75"/>
      <c r="C226" s="75"/>
      <c r="D226" s="75"/>
      <c r="E226" s="75"/>
      <c r="F226" s="75"/>
      <c r="G226" s="75"/>
      <c r="H226" s="75"/>
      <c r="I226" s="75"/>
      <c r="J226" s="75"/>
      <c r="K226" s="75"/>
      <c r="L226" s="75"/>
      <c r="M226" s="75"/>
      <c r="N226" s="75"/>
      <c r="O226" s="75"/>
      <c r="P226" s="75"/>
      <c r="Q226" s="75"/>
      <c r="R226" s="75"/>
      <c r="S226" s="75"/>
    </row>
    <row r="227" spans="1:19" x14ac:dyDescent="0.25">
      <c r="A227" s="96">
        <f>'Data Vlaue (Cr)'!C218</f>
        <v>0</v>
      </c>
      <c r="B227" s="75"/>
      <c r="C227" s="75"/>
      <c r="D227" s="75"/>
      <c r="E227" s="75"/>
      <c r="F227" s="75"/>
      <c r="G227" s="75"/>
      <c r="H227" s="75"/>
      <c r="I227" s="75"/>
      <c r="J227" s="75"/>
      <c r="K227" s="75"/>
      <c r="L227" s="75"/>
      <c r="M227" s="75"/>
      <c r="N227" s="75"/>
      <c r="O227" s="75"/>
      <c r="P227" s="75"/>
      <c r="Q227" s="75"/>
      <c r="R227" s="75"/>
      <c r="S227" s="75"/>
    </row>
    <row r="228" spans="1:19" x14ac:dyDescent="0.25">
      <c r="A228" s="96">
        <f>'Data Vlaue (Cr)'!C219</f>
        <v>0</v>
      </c>
      <c r="B228" s="75"/>
      <c r="C228" s="75"/>
      <c r="D228" s="75"/>
      <c r="E228" s="75"/>
      <c r="F228" s="75"/>
      <c r="G228" s="75"/>
      <c r="H228" s="75"/>
      <c r="I228" s="75"/>
      <c r="J228" s="75"/>
      <c r="K228" s="75"/>
      <c r="L228" s="75"/>
      <c r="M228" s="75"/>
      <c r="N228" s="75"/>
      <c r="O228" s="75"/>
      <c r="P228" s="75"/>
      <c r="Q228" s="75"/>
      <c r="R228" s="75"/>
      <c r="S228" s="75"/>
    </row>
    <row r="229" spans="1:19" x14ac:dyDescent="0.25">
      <c r="A229" s="96">
        <f>'Data Vlaue (Cr)'!C220</f>
        <v>0</v>
      </c>
      <c r="B229" s="75"/>
      <c r="C229" s="75"/>
      <c r="D229" s="75"/>
      <c r="E229" s="75"/>
      <c r="F229" s="75"/>
      <c r="G229" s="75"/>
      <c r="H229" s="75"/>
      <c r="I229" s="75"/>
      <c r="J229" s="75"/>
      <c r="K229" s="75"/>
      <c r="L229" s="75"/>
      <c r="M229" s="75"/>
      <c r="N229" s="75"/>
      <c r="O229" s="75"/>
      <c r="P229" s="75"/>
      <c r="Q229" s="75"/>
      <c r="R229" s="75"/>
      <c r="S229" s="75"/>
    </row>
    <row r="230" spans="1:19" x14ac:dyDescent="0.25">
      <c r="A230" s="96"/>
      <c r="B230" s="75"/>
      <c r="C230" s="75"/>
      <c r="D230" s="75"/>
      <c r="E230" s="75"/>
      <c r="F230" s="75"/>
      <c r="G230" s="75"/>
      <c r="H230" s="75"/>
      <c r="I230" s="75"/>
      <c r="J230" s="75"/>
      <c r="K230" s="75"/>
      <c r="L230" s="75"/>
      <c r="M230" s="75"/>
      <c r="N230" s="75"/>
      <c r="O230" s="75"/>
      <c r="P230" s="75"/>
      <c r="Q230" s="75"/>
      <c r="R230" s="75"/>
      <c r="S230" s="75"/>
    </row>
    <row r="231" spans="1:19" x14ac:dyDescent="0.25">
      <c r="A231" s="96"/>
      <c r="B231" s="75"/>
      <c r="C231" s="75"/>
      <c r="D231" s="75"/>
      <c r="E231" s="75"/>
      <c r="F231" s="75"/>
      <c r="G231" s="75"/>
      <c r="H231" s="75"/>
      <c r="I231" s="75"/>
      <c r="J231" s="75"/>
      <c r="K231" s="75"/>
      <c r="L231" s="75"/>
      <c r="M231" s="75"/>
      <c r="N231" s="75"/>
      <c r="O231" s="75"/>
      <c r="P231" s="75"/>
      <c r="Q231" s="75"/>
      <c r="R231" s="75"/>
      <c r="S231" s="75"/>
    </row>
    <row r="232" spans="1:19" x14ac:dyDescent="0.25">
      <c r="A232" s="96"/>
      <c r="B232" s="75"/>
      <c r="C232" s="75"/>
      <c r="D232" s="75"/>
      <c r="E232" s="75"/>
      <c r="F232" s="75"/>
      <c r="G232" s="75"/>
      <c r="H232" s="75"/>
      <c r="I232" s="75"/>
      <c r="J232" s="75"/>
      <c r="K232" s="75"/>
      <c r="L232" s="75"/>
      <c r="M232" s="75"/>
      <c r="N232" s="75"/>
      <c r="O232" s="75"/>
      <c r="P232" s="75"/>
      <c r="Q232" s="75"/>
      <c r="R232" s="75"/>
      <c r="S232" s="75"/>
    </row>
    <row r="233" spans="1:19" x14ac:dyDescent="0.25">
      <c r="A233" s="96"/>
      <c r="B233" s="75"/>
      <c r="C233" s="75"/>
      <c r="D233" s="75"/>
      <c r="E233" s="75"/>
      <c r="F233" s="75"/>
      <c r="G233" s="75"/>
      <c r="H233" s="75"/>
      <c r="I233" s="75"/>
      <c r="J233" s="75"/>
      <c r="K233" s="75"/>
      <c r="L233" s="75"/>
      <c r="M233" s="75"/>
      <c r="N233" s="75"/>
      <c r="O233" s="75"/>
      <c r="P233" s="75"/>
      <c r="Q233" s="75"/>
      <c r="R233" s="75"/>
      <c r="S233" s="75"/>
    </row>
    <row r="234" spans="1:19" x14ac:dyDescent="0.25">
      <c r="A234" s="96"/>
      <c r="B234" s="75"/>
      <c r="C234" s="75"/>
      <c r="D234" s="75"/>
      <c r="E234" s="75"/>
      <c r="F234" s="75"/>
      <c r="G234" s="75"/>
      <c r="H234" s="75"/>
      <c r="I234" s="75"/>
      <c r="J234" s="75"/>
      <c r="K234" s="75"/>
      <c r="L234" s="75"/>
      <c r="M234" s="75"/>
      <c r="N234" s="75"/>
      <c r="O234" s="75"/>
      <c r="P234" s="75"/>
      <c r="Q234" s="75"/>
      <c r="R234" s="75"/>
      <c r="S234" s="75"/>
    </row>
    <row r="235" spans="1:19" x14ac:dyDescent="0.25">
      <c r="A235" s="96"/>
      <c r="B235" s="75"/>
      <c r="C235" s="75"/>
      <c r="D235" s="75"/>
      <c r="E235" s="75"/>
      <c r="F235" s="75"/>
      <c r="G235" s="75"/>
      <c r="H235" s="75"/>
      <c r="I235" s="75"/>
      <c r="J235" s="75"/>
      <c r="K235" s="75"/>
      <c r="L235" s="75"/>
      <c r="M235" s="75"/>
      <c r="N235" s="75"/>
      <c r="O235" s="75"/>
      <c r="P235" s="75"/>
      <c r="Q235" s="75"/>
      <c r="R235" s="75"/>
      <c r="S235" s="75"/>
    </row>
    <row r="236" spans="1:19" x14ac:dyDescent="0.25">
      <c r="A236" s="96"/>
      <c r="B236" s="75"/>
      <c r="C236" s="75"/>
      <c r="D236" s="75"/>
      <c r="E236" s="75"/>
      <c r="F236" s="75"/>
      <c r="G236" s="75"/>
      <c r="H236" s="75"/>
      <c r="I236" s="75"/>
      <c r="J236" s="75"/>
      <c r="K236" s="75"/>
      <c r="L236" s="75"/>
      <c r="M236" s="75"/>
      <c r="N236" s="75"/>
      <c r="O236" s="75"/>
      <c r="P236" s="75"/>
      <c r="Q236" s="75"/>
      <c r="R236" s="75"/>
      <c r="S236" s="75"/>
    </row>
    <row r="237" spans="1:19" x14ac:dyDescent="0.25">
      <c r="A237" s="98"/>
      <c r="B237" s="75"/>
      <c r="C237" s="75"/>
      <c r="D237" s="75"/>
      <c r="E237" s="75"/>
      <c r="F237" s="75"/>
      <c r="G237" s="75"/>
      <c r="H237" s="75"/>
      <c r="I237" s="75"/>
      <c r="J237" s="75"/>
      <c r="K237" s="75"/>
      <c r="L237" s="75"/>
      <c r="M237" s="75"/>
      <c r="N237" s="75"/>
      <c r="O237" s="75"/>
      <c r="P237" s="75"/>
      <c r="Q237" s="75"/>
      <c r="R237" s="75"/>
      <c r="S237" s="75"/>
    </row>
    <row r="238" spans="1:19" x14ac:dyDescent="0.25">
      <c r="A238" s="98"/>
      <c r="B238" s="75"/>
      <c r="C238" s="75"/>
      <c r="D238" s="75"/>
      <c r="E238" s="75"/>
      <c r="F238" s="75"/>
      <c r="G238" s="75"/>
      <c r="H238" s="75"/>
      <c r="I238" s="75"/>
      <c r="J238" s="75"/>
      <c r="K238" s="75"/>
      <c r="L238" s="75"/>
      <c r="M238" s="75"/>
      <c r="N238" s="75"/>
      <c r="O238" s="75"/>
      <c r="P238" s="75"/>
      <c r="Q238" s="75"/>
      <c r="R238" s="75"/>
      <c r="S238" s="75"/>
    </row>
    <row r="239" spans="1:19" x14ac:dyDescent="0.25">
      <c r="A239" s="98"/>
      <c r="B239" s="75"/>
      <c r="C239" s="75"/>
      <c r="D239" s="75"/>
      <c r="E239" s="75"/>
      <c r="F239" s="75"/>
      <c r="G239" s="75"/>
      <c r="H239" s="75"/>
      <c r="I239" s="75"/>
      <c r="J239" s="75"/>
      <c r="K239" s="75"/>
      <c r="L239" s="75"/>
      <c r="M239" s="75"/>
      <c r="N239" s="75"/>
      <c r="O239" s="75"/>
      <c r="P239" s="75"/>
      <c r="Q239" s="75"/>
      <c r="R239" s="75"/>
      <c r="S239" s="75"/>
    </row>
    <row r="240" spans="1:19" x14ac:dyDescent="0.25">
      <c r="A240" s="257"/>
      <c r="B240" s="257"/>
      <c r="C240" s="257"/>
      <c r="D240" s="257"/>
      <c r="E240" s="257"/>
      <c r="F240" s="257"/>
      <c r="G240" s="15"/>
      <c r="H240" s="16"/>
      <c r="I240" s="257"/>
      <c r="J240" s="257"/>
      <c r="K240" s="257"/>
      <c r="L240" s="257"/>
      <c r="M240" s="257"/>
      <c r="N240" s="16"/>
      <c r="O240" s="16"/>
      <c r="P240" s="16"/>
      <c r="Q240" s="257"/>
      <c r="R240" s="257"/>
      <c r="S240" s="257"/>
    </row>
    <row r="241" spans="1:19" x14ac:dyDescent="0.25">
      <c r="A241" s="254" t="s">
        <v>391</v>
      </c>
      <c r="B241" s="255"/>
      <c r="C241" s="255"/>
      <c r="D241" s="255"/>
      <c r="E241" s="255"/>
      <c r="F241" s="256"/>
      <c r="G241" s="18"/>
      <c r="H241" s="18">
        <f>SUM(H11:H236)</f>
        <v>2022351</v>
      </c>
      <c r="I241" s="18">
        <f>SUM(I11:I236)</f>
        <v>2704807</v>
      </c>
      <c r="J241" s="18">
        <f>H241-I241</f>
        <v>-682456</v>
      </c>
      <c r="K241" s="19">
        <f>J241/I241</f>
        <v>-0.25231227218799712</v>
      </c>
      <c r="L241" s="18">
        <f>SUM(L11:L236)</f>
        <v>10803984</v>
      </c>
      <c r="M241" s="18">
        <f>SUM(M11:M236)</f>
        <v>71130541</v>
      </c>
      <c r="N241" s="18">
        <f>L241-M241</f>
        <v>-60326557</v>
      </c>
      <c r="O241" s="19">
        <f>N241/M241</f>
        <v>-0.84811047620177671</v>
      </c>
      <c r="P241" s="254"/>
      <c r="Q241" s="255"/>
      <c r="R241" s="255"/>
      <c r="S241" s="256"/>
    </row>
    <row r="245" spans="1:19" x14ac:dyDescent="0.25">
      <c r="A245" s="250" t="s">
        <v>334</v>
      </c>
      <c r="B245" s="250"/>
      <c r="C245" s="250"/>
      <c r="D245" s="6"/>
      <c r="E245" s="6"/>
      <c r="F245" s="6"/>
      <c r="G245" s="6"/>
      <c r="H245" s="8" t="s">
        <v>385</v>
      </c>
      <c r="J245" s="7"/>
      <c r="K245" s="7"/>
      <c r="L245" s="7"/>
      <c r="M245" s="7"/>
    </row>
    <row r="246" spans="1:19" x14ac:dyDescent="0.25">
      <c r="A246" s="22"/>
      <c r="B246" s="23" t="s">
        <v>182</v>
      </c>
      <c r="C246" s="24" t="s">
        <v>386</v>
      </c>
      <c r="D246" s="25" t="s">
        <v>266</v>
      </c>
      <c r="E246" s="24" t="s">
        <v>386</v>
      </c>
      <c r="F246" s="23" t="s">
        <v>461</v>
      </c>
      <c r="G246" s="23" t="s">
        <v>387</v>
      </c>
      <c r="H246" s="24" t="s">
        <v>386</v>
      </c>
    </row>
    <row r="247" spans="1:19" x14ac:dyDescent="0.25">
      <c r="A247" s="26" t="s">
        <v>388</v>
      </c>
      <c r="B247" s="9">
        <f>VLOOKUP(B246,'OI(Value)'!A7:E232,5,0)</f>
        <v>13966</v>
      </c>
      <c r="C247" s="146">
        <f>VLOOKUP(B246,'OI(Value)'!A7:G232,7,0)</f>
        <v>7.7999999999999996E-3</v>
      </c>
      <c r="D247" s="9">
        <f>VLOOKUP(D246,'OI(Value)'!A7:E232,5,0)</f>
        <v>44839</v>
      </c>
      <c r="E247" s="147">
        <f>VLOOKUP(D246,'OI(Value)'!A7:G232,7,0)</f>
        <v>2.7099999999999999E-2</v>
      </c>
      <c r="F247" s="9">
        <f>G247-D247-B247</f>
        <v>538749</v>
      </c>
      <c r="G247" s="10">
        <f>'OI(Value)'!E233</f>
        <v>597554</v>
      </c>
      <c r="H247" s="147">
        <f>'OI(Value)'!D240</f>
        <v>1.1280988831134927E-2</v>
      </c>
    </row>
    <row r="248" spans="1:19" x14ac:dyDescent="0.25">
      <c r="A248" s="26" t="s">
        <v>389</v>
      </c>
      <c r="B248" s="9">
        <f>VLOOKUP(B246,'OI(Value)'!A7:H232,8,0)</f>
        <v>77676</v>
      </c>
      <c r="C248" s="146">
        <f>VLOOKUP(B246,'OI(Value)'!A7:J232,10,0)</f>
        <v>-4.53E-2</v>
      </c>
      <c r="D248" s="9">
        <f>VLOOKUP(D246,'OI(Value)'!A1:O233,8,0)</f>
        <v>438195</v>
      </c>
      <c r="E248" s="147">
        <f>VLOOKUP(D246,'OI(Value)'!A1:J232,10,0)</f>
        <v>0.2172</v>
      </c>
      <c r="F248" s="9">
        <f>G248-D248-B248</f>
        <v>189093</v>
      </c>
      <c r="G248" s="9">
        <f>'OI(Value)'!H233</f>
        <v>704964</v>
      </c>
      <c r="H248" s="147">
        <f>'OI(Value)'!D241</f>
        <v>0.12007989060434292</v>
      </c>
    </row>
    <row r="249" spans="1:19" x14ac:dyDescent="0.25">
      <c r="A249" s="26" t="s">
        <v>390</v>
      </c>
      <c r="B249" s="9">
        <f>VLOOKUP(B246,'OI(Value)'!A7:K232,11,0)</f>
        <v>73784</v>
      </c>
      <c r="C249" s="146">
        <f>VLOOKUP(B246,'OI(Value)'!A7:M232,13,0)</f>
        <v>6.9099999999999995E-2</v>
      </c>
      <c r="D249" s="9">
        <f>VLOOKUP(D246,'OI(Value)'!A2:O234,11,0)</f>
        <v>519837</v>
      </c>
      <c r="E249" s="147">
        <f>VLOOKUP(D246,'OI(Value)'!A7:M232,13,0)</f>
        <v>0.33860000000000001</v>
      </c>
      <c r="F249" s="9">
        <f>G249-D249-B249</f>
        <v>126229</v>
      </c>
      <c r="G249" s="9">
        <f>'OI(Value)'!K233</f>
        <v>719850</v>
      </c>
      <c r="H249" s="147">
        <f>'OI(Volume)'!D247</f>
        <v>7.0017627266300231E-2</v>
      </c>
    </row>
    <row r="250" spans="1:19" x14ac:dyDescent="0.25">
      <c r="A250" s="22" t="s">
        <v>391</v>
      </c>
      <c r="B250" s="62">
        <f>SUM(B247:B249)</f>
        <v>165426</v>
      </c>
      <c r="C250" s="148">
        <f>VLOOKUP(B246,'OI(Value)'!A7:D148,4,0)</f>
        <v>7.3000000000000001E-3</v>
      </c>
      <c r="D250" s="62">
        <f>SUM(D247:D249)</f>
        <v>1002871</v>
      </c>
      <c r="E250" s="148">
        <f>VLOOKUP(D246,'OI(Value)'!A1:D233,4,0)</f>
        <v>-0.41389999999999999</v>
      </c>
      <c r="F250" s="62">
        <f>SUM(F247:F249)</f>
        <v>854071</v>
      </c>
      <c r="G250" s="62">
        <f>SUM(G247:G249)</f>
        <v>2022368</v>
      </c>
      <c r="H250" s="151">
        <f>'OI(Value)'!D243</f>
        <v>0.11708353771420434</v>
      </c>
    </row>
    <row r="254" spans="1:19" x14ac:dyDescent="0.25">
      <c r="A254" s="20" t="s">
        <v>392</v>
      </c>
      <c r="B254" s="11"/>
      <c r="C254" s="11"/>
      <c r="D254" s="11"/>
      <c r="E254" s="11"/>
      <c r="F254" s="11"/>
      <c r="G254" s="11"/>
      <c r="H254" s="12"/>
    </row>
    <row r="255" spans="1:19" x14ac:dyDescent="0.25">
      <c r="A255" s="27"/>
      <c r="B255" s="27"/>
      <c r="C255" s="251" t="s">
        <v>459</v>
      </c>
      <c r="D255" s="252"/>
      <c r="E255" s="253"/>
      <c r="F255" s="251" t="s">
        <v>460</v>
      </c>
      <c r="G255" s="252"/>
      <c r="H255" s="253"/>
    </row>
    <row r="256" spans="1:19" x14ac:dyDescent="0.25">
      <c r="A256" s="28"/>
      <c r="B256" s="27"/>
      <c r="C256" s="31">
        <f>D10</f>
        <v>46148</v>
      </c>
      <c r="D256" s="31" t="s">
        <v>397</v>
      </c>
      <c r="E256" s="32" t="s">
        <v>321</v>
      </c>
      <c r="F256" s="31">
        <f>C256</f>
        <v>46148</v>
      </c>
      <c r="G256" s="31" t="str">
        <f>D256</f>
        <v>Preious</v>
      </c>
      <c r="H256" s="32" t="s">
        <v>386</v>
      </c>
    </row>
    <row r="257" spans="1:8" x14ac:dyDescent="0.25">
      <c r="A257" s="29" t="s">
        <v>393</v>
      </c>
      <c r="B257" s="30"/>
      <c r="C257" s="13">
        <f>FII!N3</f>
        <v>8988</v>
      </c>
      <c r="D257" s="13">
        <f>FII!J3</f>
        <v>8169</v>
      </c>
      <c r="E257" s="14">
        <f>(C257-D257)/C257</f>
        <v>9.11214953271028E-2</v>
      </c>
      <c r="F257" s="13">
        <f>FII!M3</f>
        <v>53161</v>
      </c>
      <c r="G257" s="13">
        <f>FII!I3</f>
        <v>49677</v>
      </c>
      <c r="H257" s="14">
        <f>(F257-G257)/F257</f>
        <v>6.5536765674084382E-2</v>
      </c>
    </row>
    <row r="258" spans="1:8" x14ac:dyDescent="0.25">
      <c r="A258" s="248" t="s">
        <v>394</v>
      </c>
      <c r="B258" s="249"/>
      <c r="C258" s="13">
        <f>FII!N4</f>
        <v>55821</v>
      </c>
      <c r="D258" s="13">
        <f>FII!J4</f>
        <v>49452</v>
      </c>
      <c r="E258" s="14">
        <f>(C258-D258)/C258</f>
        <v>0.11409684527328424</v>
      </c>
      <c r="F258" s="13">
        <f>FII!M4</f>
        <v>332382</v>
      </c>
      <c r="G258" s="13">
        <f>FII!I4</f>
        <v>302196</v>
      </c>
      <c r="H258" s="14">
        <f>(F258-G258)/F258</f>
        <v>9.0817192266729241E-2</v>
      </c>
    </row>
    <row r="259" spans="1:8" x14ac:dyDescent="0.25">
      <c r="A259" s="248" t="s">
        <v>395</v>
      </c>
      <c r="B259" s="249"/>
      <c r="C259" s="13">
        <f>FII!N15</f>
        <v>469871</v>
      </c>
      <c r="D259" s="13">
        <f>FII!J15</f>
        <v>460040</v>
      </c>
      <c r="E259" s="14">
        <f>(C259-D259)/C259</f>
        <v>2.0922763907540581E-2</v>
      </c>
      <c r="F259" s="13">
        <f>FII!M15</f>
        <v>7373080</v>
      </c>
      <c r="G259" s="13">
        <f>FII!I15</f>
        <v>7327780</v>
      </c>
      <c r="H259" s="14">
        <f>(F259-G259)/F259</f>
        <v>6.1439723968816293E-3</v>
      </c>
    </row>
    <row r="260" spans="1:8" x14ac:dyDescent="0.25">
      <c r="A260" s="248" t="s">
        <v>396</v>
      </c>
      <c r="B260" s="249"/>
      <c r="C260" s="13">
        <f>FII!N16</f>
        <v>40186</v>
      </c>
      <c r="D260" s="13">
        <f>FII!J16</f>
        <v>33321</v>
      </c>
      <c r="E260" s="14">
        <f>(C260-D260)/C260</f>
        <v>0.1708306375354601</v>
      </c>
      <c r="F260" s="13">
        <f>FII!M16</f>
        <v>613427</v>
      </c>
      <c r="G260" s="13">
        <f>FII!I16</f>
        <v>515227</v>
      </c>
      <c r="H260" s="14">
        <f>(F260-G260)/F260</f>
        <v>0.16008424800342991</v>
      </c>
    </row>
    <row r="261" spans="1:8" x14ac:dyDescent="0.25">
      <c r="A261" s="248" t="s">
        <v>391</v>
      </c>
      <c r="B261" s="249"/>
      <c r="C261" s="155">
        <f>SUM(C257:C260)</f>
        <v>574866</v>
      </c>
      <c r="D261" s="155">
        <f>SUM(D257:D260)</f>
        <v>550982</v>
      </c>
      <c r="E261" s="156">
        <f>(C261-D261)/C261</f>
        <v>4.1547073578886207E-2</v>
      </c>
      <c r="F261" s="157">
        <f>SUM(F257:F260)</f>
        <v>8372050</v>
      </c>
      <c r="G261" s="158">
        <f>SUM(G257:G260)</f>
        <v>8194880</v>
      </c>
      <c r="H261" s="156">
        <f>(F261-G261)/F261</f>
        <v>2.1162080971804994E-2</v>
      </c>
    </row>
  </sheetData>
  <mergeCells count="24">
    <mergeCell ref="P241:S241"/>
    <mergeCell ref="A241:F241"/>
    <mergeCell ref="Q240:S240"/>
    <mergeCell ref="I240:M240"/>
    <mergeCell ref="A240:F240"/>
    <mergeCell ref="A260:B260"/>
    <mergeCell ref="A261:B261"/>
    <mergeCell ref="A245:C245"/>
    <mergeCell ref="C255:E255"/>
    <mergeCell ref="F255:H255"/>
    <mergeCell ref="A258:B258"/>
    <mergeCell ref="A259:B259"/>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6"/>
  <sheetViews>
    <sheetView workbookViewId="0">
      <pane ySplit="5" topLeftCell="A213" activePane="bottomLeft" state="frozen"/>
      <selection pane="bottomLeft" activeCell="A221" sqref="A221:G225"/>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10" t="s">
        <v>456</v>
      </c>
      <c r="B3" s="311"/>
      <c r="C3" s="311"/>
      <c r="D3" s="311"/>
      <c r="E3" s="311"/>
      <c r="F3" s="311"/>
      <c r="G3" s="312"/>
      <c r="H3" s="46"/>
    </row>
    <row r="4" spans="1:8" x14ac:dyDescent="0.25">
      <c r="A4" s="286" t="s">
        <v>366</v>
      </c>
      <c r="B4" s="106" t="s">
        <v>312</v>
      </c>
      <c r="C4" s="106" t="s">
        <v>313</v>
      </c>
      <c r="D4" s="286" t="s">
        <v>367</v>
      </c>
      <c r="E4" s="286"/>
      <c r="F4" s="286"/>
      <c r="G4" s="286"/>
      <c r="H4" s="47"/>
    </row>
    <row r="5" spans="1:8" x14ac:dyDescent="0.25">
      <c r="A5" s="305"/>
      <c r="B5" s="3">
        <f>PCR!B6</f>
        <v>46148</v>
      </c>
      <c r="C5" s="3">
        <f>B5</f>
        <v>46148</v>
      </c>
      <c r="D5" s="76" t="s">
        <v>367</v>
      </c>
      <c r="E5" s="76" t="s">
        <v>321</v>
      </c>
      <c r="F5" s="76" t="s">
        <v>368</v>
      </c>
      <c r="G5" s="76" t="s">
        <v>369</v>
      </c>
      <c r="H5" s="48"/>
    </row>
    <row r="6" spans="1:8" x14ac:dyDescent="0.25">
      <c r="A6" s="101" t="str">
        <f>'Data shares'!C2</f>
        <v>360ONE</v>
      </c>
      <c r="B6" s="144">
        <f>VLOOKUP($A6,'Data shares'!$C:$FA,7)</f>
        <v>1084.0999999999999</v>
      </c>
      <c r="C6" s="144">
        <f>VLOOKUP($A6,'Data shares'!$C:$FA,3)</f>
        <v>1091.8</v>
      </c>
      <c r="D6" s="144">
        <f>VLOOKUP($A6,'Data shares'!$C:$FA,23)</f>
        <v>7.7</v>
      </c>
      <c r="E6" s="145">
        <f>VLOOKUP($A6,'Data shares'!$C:$FA,26)*100</f>
        <v>0.71000000000000008</v>
      </c>
      <c r="F6" s="144">
        <f>VLOOKUP($A6,'Data shares'!$C:$FA,24)</f>
        <v>6</v>
      </c>
      <c r="G6" s="144">
        <f>VLOOKUP($A6,'Data shares'!$C:$FA,25)</f>
        <v>1.7</v>
      </c>
    </row>
    <row r="7" spans="1:8" x14ac:dyDescent="0.25">
      <c r="A7" s="101" t="str">
        <f>'Data shares'!C3</f>
        <v>ABB</v>
      </c>
      <c r="B7" s="144">
        <f>VLOOKUP($A7,'Data shares'!$C:$FA,7)</f>
        <v>7182.5</v>
      </c>
      <c r="C7" s="144">
        <f>VLOOKUP($A7,'Data shares'!$C:$FA,3)</f>
        <v>7181</v>
      </c>
      <c r="D7" s="144">
        <f>VLOOKUP($A7,'Data shares'!$C:$FA,23)</f>
        <v>-1.5</v>
      </c>
      <c r="E7" s="145">
        <f>VLOOKUP($A7,'Data shares'!$C:$FA,26)*100</f>
        <v>-0.02</v>
      </c>
      <c r="F7" s="144">
        <f>VLOOKUP($A7,'Data shares'!$C:$FA,24)</f>
        <v>-0.5</v>
      </c>
      <c r="G7" s="144">
        <f>VLOOKUP($A7,'Data shares'!$C:$FA,25)</f>
        <v>-1</v>
      </c>
    </row>
    <row r="8" spans="1:8" x14ac:dyDescent="0.25">
      <c r="A8" s="101" t="str">
        <f>'Data shares'!C4</f>
        <v>ABCAPITAL</v>
      </c>
      <c r="B8" s="144">
        <f>VLOOKUP($A8,'Data shares'!$C:$FA,7)</f>
        <v>369.3</v>
      </c>
      <c r="C8" s="144">
        <f>VLOOKUP($A8,'Data shares'!$C:$FA,3)</f>
        <v>371.3</v>
      </c>
      <c r="D8" s="144">
        <f>VLOOKUP($A8,'Data shares'!$C:$FA,23)</f>
        <v>2</v>
      </c>
      <c r="E8" s="145">
        <f>VLOOKUP($A8,'Data shares'!$C:$FA,26)*100</f>
        <v>0.54</v>
      </c>
      <c r="F8" s="144">
        <f>VLOOKUP($A8,'Data shares'!$C:$FA,24)</f>
        <v>0.8</v>
      </c>
      <c r="G8" s="144">
        <f>VLOOKUP($A8,'Data shares'!$C:$FA,25)</f>
        <v>1.2</v>
      </c>
    </row>
    <row r="9" spans="1:8" x14ac:dyDescent="0.25">
      <c r="A9" s="101" t="str">
        <f>'Data shares'!C5</f>
        <v>ADANIENSOL</v>
      </c>
      <c r="B9" s="144">
        <f>VLOOKUP($A9,'Data shares'!$C:$FA,7)</f>
        <v>1407.3</v>
      </c>
      <c r="C9" s="144">
        <f>VLOOKUP($A9,'Data shares'!$C:$FA,3)</f>
        <v>1416.8</v>
      </c>
      <c r="D9" s="144">
        <f>VLOOKUP($A9,'Data shares'!$C:$FA,23)</f>
        <v>9.5</v>
      </c>
      <c r="E9" s="145">
        <f>VLOOKUP($A9,'Data shares'!$C:$FA,26)*100</f>
        <v>0.67999999999999994</v>
      </c>
      <c r="F9" s="144">
        <f>VLOOKUP($A9,'Data shares'!$C:$FA,24)</f>
        <v>8.5</v>
      </c>
      <c r="G9" s="144">
        <f>VLOOKUP($A9,'Data shares'!$C:$FA,25)</f>
        <v>1</v>
      </c>
    </row>
    <row r="10" spans="1:8" x14ac:dyDescent="0.25">
      <c r="A10" s="101" t="str">
        <f>'Data shares'!C6</f>
        <v>ADANIENT</v>
      </c>
      <c r="B10" s="144">
        <f>VLOOKUP($A10,'Data shares'!$C:$FA,7)</f>
        <v>2540.3000000000002</v>
      </c>
      <c r="C10" s="144">
        <f>VLOOKUP($A10,'Data shares'!$C:$FA,3)</f>
        <v>2553.3000000000002</v>
      </c>
      <c r="D10" s="144">
        <f>VLOOKUP($A10,'Data shares'!$C:$FA,23)</f>
        <v>13</v>
      </c>
      <c r="E10" s="145">
        <f>VLOOKUP($A10,'Data shares'!$C:$FA,26)*100</f>
        <v>0.51</v>
      </c>
      <c r="F10" s="144">
        <f>VLOOKUP($A10,'Data shares'!$C:$FA,24)</f>
        <v>11.2</v>
      </c>
      <c r="G10" s="144">
        <f>VLOOKUP($A10,'Data shares'!$C:$FA,25)</f>
        <v>1.8</v>
      </c>
    </row>
    <row r="11" spans="1:8" x14ac:dyDescent="0.25">
      <c r="A11" s="101" t="str">
        <f>'Data shares'!C7</f>
        <v>ADANIGREEN</v>
      </c>
      <c r="B11" s="144">
        <f>VLOOKUP($A11,'Data shares'!$C:$FA,7)</f>
        <v>1353</v>
      </c>
      <c r="C11" s="144">
        <f>VLOOKUP($A11,'Data shares'!$C:$FA,3)</f>
        <v>1362.2</v>
      </c>
      <c r="D11" s="144">
        <f>VLOOKUP($A11,'Data shares'!$C:$FA,23)</f>
        <v>9.1999999999999993</v>
      </c>
      <c r="E11" s="145">
        <f>VLOOKUP($A11,'Data shares'!$C:$FA,26)*100</f>
        <v>0.67999999999999994</v>
      </c>
      <c r="F11" s="144">
        <f>VLOOKUP($A11,'Data shares'!$C:$FA,24)</f>
        <v>5.5</v>
      </c>
      <c r="G11" s="144">
        <f>VLOOKUP($A11,'Data shares'!$C:$FA,25)</f>
        <v>3.7</v>
      </c>
    </row>
    <row r="12" spans="1:8" x14ac:dyDescent="0.25">
      <c r="A12" s="101" t="str">
        <f>'Data shares'!C8</f>
        <v>ADANIPORTS</v>
      </c>
      <c r="B12" s="144">
        <f>VLOOKUP($A12,'Data shares'!$C:$FA,7)</f>
        <v>1748.3</v>
      </c>
      <c r="C12" s="144">
        <f>VLOOKUP($A12,'Data shares'!$C:$FA,3)</f>
        <v>1758.1</v>
      </c>
      <c r="D12" s="144">
        <f>VLOOKUP($A12,'Data shares'!$C:$FA,23)</f>
        <v>9.8000000000000007</v>
      </c>
      <c r="E12" s="145">
        <f>VLOOKUP($A12,'Data shares'!$C:$FA,26)*100</f>
        <v>0.55999999999999994</v>
      </c>
      <c r="F12" s="144">
        <f>VLOOKUP($A12,'Data shares'!$C:$FA,24)</f>
        <v>5.8</v>
      </c>
      <c r="G12" s="144">
        <f>VLOOKUP($A12,'Data shares'!$C:$FA,25)</f>
        <v>4</v>
      </c>
    </row>
    <row r="13" spans="1:8" x14ac:dyDescent="0.25">
      <c r="A13" s="101" t="str">
        <f>'Data shares'!C9</f>
        <v>ADANIPOWER</v>
      </c>
      <c r="B13" s="144">
        <f>VLOOKUP($A13,'Data shares'!$C:$FA,7)</f>
        <v>229.12</v>
      </c>
      <c r="C13" s="144">
        <f>VLOOKUP($A13,'Data shares'!$C:$FA,3)</f>
        <v>230.63</v>
      </c>
      <c r="D13" s="144">
        <f>VLOOKUP($A13,'Data shares'!$C:$FA,23)</f>
        <v>1.51</v>
      </c>
      <c r="E13" s="145">
        <f>VLOOKUP($A13,'Data shares'!$C:$FA,26)*100</f>
        <v>0.66</v>
      </c>
      <c r="F13" s="144">
        <f>VLOOKUP($A13,'Data shares'!$C:$FA,24)</f>
        <v>0.61</v>
      </c>
      <c r="G13" s="144">
        <f>VLOOKUP($A13,'Data shares'!$C:$FA,25)</f>
        <v>0.9</v>
      </c>
    </row>
    <row r="14" spans="1:8" x14ac:dyDescent="0.25">
      <c r="A14" s="101" t="str">
        <f>'Data shares'!C10</f>
        <v>ALKEM</v>
      </c>
      <c r="B14" s="144">
        <f>VLOOKUP($A14,'Data shares'!$C:$FA,7)</f>
        <v>5557</v>
      </c>
      <c r="C14" s="144">
        <f>VLOOKUP($A14,'Data shares'!$C:$FA,3)</f>
        <v>5549</v>
      </c>
      <c r="D14" s="144">
        <f>VLOOKUP($A14,'Data shares'!$C:$FA,23)</f>
        <v>-8</v>
      </c>
      <c r="E14" s="145">
        <f>VLOOKUP($A14,'Data shares'!$C:$FA,26)*100</f>
        <v>-0.13999999999999999</v>
      </c>
      <c r="F14" s="144">
        <f>VLOOKUP($A14,'Data shares'!$C:$FA,24)</f>
        <v>21.5</v>
      </c>
      <c r="G14" s="144">
        <f>VLOOKUP($A14,'Data shares'!$C:$FA,25)</f>
        <v>-29.5</v>
      </c>
    </row>
    <row r="15" spans="1:8" x14ac:dyDescent="0.25">
      <c r="A15" s="101" t="str">
        <f>'Data shares'!C11</f>
        <v>AMBER</v>
      </c>
      <c r="B15" s="144">
        <f>VLOOKUP($A15,'Data shares'!$C:$FA,7)</f>
        <v>8661.5</v>
      </c>
      <c r="C15" s="144">
        <f>VLOOKUP($A15,'Data shares'!$C:$FA,3)</f>
        <v>8737.5</v>
      </c>
      <c r="D15" s="144">
        <f>VLOOKUP($A15,'Data shares'!$C:$FA,23)</f>
        <v>76</v>
      </c>
      <c r="E15" s="145">
        <f>VLOOKUP($A15,'Data shares'!$C:$FA,26)*100</f>
        <v>0.88</v>
      </c>
      <c r="F15" s="144">
        <f>VLOOKUP($A15,'Data shares'!$C:$FA,24)</f>
        <v>44</v>
      </c>
      <c r="G15" s="144">
        <f>VLOOKUP($A15,'Data shares'!$C:$FA,25)</f>
        <v>32</v>
      </c>
    </row>
    <row r="16" spans="1:8" x14ac:dyDescent="0.25">
      <c r="A16" s="101" t="str">
        <f>'Data shares'!C12</f>
        <v>AMBUJACEM</v>
      </c>
      <c r="B16" s="144">
        <f>VLOOKUP($A16,'Data shares'!$C:$FA,7)</f>
        <v>446.9</v>
      </c>
      <c r="C16" s="144">
        <f>VLOOKUP($A16,'Data shares'!$C:$FA,3)</f>
        <v>448.95</v>
      </c>
      <c r="D16" s="144">
        <f>VLOOKUP($A16,'Data shares'!$C:$FA,23)</f>
        <v>2.0499999999999998</v>
      </c>
      <c r="E16" s="145">
        <f>VLOOKUP($A16,'Data shares'!$C:$FA,26)*100</f>
        <v>0.45999999999999996</v>
      </c>
      <c r="F16" s="144">
        <f>VLOOKUP($A16,'Data shares'!$C:$FA,24)</f>
        <v>2.2000000000000002</v>
      </c>
      <c r="G16" s="144">
        <f>VLOOKUP($A16,'Data shares'!$C:$FA,25)</f>
        <v>-0.15</v>
      </c>
    </row>
    <row r="17" spans="1:7" x14ac:dyDescent="0.25">
      <c r="A17" s="101" t="str">
        <f>'Data shares'!C13</f>
        <v>ANGELONE</v>
      </c>
      <c r="B17" s="144">
        <f>VLOOKUP($A17,'Data shares'!$C:$FA,7)</f>
        <v>316.85000000000002</v>
      </c>
      <c r="C17" s="144">
        <f>VLOOKUP($A17,'Data shares'!$C:$FA,3)</f>
        <v>318.5</v>
      </c>
      <c r="D17" s="144">
        <f>VLOOKUP($A17,'Data shares'!$C:$FA,23)</f>
        <v>1.65</v>
      </c>
      <c r="E17" s="145">
        <f>VLOOKUP($A17,'Data shares'!$C:$FA,26)*100</f>
        <v>0.52</v>
      </c>
      <c r="F17" s="144">
        <f>VLOOKUP($A17,'Data shares'!$C:$FA,24)</f>
        <v>1.5</v>
      </c>
      <c r="G17" s="144">
        <f>VLOOKUP($A17,'Data shares'!$C:$FA,25)</f>
        <v>0.15</v>
      </c>
    </row>
    <row r="18" spans="1:7" x14ac:dyDescent="0.25">
      <c r="A18" s="101" t="str">
        <f>'Data shares'!C14</f>
        <v>APLAPOLLO</v>
      </c>
      <c r="B18" s="144">
        <f>VLOOKUP($A18,'Data shares'!$C:$FA,7)</f>
        <v>1914.7</v>
      </c>
      <c r="C18" s="144">
        <f>VLOOKUP($A18,'Data shares'!$C:$FA,3)</f>
        <v>1927.3</v>
      </c>
      <c r="D18" s="144">
        <f>VLOOKUP($A18,'Data shares'!$C:$FA,23)</f>
        <v>12.6</v>
      </c>
      <c r="E18" s="145">
        <f>VLOOKUP($A18,'Data shares'!$C:$FA,26)*100</f>
        <v>0.66</v>
      </c>
      <c r="F18" s="144">
        <f>VLOOKUP($A18,'Data shares'!$C:$FA,24)</f>
        <v>11</v>
      </c>
      <c r="G18" s="144">
        <f>VLOOKUP($A18,'Data shares'!$C:$FA,25)</f>
        <v>1.6</v>
      </c>
    </row>
    <row r="19" spans="1:7" x14ac:dyDescent="0.25">
      <c r="A19" s="101" t="str">
        <f>'Data shares'!C15</f>
        <v>APOLLOHOSP</v>
      </c>
      <c r="B19" s="144">
        <f>VLOOKUP($A19,'Data shares'!$C:$FA,7)</f>
        <v>7760.5</v>
      </c>
      <c r="C19" s="144">
        <f>VLOOKUP($A19,'Data shares'!$C:$FA,3)</f>
        <v>7814.5</v>
      </c>
      <c r="D19" s="144">
        <f>VLOOKUP($A19,'Data shares'!$C:$FA,23)</f>
        <v>54</v>
      </c>
      <c r="E19" s="145">
        <f>VLOOKUP($A19,'Data shares'!$C:$FA,26)*100</f>
        <v>0.70000000000000007</v>
      </c>
      <c r="F19" s="144">
        <f>VLOOKUP($A19,'Data shares'!$C:$FA,24)</f>
        <v>17.5</v>
      </c>
      <c r="G19" s="144">
        <f>VLOOKUP($A19,'Data shares'!$C:$FA,25)</f>
        <v>36.5</v>
      </c>
    </row>
    <row r="20" spans="1:7" x14ac:dyDescent="0.25">
      <c r="A20" s="101" t="str">
        <f>'Data shares'!C16</f>
        <v>ASHOKLEY</v>
      </c>
      <c r="B20" s="144">
        <f>VLOOKUP($A20,'Data shares'!$C:$FA,7)</f>
        <v>167.8</v>
      </c>
      <c r="C20" s="144">
        <f>VLOOKUP($A20,'Data shares'!$C:$FA,3)</f>
        <v>168.83</v>
      </c>
      <c r="D20" s="144">
        <f>VLOOKUP($A20,'Data shares'!$C:$FA,23)</f>
        <v>1.03</v>
      </c>
      <c r="E20" s="145">
        <f>VLOOKUP($A20,'Data shares'!$C:$FA,26)*100</f>
        <v>0.61</v>
      </c>
      <c r="F20" s="144">
        <f>VLOOKUP($A20,'Data shares'!$C:$FA,24)</f>
        <v>-0.34</v>
      </c>
      <c r="G20" s="144">
        <f>VLOOKUP($A20,'Data shares'!$C:$FA,25)</f>
        <v>1.37</v>
      </c>
    </row>
    <row r="21" spans="1:7" x14ac:dyDescent="0.25">
      <c r="A21" s="101" t="str">
        <f>'Data shares'!C17</f>
        <v>ASIANPAINT</v>
      </c>
      <c r="B21" s="144">
        <f>VLOOKUP($A21,'Data shares'!$C:$FA,7)</f>
        <v>2519</v>
      </c>
      <c r="C21" s="144">
        <f>VLOOKUP($A21,'Data shares'!$C:$FA,3)</f>
        <v>2530.5</v>
      </c>
      <c r="D21" s="144">
        <f>VLOOKUP($A21,'Data shares'!$C:$FA,23)</f>
        <v>11.5</v>
      </c>
      <c r="E21" s="145">
        <f>VLOOKUP($A21,'Data shares'!$C:$FA,26)*100</f>
        <v>0.45999999999999996</v>
      </c>
      <c r="F21" s="144">
        <f>VLOOKUP($A21,'Data shares'!$C:$FA,24)</f>
        <v>11.1</v>
      </c>
      <c r="G21" s="144">
        <f>VLOOKUP($A21,'Data shares'!$C:$FA,25)</f>
        <v>0.4</v>
      </c>
    </row>
    <row r="22" spans="1:7" x14ac:dyDescent="0.25">
      <c r="A22" s="101" t="str">
        <f>'Data shares'!C18</f>
        <v>ASTRAL</v>
      </c>
      <c r="B22" s="144">
        <f>VLOOKUP($A22,'Data shares'!$C:$FA,7)</f>
        <v>1576.1</v>
      </c>
      <c r="C22" s="144">
        <f>VLOOKUP($A22,'Data shares'!$C:$FA,3)</f>
        <v>1583.4</v>
      </c>
      <c r="D22" s="144">
        <f>VLOOKUP($A22,'Data shares'!$C:$FA,23)</f>
        <v>7.3</v>
      </c>
      <c r="E22" s="145">
        <f>VLOOKUP($A22,'Data shares'!$C:$FA,26)*100</f>
        <v>0.45999999999999996</v>
      </c>
      <c r="F22" s="144">
        <f>VLOOKUP($A22,'Data shares'!$C:$FA,24)</f>
        <v>3.5</v>
      </c>
      <c r="G22" s="144">
        <f>VLOOKUP($A22,'Data shares'!$C:$FA,25)</f>
        <v>3.8</v>
      </c>
    </row>
    <row r="23" spans="1:7" x14ac:dyDescent="0.25">
      <c r="A23" s="101" t="str">
        <f>'Data shares'!C19</f>
        <v>AUBANK</v>
      </c>
      <c r="B23" s="144">
        <f>VLOOKUP($A23,'Data shares'!$C:$FA,7)</f>
        <v>1024</v>
      </c>
      <c r="C23" s="144">
        <f>VLOOKUP($A23,'Data shares'!$C:$FA,3)</f>
        <v>1031.2</v>
      </c>
      <c r="D23" s="144">
        <f>VLOOKUP($A23,'Data shares'!$C:$FA,23)</f>
        <v>7.2</v>
      </c>
      <c r="E23" s="145">
        <f>VLOOKUP($A23,'Data shares'!$C:$FA,26)*100</f>
        <v>0.70000000000000007</v>
      </c>
      <c r="F23" s="144">
        <f>VLOOKUP($A23,'Data shares'!$C:$FA,24)</f>
        <v>5.8</v>
      </c>
      <c r="G23" s="144">
        <f>VLOOKUP($A23,'Data shares'!$C:$FA,25)</f>
        <v>1.4</v>
      </c>
    </row>
    <row r="24" spans="1:7" x14ac:dyDescent="0.25">
      <c r="A24" s="101" t="str">
        <f>'Data shares'!C20</f>
        <v>AUROPHARMA</v>
      </c>
      <c r="B24" s="144">
        <f>VLOOKUP($A24,'Data shares'!$C:$FA,7)</f>
        <v>1484</v>
      </c>
      <c r="C24" s="144">
        <f>VLOOKUP($A24,'Data shares'!$C:$FA,3)</f>
        <v>1491.4</v>
      </c>
      <c r="D24" s="144">
        <f>VLOOKUP($A24,'Data shares'!$C:$FA,23)</f>
        <v>7.4</v>
      </c>
      <c r="E24" s="145">
        <f>VLOOKUP($A24,'Data shares'!$C:$FA,26)*100</f>
        <v>0.5</v>
      </c>
      <c r="F24" s="144">
        <f>VLOOKUP($A24,'Data shares'!$C:$FA,24)</f>
        <v>3.6</v>
      </c>
      <c r="G24" s="144">
        <f>VLOOKUP($A24,'Data shares'!$C:$FA,25)</f>
        <v>3.8</v>
      </c>
    </row>
    <row r="25" spans="1:7" x14ac:dyDescent="0.25">
      <c r="A25" s="101" t="str">
        <f>'Data shares'!C21</f>
        <v>AXISBANK</v>
      </c>
      <c r="B25" s="144">
        <f>VLOOKUP($A25,'Data shares'!$C:$FA,7)</f>
        <v>1294.2</v>
      </c>
      <c r="C25" s="144">
        <f>VLOOKUP($A25,'Data shares'!$C:$FA,3)</f>
        <v>1304.0999999999999</v>
      </c>
      <c r="D25" s="144">
        <f>VLOOKUP($A25,'Data shares'!$C:$FA,23)</f>
        <v>9.9</v>
      </c>
      <c r="E25" s="145">
        <f>VLOOKUP($A25,'Data shares'!$C:$FA,26)*100</f>
        <v>0.76</v>
      </c>
      <c r="F25" s="144">
        <f>VLOOKUP($A25,'Data shares'!$C:$FA,24)</f>
        <v>6</v>
      </c>
      <c r="G25" s="144">
        <f>VLOOKUP($A25,'Data shares'!$C:$FA,25)</f>
        <v>3.9</v>
      </c>
    </row>
    <row r="26" spans="1:7" x14ac:dyDescent="0.25">
      <c r="A26" s="101" t="str">
        <f>'Data shares'!C22</f>
        <v>BAJAJ-AUTO</v>
      </c>
      <c r="B26" s="144">
        <f>VLOOKUP($A26,'Data shares'!$C:$FA,7)</f>
        <v>10319</v>
      </c>
      <c r="C26" s="144">
        <f>VLOOKUP($A26,'Data shares'!$C:$FA,3)</f>
        <v>10361</v>
      </c>
      <c r="D26" s="144">
        <f>VLOOKUP($A26,'Data shares'!$C:$FA,23)</f>
        <v>42</v>
      </c>
      <c r="E26" s="145">
        <f>VLOOKUP($A26,'Data shares'!$C:$FA,26)*100</f>
        <v>0.41000000000000003</v>
      </c>
      <c r="F26" s="144">
        <f>VLOOKUP($A26,'Data shares'!$C:$FA,24)</f>
        <v>44</v>
      </c>
      <c r="G26" s="144">
        <f>VLOOKUP($A26,'Data shares'!$C:$FA,25)</f>
        <v>-2</v>
      </c>
    </row>
    <row r="27" spans="1:7" x14ac:dyDescent="0.25">
      <c r="A27" s="101" t="str">
        <f>'Data shares'!C23</f>
        <v>BAJAJFINSV</v>
      </c>
      <c r="B27" s="144">
        <f>VLOOKUP($A27,'Data shares'!$C:$FA,7)</f>
        <v>1836.1</v>
      </c>
      <c r="C27" s="144">
        <f>VLOOKUP($A27,'Data shares'!$C:$FA,3)</f>
        <v>1846.9</v>
      </c>
      <c r="D27" s="144">
        <f>VLOOKUP($A27,'Data shares'!$C:$FA,23)</f>
        <v>10.8</v>
      </c>
      <c r="E27" s="145">
        <f>VLOOKUP($A27,'Data shares'!$C:$FA,26)*100</f>
        <v>0.59</v>
      </c>
      <c r="F27" s="144">
        <f>VLOOKUP($A27,'Data shares'!$C:$FA,24)</f>
        <v>5.4</v>
      </c>
      <c r="G27" s="144">
        <f>VLOOKUP($A27,'Data shares'!$C:$FA,25)</f>
        <v>5.4</v>
      </c>
    </row>
    <row r="28" spans="1:7" x14ac:dyDescent="0.25">
      <c r="A28" s="101" t="str">
        <f>'Data shares'!C24</f>
        <v>BAJAJHLDNG</v>
      </c>
      <c r="B28" s="144">
        <f>VLOOKUP($A28,'Data shares'!$C:$FA,7)</f>
        <v>10612</v>
      </c>
      <c r="C28" s="144">
        <f>VLOOKUP($A28,'Data shares'!$C:$FA,3)</f>
        <v>10685</v>
      </c>
      <c r="D28" s="144">
        <f>VLOOKUP($A28,'Data shares'!$C:$FA,23)</f>
        <v>73</v>
      </c>
      <c r="E28" s="145">
        <f>VLOOKUP($A28,'Data shares'!$C:$FA,26)*100</f>
        <v>0.69</v>
      </c>
      <c r="F28" s="144">
        <f>VLOOKUP($A28,'Data shares'!$C:$FA,24)</f>
        <v>62</v>
      </c>
      <c r="G28" s="144">
        <f>VLOOKUP($A28,'Data shares'!$C:$FA,25)</f>
        <v>11</v>
      </c>
    </row>
    <row r="29" spans="1:7" x14ac:dyDescent="0.25">
      <c r="A29" s="101" t="str">
        <f>'Data shares'!C25</f>
        <v>BAJFINANCE</v>
      </c>
      <c r="B29" s="144">
        <f>VLOOKUP($A29,'Data shares'!$C:$FA,7)</f>
        <v>980.75</v>
      </c>
      <c r="C29" s="144">
        <f>VLOOKUP($A29,'Data shares'!$C:$FA,3)</f>
        <v>985.45</v>
      </c>
      <c r="D29" s="144">
        <f>VLOOKUP($A29,'Data shares'!$C:$FA,23)</f>
        <v>4.7</v>
      </c>
      <c r="E29" s="145">
        <f>VLOOKUP($A29,'Data shares'!$C:$FA,26)*100</f>
        <v>0.48</v>
      </c>
      <c r="F29" s="144">
        <f>VLOOKUP($A29,'Data shares'!$C:$FA,24)</f>
        <v>2</v>
      </c>
      <c r="G29" s="144">
        <f>VLOOKUP($A29,'Data shares'!$C:$FA,25)</f>
        <v>2.7</v>
      </c>
    </row>
    <row r="30" spans="1:7" x14ac:dyDescent="0.25">
      <c r="A30" s="101" t="str">
        <f>'Data shares'!C26</f>
        <v>BANDHANBNK</v>
      </c>
      <c r="B30" s="144">
        <f>VLOOKUP($A30,'Data shares'!$C:$FA,7)</f>
        <v>208.88</v>
      </c>
      <c r="C30" s="144">
        <f>VLOOKUP($A30,'Data shares'!$C:$FA,3)</f>
        <v>210.34</v>
      </c>
      <c r="D30" s="144">
        <f>VLOOKUP($A30,'Data shares'!$C:$FA,23)</f>
        <v>1.46</v>
      </c>
      <c r="E30" s="145">
        <f>VLOOKUP($A30,'Data shares'!$C:$FA,26)*100</f>
        <v>0.70000000000000007</v>
      </c>
      <c r="F30" s="144">
        <f>VLOOKUP($A30,'Data shares'!$C:$FA,24)</f>
        <v>1.26</v>
      </c>
      <c r="G30" s="144">
        <f>VLOOKUP($A30,'Data shares'!$C:$FA,25)</f>
        <v>0.2</v>
      </c>
    </row>
    <row r="31" spans="1:7" x14ac:dyDescent="0.25">
      <c r="A31" s="101" t="str">
        <f>'Data shares'!C27</f>
        <v>BANKBARODA</v>
      </c>
      <c r="B31" s="144">
        <f>VLOOKUP($A31,'Data shares'!$C:$FA,7)</f>
        <v>270.3</v>
      </c>
      <c r="C31" s="144">
        <f>VLOOKUP($A31,'Data shares'!$C:$FA,3)</f>
        <v>272.39999999999998</v>
      </c>
      <c r="D31" s="144">
        <f>VLOOKUP($A31,'Data shares'!$C:$FA,23)</f>
        <v>2.1</v>
      </c>
      <c r="E31" s="145">
        <f>VLOOKUP($A31,'Data shares'!$C:$FA,26)*100</f>
        <v>0.77999999999999992</v>
      </c>
      <c r="F31" s="144">
        <f>VLOOKUP($A31,'Data shares'!$C:$FA,24)</f>
        <v>1.35</v>
      </c>
      <c r="G31" s="144">
        <f>VLOOKUP($A31,'Data shares'!$C:$FA,25)</f>
        <v>0.75</v>
      </c>
    </row>
    <row r="32" spans="1:7" x14ac:dyDescent="0.25">
      <c r="A32" s="101" t="str">
        <f>'Data shares'!C28</f>
        <v>BANKINDIA</v>
      </c>
      <c r="B32" s="144">
        <f>VLOOKUP($A32,'Data shares'!$C:$FA,7)</f>
        <v>142.34</v>
      </c>
      <c r="C32" s="144">
        <f>VLOOKUP($A32,'Data shares'!$C:$FA,3)</f>
        <v>143.44</v>
      </c>
      <c r="D32" s="144">
        <f>VLOOKUP($A32,'Data shares'!$C:$FA,23)</f>
        <v>1.1000000000000001</v>
      </c>
      <c r="E32" s="145">
        <f>VLOOKUP($A32,'Data shares'!$C:$FA,26)*100</f>
        <v>0.77</v>
      </c>
      <c r="F32" s="144">
        <f>VLOOKUP($A32,'Data shares'!$C:$FA,24)</f>
        <v>0.76</v>
      </c>
      <c r="G32" s="144">
        <f>VLOOKUP($A32,'Data shares'!$C:$FA,25)</f>
        <v>0.34</v>
      </c>
    </row>
    <row r="33" spans="1:7" x14ac:dyDescent="0.25">
      <c r="A33" s="101" t="str">
        <f>'Data shares'!C29</f>
        <v>BANKNIFTY</v>
      </c>
      <c r="B33" s="144">
        <f>VLOOKUP($A33,'Data shares'!$C:$FA,7)</f>
        <v>55981.05</v>
      </c>
      <c r="C33" s="144">
        <f>VLOOKUP($A33,'Data shares'!$C:$FA,3)</f>
        <v>56348.6</v>
      </c>
      <c r="D33" s="144">
        <f>VLOOKUP($A33,'Data shares'!$C:$FA,23)</f>
        <v>367.55</v>
      </c>
      <c r="E33" s="145">
        <f>VLOOKUP($A33,'Data shares'!$C:$FA,26)*100</f>
        <v>0.66</v>
      </c>
      <c r="F33" s="144">
        <f>VLOOKUP($A33,'Data shares'!$C:$FA,24)</f>
        <v>260.95</v>
      </c>
      <c r="G33" s="144">
        <f>VLOOKUP($A33,'Data shares'!$C:$FA,25)</f>
        <v>106.6</v>
      </c>
    </row>
    <row r="34" spans="1:7" x14ac:dyDescent="0.25">
      <c r="A34" s="101" t="str">
        <f>'Data shares'!C30</f>
        <v>BDL</v>
      </c>
      <c r="B34" s="144">
        <f>VLOOKUP($A34,'Data shares'!$C:$FA,7)</f>
        <v>1401.5</v>
      </c>
      <c r="C34" s="144">
        <f>VLOOKUP($A34,'Data shares'!$C:$FA,3)</f>
        <v>1402.2</v>
      </c>
      <c r="D34" s="144">
        <f>VLOOKUP($A34,'Data shares'!$C:$FA,23)</f>
        <v>0.7</v>
      </c>
      <c r="E34" s="145">
        <f>VLOOKUP($A34,'Data shares'!$C:$FA,26)*100</f>
        <v>0.05</v>
      </c>
      <c r="F34" s="144">
        <f>VLOOKUP($A34,'Data shares'!$C:$FA,24)</f>
        <v>0.8</v>
      </c>
      <c r="G34" s="144">
        <f>VLOOKUP($A34,'Data shares'!$C:$FA,25)</f>
        <v>-0.1</v>
      </c>
    </row>
    <row r="35" spans="1:7" x14ac:dyDescent="0.25">
      <c r="A35" s="101" t="str">
        <f>'Data shares'!C31</f>
        <v>BEL</v>
      </c>
      <c r="B35" s="144">
        <f>VLOOKUP($A35,'Data shares'!$C:$FA,7)</f>
        <v>438.2</v>
      </c>
      <c r="C35" s="144">
        <f>VLOOKUP($A35,'Data shares'!$C:$FA,3)</f>
        <v>439.95</v>
      </c>
      <c r="D35" s="144">
        <f>VLOOKUP($A35,'Data shares'!$C:$FA,23)</f>
        <v>1.75</v>
      </c>
      <c r="E35" s="145">
        <f>VLOOKUP($A35,'Data shares'!$C:$FA,26)*100</f>
        <v>0.4</v>
      </c>
      <c r="F35" s="144">
        <f>VLOOKUP($A35,'Data shares'!$C:$FA,24)</f>
        <v>3.25</v>
      </c>
      <c r="G35" s="144">
        <f>VLOOKUP($A35,'Data shares'!$C:$FA,25)</f>
        <v>-1.5</v>
      </c>
    </row>
    <row r="36" spans="1:7" x14ac:dyDescent="0.25">
      <c r="A36" s="101" t="str">
        <f>'Data shares'!C32</f>
        <v>BHARATFORG</v>
      </c>
      <c r="B36" s="144">
        <f>VLOOKUP($A36,'Data shares'!$C:$FA,7)</f>
        <v>1873.8</v>
      </c>
      <c r="C36" s="144">
        <f>VLOOKUP($A36,'Data shares'!$C:$FA,3)</f>
        <v>1883.8</v>
      </c>
      <c r="D36" s="144">
        <f>VLOOKUP($A36,'Data shares'!$C:$FA,23)</f>
        <v>10</v>
      </c>
      <c r="E36" s="145">
        <f>VLOOKUP($A36,'Data shares'!$C:$FA,26)*100</f>
        <v>0.53</v>
      </c>
      <c r="F36" s="144">
        <f>VLOOKUP($A36,'Data shares'!$C:$FA,24)</f>
        <v>9.6999999999999993</v>
      </c>
      <c r="G36" s="144">
        <f>VLOOKUP($A36,'Data shares'!$C:$FA,25)</f>
        <v>0.3</v>
      </c>
    </row>
    <row r="37" spans="1:7" x14ac:dyDescent="0.25">
      <c r="A37" s="101" t="str">
        <f>'Data shares'!C33</f>
        <v>BHARTIARTL</v>
      </c>
      <c r="B37" s="144">
        <f>VLOOKUP($A37,'Data shares'!$C:$FA,7)</f>
        <v>1833.7</v>
      </c>
      <c r="C37" s="144">
        <f>VLOOKUP($A37,'Data shares'!$C:$FA,3)</f>
        <v>1844</v>
      </c>
      <c r="D37" s="144">
        <f>VLOOKUP($A37,'Data shares'!$C:$FA,23)</f>
        <v>10.3</v>
      </c>
      <c r="E37" s="145">
        <f>VLOOKUP($A37,'Data shares'!$C:$FA,26)*100</f>
        <v>0.55999999999999994</v>
      </c>
      <c r="F37" s="144">
        <f>VLOOKUP($A37,'Data shares'!$C:$FA,24)</f>
        <v>10.3</v>
      </c>
      <c r="G37" s="144">
        <f>VLOOKUP($A37,'Data shares'!$C:$FA,25)</f>
        <v>0</v>
      </c>
    </row>
    <row r="38" spans="1:7" x14ac:dyDescent="0.25">
      <c r="A38" s="101" t="str">
        <f>'Data shares'!C34</f>
        <v>BHEL</v>
      </c>
      <c r="B38" s="144">
        <f>VLOOKUP($A38,'Data shares'!$C:$FA,7)</f>
        <v>385.95</v>
      </c>
      <c r="C38" s="144">
        <f>VLOOKUP($A38,'Data shares'!$C:$FA,3)</f>
        <v>387.65</v>
      </c>
      <c r="D38" s="144">
        <f>VLOOKUP($A38,'Data shares'!$C:$FA,23)</f>
        <v>1.7</v>
      </c>
      <c r="E38" s="145">
        <f>VLOOKUP($A38,'Data shares'!$C:$FA,26)*100</f>
        <v>0.44</v>
      </c>
      <c r="F38" s="144">
        <f>VLOOKUP($A38,'Data shares'!$C:$FA,24)</f>
        <v>1.45</v>
      </c>
      <c r="G38" s="144">
        <f>VLOOKUP($A38,'Data shares'!$C:$FA,25)</f>
        <v>0.25</v>
      </c>
    </row>
    <row r="39" spans="1:7" x14ac:dyDescent="0.25">
      <c r="A39" s="101" t="str">
        <f>'Data shares'!C35</f>
        <v>BIOCON</v>
      </c>
      <c r="B39" s="144">
        <f>VLOOKUP($A39,'Data shares'!$C:$FA,7)</f>
        <v>380.6</v>
      </c>
      <c r="C39" s="144">
        <f>VLOOKUP($A39,'Data shares'!$C:$FA,3)</f>
        <v>382.15</v>
      </c>
      <c r="D39" s="144">
        <f>VLOOKUP($A39,'Data shares'!$C:$FA,23)</f>
        <v>1.55</v>
      </c>
      <c r="E39" s="145">
        <f>VLOOKUP($A39,'Data shares'!$C:$FA,26)*100</f>
        <v>0.41000000000000003</v>
      </c>
      <c r="F39" s="144">
        <f>VLOOKUP($A39,'Data shares'!$C:$FA,24)</f>
        <v>2.2999999999999998</v>
      </c>
      <c r="G39" s="144">
        <f>VLOOKUP($A39,'Data shares'!$C:$FA,25)</f>
        <v>-0.75</v>
      </c>
    </row>
    <row r="40" spans="1:7" x14ac:dyDescent="0.25">
      <c r="A40" s="101" t="str">
        <f>'Data shares'!C36</f>
        <v>BLUESTARCO</v>
      </c>
      <c r="B40" s="144">
        <f>VLOOKUP($A40,'Data shares'!$C:$FA,7)</f>
        <v>1806.6</v>
      </c>
      <c r="C40" s="144">
        <f>VLOOKUP($A40,'Data shares'!$C:$FA,3)</f>
        <v>1812.3</v>
      </c>
      <c r="D40" s="144">
        <f>VLOOKUP($A40,'Data shares'!$C:$FA,23)</f>
        <v>5.7</v>
      </c>
      <c r="E40" s="145">
        <f>VLOOKUP($A40,'Data shares'!$C:$FA,26)*100</f>
        <v>0.32</v>
      </c>
      <c r="F40" s="144">
        <f>VLOOKUP($A40,'Data shares'!$C:$FA,24)</f>
        <v>3.1</v>
      </c>
      <c r="G40" s="144">
        <f>VLOOKUP($A40,'Data shares'!$C:$FA,25)</f>
        <v>2.6</v>
      </c>
    </row>
    <row r="41" spans="1:7" x14ac:dyDescent="0.25">
      <c r="A41" s="101" t="str">
        <f>'Data shares'!C37</f>
        <v>BOSCHLTD</v>
      </c>
      <c r="B41" s="144">
        <f>VLOOKUP($A41,'Data shares'!$C:$FA,7)</f>
        <v>36645</v>
      </c>
      <c r="C41" s="144">
        <f>VLOOKUP($A41,'Data shares'!$C:$FA,3)</f>
        <v>36925</v>
      </c>
      <c r="D41" s="144">
        <f>VLOOKUP($A41,'Data shares'!$C:$FA,23)</f>
        <v>280</v>
      </c>
      <c r="E41" s="145">
        <f>VLOOKUP($A41,'Data shares'!$C:$FA,26)*100</f>
        <v>0.76</v>
      </c>
      <c r="F41" s="144">
        <f>VLOOKUP($A41,'Data shares'!$C:$FA,24)</f>
        <v>210</v>
      </c>
      <c r="G41" s="144">
        <f>VLOOKUP($A41,'Data shares'!$C:$FA,25)</f>
        <v>70</v>
      </c>
    </row>
    <row r="42" spans="1:7" x14ac:dyDescent="0.25">
      <c r="A42" s="101" t="str">
        <f>'Data shares'!C38</f>
        <v>BPCL</v>
      </c>
      <c r="B42" s="144">
        <f>VLOOKUP($A42,'Data shares'!$C:$FA,7)</f>
        <v>314.05</v>
      </c>
      <c r="C42" s="144">
        <f>VLOOKUP($A42,'Data shares'!$C:$FA,3)</f>
        <v>316.14999999999998</v>
      </c>
      <c r="D42" s="144">
        <f>VLOOKUP($A42,'Data shares'!$C:$FA,23)</f>
        <v>2.1</v>
      </c>
      <c r="E42" s="145">
        <f>VLOOKUP($A42,'Data shares'!$C:$FA,26)*100</f>
        <v>0.67</v>
      </c>
      <c r="F42" s="144">
        <f>VLOOKUP($A42,'Data shares'!$C:$FA,24)</f>
        <v>1.75</v>
      </c>
      <c r="G42" s="144">
        <f>VLOOKUP($A42,'Data shares'!$C:$FA,25)</f>
        <v>0.35</v>
      </c>
    </row>
    <row r="43" spans="1:7" x14ac:dyDescent="0.25">
      <c r="A43" s="101" t="str">
        <f>'Data shares'!C39</f>
        <v>BRITANNIA</v>
      </c>
      <c r="B43" s="144">
        <f>VLOOKUP($A43,'Data shares'!$C:$FA,7)</f>
        <v>5783</v>
      </c>
      <c r="C43" s="144">
        <f>VLOOKUP($A43,'Data shares'!$C:$FA,3)</f>
        <v>5795.5</v>
      </c>
      <c r="D43" s="144">
        <f>VLOOKUP($A43,'Data shares'!$C:$FA,23)</f>
        <v>12.5</v>
      </c>
      <c r="E43" s="145">
        <f>VLOOKUP($A43,'Data shares'!$C:$FA,26)*100</f>
        <v>0.22</v>
      </c>
      <c r="F43" s="144">
        <f>VLOOKUP($A43,'Data shares'!$C:$FA,24)</f>
        <v>8.5</v>
      </c>
      <c r="G43" s="144">
        <f>VLOOKUP($A43,'Data shares'!$C:$FA,25)</f>
        <v>4</v>
      </c>
    </row>
    <row r="44" spans="1:7" x14ac:dyDescent="0.25">
      <c r="A44" s="101" t="str">
        <f>'Data shares'!C40</f>
        <v>BSE</v>
      </c>
      <c r="B44" s="144">
        <f>VLOOKUP($A44,'Data shares'!$C:$FA,7)</f>
        <v>3852.1</v>
      </c>
      <c r="C44" s="144">
        <f>VLOOKUP($A44,'Data shares'!$C:$FA,3)</f>
        <v>3860.5</v>
      </c>
      <c r="D44" s="144">
        <f>VLOOKUP($A44,'Data shares'!$C:$FA,23)</f>
        <v>8.4</v>
      </c>
      <c r="E44" s="145">
        <f>VLOOKUP($A44,'Data shares'!$C:$FA,26)*100</f>
        <v>0.22</v>
      </c>
      <c r="F44" s="144">
        <f>VLOOKUP($A44,'Data shares'!$C:$FA,24)</f>
        <v>17.8</v>
      </c>
      <c r="G44" s="144">
        <f>VLOOKUP($A44,'Data shares'!$C:$FA,25)</f>
        <v>-9.4</v>
      </c>
    </row>
    <row r="45" spans="1:7" x14ac:dyDescent="0.25">
      <c r="A45" s="101" t="str">
        <f>'Data shares'!C41</f>
        <v>CAMS</v>
      </c>
      <c r="B45" s="144">
        <f>VLOOKUP($A45,'Data shares'!$C:$FA,7)</f>
        <v>815.85</v>
      </c>
      <c r="C45" s="144">
        <f>VLOOKUP($A45,'Data shares'!$C:$FA,3)</f>
        <v>814.8</v>
      </c>
      <c r="D45" s="144">
        <f>VLOOKUP($A45,'Data shares'!$C:$FA,23)</f>
        <v>-1.05</v>
      </c>
      <c r="E45" s="145">
        <f>VLOOKUP($A45,'Data shares'!$C:$FA,26)*100</f>
        <v>-0.13</v>
      </c>
      <c r="F45" s="144">
        <f>VLOOKUP($A45,'Data shares'!$C:$FA,24)</f>
        <v>3.6</v>
      </c>
      <c r="G45" s="144">
        <f>VLOOKUP($A45,'Data shares'!$C:$FA,25)</f>
        <v>-4.6500000000000004</v>
      </c>
    </row>
    <row r="46" spans="1:7" x14ac:dyDescent="0.25">
      <c r="A46" s="101" t="str">
        <f>'Data shares'!C42</f>
        <v>CANBK</v>
      </c>
      <c r="B46" s="144">
        <f>VLOOKUP($A46,'Data shares'!$C:$FA,7)</f>
        <v>138.04</v>
      </c>
      <c r="C46" s="144">
        <f>VLOOKUP($A46,'Data shares'!$C:$FA,3)</f>
        <v>139</v>
      </c>
      <c r="D46" s="144">
        <f>VLOOKUP($A46,'Data shares'!$C:$FA,23)</f>
        <v>0.96</v>
      </c>
      <c r="E46" s="145">
        <f>VLOOKUP($A46,'Data shares'!$C:$FA,26)*100</f>
        <v>0.70000000000000007</v>
      </c>
      <c r="F46" s="144">
        <f>VLOOKUP($A46,'Data shares'!$C:$FA,24)</f>
        <v>0.4</v>
      </c>
      <c r="G46" s="144">
        <f>VLOOKUP($A46,'Data shares'!$C:$FA,25)</f>
        <v>0.56000000000000005</v>
      </c>
    </row>
    <row r="47" spans="1:7" x14ac:dyDescent="0.25">
      <c r="A47" s="101" t="str">
        <f>'Data shares'!C43</f>
        <v>CDSL</v>
      </c>
      <c r="B47" s="144">
        <f>VLOOKUP($A47,'Data shares'!$C:$FA,7)</f>
        <v>1282.8</v>
      </c>
      <c r="C47" s="144">
        <f>VLOOKUP($A47,'Data shares'!$C:$FA,3)</f>
        <v>1288.5</v>
      </c>
      <c r="D47" s="144">
        <f>VLOOKUP($A47,'Data shares'!$C:$FA,23)</f>
        <v>5.7</v>
      </c>
      <c r="E47" s="145">
        <f>VLOOKUP($A47,'Data shares'!$C:$FA,26)*100</f>
        <v>0.44</v>
      </c>
      <c r="F47" s="144">
        <f>VLOOKUP($A47,'Data shares'!$C:$FA,24)</f>
        <v>1.1000000000000001</v>
      </c>
      <c r="G47" s="144">
        <f>VLOOKUP($A47,'Data shares'!$C:$FA,25)</f>
        <v>4.5999999999999996</v>
      </c>
    </row>
    <row r="48" spans="1:7" x14ac:dyDescent="0.25">
      <c r="A48" s="101" t="str">
        <f>'Data shares'!C44</f>
        <v>CGPOWER</v>
      </c>
      <c r="B48" s="144">
        <f>VLOOKUP($A48,'Data shares'!$C:$FA,7)</f>
        <v>828.9</v>
      </c>
      <c r="C48" s="144">
        <f>VLOOKUP($A48,'Data shares'!$C:$FA,3)</f>
        <v>833.4</v>
      </c>
      <c r="D48" s="144">
        <f>VLOOKUP($A48,'Data shares'!$C:$FA,23)</f>
        <v>4.5</v>
      </c>
      <c r="E48" s="145">
        <f>VLOOKUP($A48,'Data shares'!$C:$FA,26)*100</f>
        <v>0.54</v>
      </c>
      <c r="F48" s="144">
        <f>VLOOKUP($A48,'Data shares'!$C:$FA,24)</f>
        <v>4.9000000000000004</v>
      </c>
      <c r="G48" s="144">
        <f>VLOOKUP($A48,'Data shares'!$C:$FA,25)</f>
        <v>-0.4</v>
      </c>
    </row>
    <row r="49" spans="1:7" x14ac:dyDescent="0.25">
      <c r="A49" s="101" t="str">
        <f>'Data shares'!C45</f>
        <v>CHOLAFIN</v>
      </c>
      <c r="B49" s="144">
        <f>VLOOKUP($A49,'Data shares'!$C:$FA,7)</f>
        <v>1711.9</v>
      </c>
      <c r="C49" s="144">
        <f>VLOOKUP($A49,'Data shares'!$C:$FA,3)</f>
        <v>1722.6</v>
      </c>
      <c r="D49" s="144">
        <f>VLOOKUP($A49,'Data shares'!$C:$FA,23)</f>
        <v>10.7</v>
      </c>
      <c r="E49" s="145">
        <f>VLOOKUP($A49,'Data shares'!$C:$FA,26)*100</f>
        <v>0.63</v>
      </c>
      <c r="F49" s="144">
        <f>VLOOKUP($A49,'Data shares'!$C:$FA,24)</f>
        <v>4.4000000000000004</v>
      </c>
      <c r="G49" s="144">
        <f>VLOOKUP($A49,'Data shares'!$C:$FA,25)</f>
        <v>6.3</v>
      </c>
    </row>
    <row r="50" spans="1:7" x14ac:dyDescent="0.25">
      <c r="A50" s="101" t="str">
        <f>'Data shares'!C46</f>
        <v>CIPLA</v>
      </c>
      <c r="B50" s="144">
        <f>VLOOKUP($A50,'Data shares'!$C:$FA,7)</f>
        <v>1364.4</v>
      </c>
      <c r="C50" s="144">
        <f>VLOOKUP($A50,'Data shares'!$C:$FA,3)</f>
        <v>1370</v>
      </c>
      <c r="D50" s="144">
        <f>VLOOKUP($A50,'Data shares'!$C:$FA,23)</f>
        <v>5.6</v>
      </c>
      <c r="E50" s="145">
        <f>VLOOKUP($A50,'Data shares'!$C:$FA,26)*100</f>
        <v>0.41000000000000003</v>
      </c>
      <c r="F50" s="144">
        <f>VLOOKUP($A50,'Data shares'!$C:$FA,24)</f>
        <v>3</v>
      </c>
      <c r="G50" s="144">
        <f>VLOOKUP($A50,'Data shares'!$C:$FA,25)</f>
        <v>2.6</v>
      </c>
    </row>
    <row r="51" spans="1:7" x14ac:dyDescent="0.25">
      <c r="A51" s="101" t="str">
        <f>'Data shares'!C47</f>
        <v>COALINDIA</v>
      </c>
      <c r="B51" s="144">
        <f>VLOOKUP($A51,'Data shares'!$C:$FA,7)</f>
        <v>470.2</v>
      </c>
      <c r="C51" s="144">
        <f>VLOOKUP($A51,'Data shares'!$C:$FA,3)</f>
        <v>471.25</v>
      </c>
      <c r="D51" s="144">
        <f>VLOOKUP($A51,'Data shares'!$C:$FA,23)</f>
        <v>1.05</v>
      </c>
      <c r="E51" s="145">
        <f>VLOOKUP($A51,'Data shares'!$C:$FA,26)*100</f>
        <v>0.22</v>
      </c>
      <c r="F51" s="144">
        <f>VLOOKUP($A51,'Data shares'!$C:$FA,24)</f>
        <v>2.5</v>
      </c>
      <c r="G51" s="144">
        <f>VLOOKUP($A51,'Data shares'!$C:$FA,25)</f>
        <v>-1.45</v>
      </c>
    </row>
    <row r="52" spans="1:7" x14ac:dyDescent="0.25">
      <c r="A52" s="101" t="str">
        <f>'Data shares'!C48</f>
        <v>COCHINSHIP</v>
      </c>
      <c r="B52" s="144">
        <f>VLOOKUP($A52,'Data shares'!$C:$FA,7)</f>
        <v>1753.1</v>
      </c>
      <c r="C52" s="144">
        <f>VLOOKUP($A52,'Data shares'!$C:$FA,3)</f>
        <v>1759.4</v>
      </c>
      <c r="D52" s="144">
        <f>VLOOKUP($A52,'Data shares'!$C:$FA,23)</f>
        <v>6.3</v>
      </c>
      <c r="E52" s="145">
        <f>VLOOKUP($A52,'Data shares'!$C:$FA,26)*100</f>
        <v>0.36</v>
      </c>
      <c r="F52" s="144">
        <f>VLOOKUP($A52,'Data shares'!$C:$FA,24)</f>
        <v>9.6</v>
      </c>
      <c r="G52" s="144">
        <f>VLOOKUP($A52,'Data shares'!$C:$FA,25)</f>
        <v>-3.3</v>
      </c>
    </row>
    <row r="53" spans="1:7" x14ac:dyDescent="0.25">
      <c r="A53" s="101" t="str">
        <f>'Data shares'!C49</f>
        <v>COFORGE</v>
      </c>
      <c r="B53" s="144">
        <f>VLOOKUP($A53,'Data shares'!$C:$FA,7)</f>
        <v>1280.4000000000001</v>
      </c>
      <c r="C53" s="144">
        <f>VLOOKUP($A53,'Data shares'!$C:$FA,3)</f>
        <v>1289.3</v>
      </c>
      <c r="D53" s="144">
        <f>VLOOKUP($A53,'Data shares'!$C:$FA,23)</f>
        <v>8.9</v>
      </c>
      <c r="E53" s="145">
        <f>VLOOKUP($A53,'Data shares'!$C:$FA,26)*100</f>
        <v>0.70000000000000007</v>
      </c>
      <c r="F53" s="144">
        <f>VLOOKUP($A53,'Data shares'!$C:$FA,24)</f>
        <v>-0.2</v>
      </c>
      <c r="G53" s="144">
        <f>VLOOKUP($A53,'Data shares'!$C:$FA,25)</f>
        <v>9.1</v>
      </c>
    </row>
    <row r="54" spans="1:7" x14ac:dyDescent="0.25">
      <c r="A54" s="101" t="str">
        <f>'Data shares'!C50</f>
        <v>COLPAL</v>
      </c>
      <c r="B54" s="144">
        <f>VLOOKUP($A54,'Data shares'!$C:$FA,7)</f>
        <v>2157.1</v>
      </c>
      <c r="C54" s="144">
        <f>VLOOKUP($A54,'Data shares'!$C:$FA,3)</f>
        <v>2164.6</v>
      </c>
      <c r="D54" s="144">
        <f>VLOOKUP($A54,'Data shares'!$C:$FA,23)</f>
        <v>7.5</v>
      </c>
      <c r="E54" s="145">
        <f>VLOOKUP($A54,'Data shares'!$C:$FA,26)*100</f>
        <v>0.35000000000000003</v>
      </c>
      <c r="F54" s="144">
        <f>VLOOKUP($A54,'Data shares'!$C:$FA,24)</f>
        <v>-4.4000000000000004</v>
      </c>
      <c r="G54" s="144">
        <f>VLOOKUP($A54,'Data shares'!$C:$FA,25)</f>
        <v>11.9</v>
      </c>
    </row>
    <row r="55" spans="1:7" x14ac:dyDescent="0.25">
      <c r="A55" s="101" t="str">
        <f>'Data shares'!C51</f>
        <v>CONCOR</v>
      </c>
      <c r="B55" s="144">
        <f>VLOOKUP($A55,'Data shares'!$C:$FA,7)</f>
        <v>524.20000000000005</v>
      </c>
      <c r="C55" s="144">
        <f>VLOOKUP($A55,'Data shares'!$C:$FA,3)</f>
        <v>527.6</v>
      </c>
      <c r="D55" s="144">
        <f>VLOOKUP($A55,'Data shares'!$C:$FA,23)</f>
        <v>3.4</v>
      </c>
      <c r="E55" s="145">
        <f>VLOOKUP($A55,'Data shares'!$C:$FA,26)*100</f>
        <v>0.65</v>
      </c>
      <c r="F55" s="144">
        <f>VLOOKUP($A55,'Data shares'!$C:$FA,24)</f>
        <v>2.1</v>
      </c>
      <c r="G55" s="144">
        <f>VLOOKUP($A55,'Data shares'!$C:$FA,25)</f>
        <v>1.3</v>
      </c>
    </row>
    <row r="56" spans="1:7" x14ac:dyDescent="0.25">
      <c r="A56" s="101" t="str">
        <f>'Data shares'!C52</f>
        <v>CROMPTON</v>
      </c>
      <c r="B56" s="144">
        <f>VLOOKUP($A56,'Data shares'!$C:$FA,7)</f>
        <v>284.05</v>
      </c>
      <c r="C56" s="144">
        <f>VLOOKUP($A56,'Data shares'!$C:$FA,3)</f>
        <v>285.05</v>
      </c>
      <c r="D56" s="144">
        <f>VLOOKUP($A56,'Data shares'!$C:$FA,23)</f>
        <v>1</v>
      </c>
      <c r="E56" s="145">
        <f>VLOOKUP($A56,'Data shares'!$C:$FA,26)*100</f>
        <v>0.35000000000000003</v>
      </c>
      <c r="F56" s="144">
        <f>VLOOKUP($A56,'Data shares'!$C:$FA,24)</f>
        <v>1.1499999999999999</v>
      </c>
      <c r="G56" s="144">
        <f>VLOOKUP($A56,'Data shares'!$C:$FA,25)</f>
        <v>-0.15</v>
      </c>
    </row>
    <row r="57" spans="1:7" x14ac:dyDescent="0.25">
      <c r="A57" s="101" t="str">
        <f>'Data shares'!C53</f>
        <v>CUMMINSIND</v>
      </c>
      <c r="B57" s="144">
        <f>VLOOKUP($A57,'Data shares'!$C:$FA,7)</f>
        <v>5324.5</v>
      </c>
      <c r="C57" s="144">
        <f>VLOOKUP($A57,'Data shares'!$C:$FA,3)</f>
        <v>5348.5</v>
      </c>
      <c r="D57" s="144">
        <f>VLOOKUP($A57,'Data shares'!$C:$FA,23)</f>
        <v>24</v>
      </c>
      <c r="E57" s="145">
        <f>VLOOKUP($A57,'Data shares'!$C:$FA,26)*100</f>
        <v>0.44999999999999996</v>
      </c>
      <c r="F57" s="144">
        <f>VLOOKUP($A57,'Data shares'!$C:$FA,24)</f>
        <v>30.5</v>
      </c>
      <c r="G57" s="144">
        <f>VLOOKUP($A57,'Data shares'!$C:$FA,25)</f>
        <v>-6.5</v>
      </c>
    </row>
    <row r="58" spans="1:7" x14ac:dyDescent="0.25">
      <c r="A58" s="101" t="str">
        <f>'Data shares'!C54</f>
        <v>DABUR</v>
      </c>
      <c r="B58" s="144">
        <f>VLOOKUP($A58,'Data shares'!$C:$FA,7)</f>
        <v>466.25</v>
      </c>
      <c r="C58" s="144">
        <f>VLOOKUP($A58,'Data shares'!$C:$FA,3)</f>
        <v>468.35</v>
      </c>
      <c r="D58" s="144">
        <f>VLOOKUP($A58,'Data shares'!$C:$FA,23)</f>
        <v>2.1</v>
      </c>
      <c r="E58" s="145">
        <f>VLOOKUP($A58,'Data shares'!$C:$FA,26)*100</f>
        <v>0.44999999999999996</v>
      </c>
      <c r="F58" s="144">
        <f>VLOOKUP($A58,'Data shares'!$C:$FA,24)</f>
        <v>1.45</v>
      </c>
      <c r="G58" s="144">
        <f>VLOOKUP($A58,'Data shares'!$C:$FA,25)</f>
        <v>0.65</v>
      </c>
    </row>
    <row r="59" spans="1:7" x14ac:dyDescent="0.25">
      <c r="A59" s="101" t="str">
        <f>'Data shares'!C55</f>
        <v>DALBHARAT</v>
      </c>
      <c r="B59" s="144">
        <f>VLOOKUP($A59,'Data shares'!$C:$FA,7)</f>
        <v>1974.6</v>
      </c>
      <c r="C59" s="144">
        <f>VLOOKUP($A59,'Data shares'!$C:$FA,3)</f>
        <v>1986.8</v>
      </c>
      <c r="D59" s="144">
        <f>VLOOKUP($A59,'Data shares'!$C:$FA,23)</f>
        <v>12.2</v>
      </c>
      <c r="E59" s="145">
        <f>VLOOKUP($A59,'Data shares'!$C:$FA,26)*100</f>
        <v>0.62</v>
      </c>
      <c r="F59" s="144">
        <f>VLOOKUP($A59,'Data shares'!$C:$FA,24)</f>
        <v>-0.2</v>
      </c>
      <c r="G59" s="144">
        <f>VLOOKUP($A59,'Data shares'!$C:$FA,25)</f>
        <v>12.4</v>
      </c>
    </row>
    <row r="60" spans="1:7" x14ac:dyDescent="0.25">
      <c r="A60" s="101" t="str">
        <f>'Data shares'!C56</f>
        <v>DELHIVERY</v>
      </c>
      <c r="B60" s="144">
        <f>VLOOKUP($A60,'Data shares'!$C:$FA,7)</f>
        <v>471</v>
      </c>
      <c r="C60" s="144">
        <f>VLOOKUP($A60,'Data shares'!$C:$FA,3)</f>
        <v>473.7</v>
      </c>
      <c r="D60" s="144">
        <f>VLOOKUP($A60,'Data shares'!$C:$FA,23)</f>
        <v>2.7</v>
      </c>
      <c r="E60" s="145">
        <f>VLOOKUP($A60,'Data shares'!$C:$FA,26)*100</f>
        <v>0.57000000000000006</v>
      </c>
      <c r="F60" s="144">
        <f>VLOOKUP($A60,'Data shares'!$C:$FA,24)</f>
        <v>1.9</v>
      </c>
      <c r="G60" s="144">
        <f>VLOOKUP($A60,'Data shares'!$C:$FA,25)</f>
        <v>0.8</v>
      </c>
    </row>
    <row r="61" spans="1:7" x14ac:dyDescent="0.25">
      <c r="A61" s="101" t="str">
        <f>'Data shares'!C57</f>
        <v>DIVISLAB</v>
      </c>
      <c r="B61" s="144">
        <f>VLOOKUP($A61,'Data shares'!$C:$FA,7)</f>
        <v>6702</v>
      </c>
      <c r="C61" s="144">
        <f>VLOOKUP($A61,'Data shares'!$C:$FA,3)</f>
        <v>6738.5</v>
      </c>
      <c r="D61" s="144">
        <f>VLOOKUP($A61,'Data shares'!$C:$FA,23)</f>
        <v>36.5</v>
      </c>
      <c r="E61" s="145">
        <f>VLOOKUP($A61,'Data shares'!$C:$FA,26)*100</f>
        <v>0.54</v>
      </c>
      <c r="F61" s="144">
        <f>VLOOKUP($A61,'Data shares'!$C:$FA,24)</f>
        <v>16</v>
      </c>
      <c r="G61" s="144">
        <f>VLOOKUP($A61,'Data shares'!$C:$FA,25)</f>
        <v>20.5</v>
      </c>
    </row>
    <row r="62" spans="1:7" x14ac:dyDescent="0.25">
      <c r="A62" s="101" t="str">
        <f>'Data shares'!C58</f>
        <v>DIXON</v>
      </c>
      <c r="B62" s="144">
        <f>VLOOKUP($A62,'Data shares'!$C:$FA,7)</f>
        <v>11299</v>
      </c>
      <c r="C62" s="144">
        <f>VLOOKUP($A62,'Data shares'!$C:$FA,3)</f>
        <v>11360</v>
      </c>
      <c r="D62" s="144">
        <f>VLOOKUP($A62,'Data shares'!$C:$FA,23)</f>
        <v>61</v>
      </c>
      <c r="E62" s="145">
        <f>VLOOKUP($A62,'Data shares'!$C:$FA,26)*100</f>
        <v>0.54</v>
      </c>
      <c r="F62" s="144">
        <f>VLOOKUP($A62,'Data shares'!$C:$FA,24)</f>
        <v>24</v>
      </c>
      <c r="G62" s="144">
        <f>VLOOKUP($A62,'Data shares'!$C:$FA,25)</f>
        <v>37</v>
      </c>
    </row>
    <row r="63" spans="1:7" x14ac:dyDescent="0.25">
      <c r="A63" s="101" t="str">
        <f>'Data shares'!C59</f>
        <v>DLF</v>
      </c>
      <c r="B63" s="144">
        <f>VLOOKUP($A63,'Data shares'!$C:$FA,7)</f>
        <v>609.6</v>
      </c>
      <c r="C63" s="144">
        <f>VLOOKUP($A63,'Data shares'!$C:$FA,3)</f>
        <v>614</v>
      </c>
      <c r="D63" s="144">
        <f>VLOOKUP($A63,'Data shares'!$C:$FA,23)</f>
        <v>4.4000000000000004</v>
      </c>
      <c r="E63" s="145">
        <f>VLOOKUP($A63,'Data shares'!$C:$FA,26)*100</f>
        <v>0.72</v>
      </c>
      <c r="F63" s="144">
        <f>VLOOKUP($A63,'Data shares'!$C:$FA,24)</f>
        <v>1.8</v>
      </c>
      <c r="G63" s="144">
        <f>VLOOKUP($A63,'Data shares'!$C:$FA,25)</f>
        <v>2.6</v>
      </c>
    </row>
    <row r="64" spans="1:7" x14ac:dyDescent="0.25">
      <c r="A64" s="101" t="str">
        <f>'Data shares'!C60</f>
        <v>DMART</v>
      </c>
      <c r="B64" s="144">
        <f>VLOOKUP($A64,'Data shares'!$C:$FA,7)</f>
        <v>4432.2</v>
      </c>
      <c r="C64" s="144">
        <f>VLOOKUP($A64,'Data shares'!$C:$FA,3)</f>
        <v>4432.6000000000004</v>
      </c>
      <c r="D64" s="144">
        <f>VLOOKUP($A64,'Data shares'!$C:$FA,23)</f>
        <v>0.4</v>
      </c>
      <c r="E64" s="145">
        <f>VLOOKUP($A64,'Data shares'!$C:$FA,26)*100</f>
        <v>0.01</v>
      </c>
      <c r="F64" s="144">
        <f>VLOOKUP($A64,'Data shares'!$C:$FA,24)</f>
        <v>11.3</v>
      </c>
      <c r="G64" s="144">
        <f>VLOOKUP($A64,'Data shares'!$C:$FA,25)</f>
        <v>-10.9</v>
      </c>
    </row>
    <row r="65" spans="1:7" x14ac:dyDescent="0.25">
      <c r="A65" s="101" t="str">
        <f>'Data shares'!C61</f>
        <v>DRREDDY</v>
      </c>
      <c r="B65" s="144">
        <f>VLOOKUP($A65,'Data shares'!$C:$FA,7)</f>
        <v>1311</v>
      </c>
      <c r="C65" s="144">
        <f>VLOOKUP($A65,'Data shares'!$C:$FA,3)</f>
        <v>1305.5</v>
      </c>
      <c r="D65" s="144">
        <f>VLOOKUP($A65,'Data shares'!$C:$FA,23)</f>
        <v>-5.5</v>
      </c>
      <c r="E65" s="145">
        <f>VLOOKUP($A65,'Data shares'!$C:$FA,26)*100</f>
        <v>-0.42</v>
      </c>
      <c r="F65" s="144">
        <f>VLOOKUP($A65,'Data shares'!$C:$FA,24)</f>
        <v>-2.6</v>
      </c>
      <c r="G65" s="144">
        <f>VLOOKUP($A65,'Data shares'!$C:$FA,25)</f>
        <v>-2.9</v>
      </c>
    </row>
    <row r="66" spans="1:7" x14ac:dyDescent="0.25">
      <c r="A66" s="101" t="str">
        <f>'Data shares'!C62</f>
        <v>EICHERMOT</v>
      </c>
      <c r="B66" s="144">
        <f>VLOOKUP($A66,'Data shares'!$C:$FA,7)</f>
        <v>7310.5</v>
      </c>
      <c r="C66" s="144">
        <f>VLOOKUP($A66,'Data shares'!$C:$FA,3)</f>
        <v>7349.5</v>
      </c>
      <c r="D66" s="144">
        <f>VLOOKUP($A66,'Data shares'!$C:$FA,23)</f>
        <v>39</v>
      </c>
      <c r="E66" s="145">
        <f>VLOOKUP($A66,'Data shares'!$C:$FA,26)*100</f>
        <v>0.53</v>
      </c>
      <c r="F66" s="144">
        <f>VLOOKUP($A66,'Data shares'!$C:$FA,24)</f>
        <v>16</v>
      </c>
      <c r="G66" s="144">
        <f>VLOOKUP($A66,'Data shares'!$C:$FA,25)</f>
        <v>23</v>
      </c>
    </row>
    <row r="67" spans="1:7" x14ac:dyDescent="0.25">
      <c r="A67" s="101" t="str">
        <f>'Data shares'!C63</f>
        <v>ETERNAL</v>
      </c>
      <c r="B67" s="144">
        <f>VLOOKUP($A67,'Data shares'!$C:$FA,7)</f>
        <v>256.05</v>
      </c>
      <c r="C67" s="144">
        <f>VLOOKUP($A67,'Data shares'!$C:$FA,3)</f>
        <v>257.83</v>
      </c>
      <c r="D67" s="144">
        <f>VLOOKUP($A67,'Data shares'!$C:$FA,23)</f>
        <v>1.78</v>
      </c>
      <c r="E67" s="145">
        <f>VLOOKUP($A67,'Data shares'!$C:$FA,26)*100</f>
        <v>0.70000000000000007</v>
      </c>
      <c r="F67" s="144">
        <f>VLOOKUP($A67,'Data shares'!$C:$FA,24)</f>
        <v>1.47</v>
      </c>
      <c r="G67" s="144">
        <f>VLOOKUP($A67,'Data shares'!$C:$FA,25)</f>
        <v>0.31</v>
      </c>
    </row>
    <row r="68" spans="1:7" x14ac:dyDescent="0.25">
      <c r="A68" s="101" t="str">
        <f>'Data shares'!C64</f>
        <v>EXIDEIND</v>
      </c>
      <c r="B68" s="144">
        <f>VLOOKUP($A68,'Data shares'!$C:$FA,7)</f>
        <v>351.7</v>
      </c>
      <c r="C68" s="144">
        <f>VLOOKUP($A68,'Data shares'!$C:$FA,3)</f>
        <v>353.3</v>
      </c>
      <c r="D68" s="144">
        <f>VLOOKUP($A68,'Data shares'!$C:$FA,23)</f>
        <v>1.6</v>
      </c>
      <c r="E68" s="145">
        <f>VLOOKUP($A68,'Data shares'!$C:$FA,26)*100</f>
        <v>0.44999999999999996</v>
      </c>
      <c r="F68" s="144">
        <f>VLOOKUP($A68,'Data shares'!$C:$FA,24)</f>
        <v>1.45</v>
      </c>
      <c r="G68" s="144">
        <f>VLOOKUP($A68,'Data shares'!$C:$FA,25)</f>
        <v>0.15</v>
      </c>
    </row>
    <row r="69" spans="1:7" x14ac:dyDescent="0.25">
      <c r="A69" s="101" t="str">
        <f>'Data shares'!C65</f>
        <v>FEDERALBNK</v>
      </c>
      <c r="B69" s="144">
        <f>VLOOKUP($A69,'Data shares'!$C:$FA,7)</f>
        <v>293</v>
      </c>
      <c r="C69" s="144">
        <f>VLOOKUP($A69,'Data shares'!$C:$FA,3)</f>
        <v>295</v>
      </c>
      <c r="D69" s="144">
        <f>VLOOKUP($A69,'Data shares'!$C:$FA,23)</f>
        <v>2</v>
      </c>
      <c r="E69" s="145">
        <f>VLOOKUP($A69,'Data shares'!$C:$FA,26)*100</f>
        <v>0.67999999999999994</v>
      </c>
      <c r="F69" s="144">
        <f>VLOOKUP($A69,'Data shares'!$C:$FA,24)</f>
        <v>1.1000000000000001</v>
      </c>
      <c r="G69" s="144">
        <f>VLOOKUP($A69,'Data shares'!$C:$FA,25)</f>
        <v>0.9</v>
      </c>
    </row>
    <row r="70" spans="1:7" x14ac:dyDescent="0.25">
      <c r="A70" s="101" t="str">
        <f>'Data shares'!C66</f>
        <v>FINNIFTY</v>
      </c>
      <c r="B70" s="144">
        <f>VLOOKUP($A70,'Data shares'!$C:$FA,7)</f>
        <v>26392.75</v>
      </c>
      <c r="C70" s="144">
        <f>VLOOKUP($A70,'Data shares'!$C:$FA,3)</f>
        <v>26552.7</v>
      </c>
      <c r="D70" s="144">
        <f>VLOOKUP($A70,'Data shares'!$C:$FA,23)</f>
        <v>159.94999999999999</v>
      </c>
      <c r="E70" s="145">
        <f>VLOOKUP($A70,'Data shares'!$C:$FA,26)*100</f>
        <v>0.61</v>
      </c>
      <c r="F70" s="144">
        <f>VLOOKUP($A70,'Data shares'!$C:$FA,24)</f>
        <v>107.4</v>
      </c>
      <c r="G70" s="144">
        <f>VLOOKUP($A70,'Data shares'!$C:$FA,25)</f>
        <v>52.55</v>
      </c>
    </row>
    <row r="71" spans="1:7" x14ac:dyDescent="0.25">
      <c r="A71" s="101" t="str">
        <f>'Data shares'!C67</f>
        <v>FORCEMOT</v>
      </c>
      <c r="B71" s="144">
        <f>VLOOKUP($A71,'Data shares'!$C:$FA,7)</f>
        <v>20173</v>
      </c>
      <c r="C71" s="144">
        <f>VLOOKUP($A71,'Data shares'!$C:$FA,3)</f>
        <v>20183</v>
      </c>
      <c r="D71" s="144">
        <f>VLOOKUP($A71,'Data shares'!$C:$FA,23)</f>
        <v>10</v>
      </c>
      <c r="E71" s="145">
        <f>VLOOKUP($A71,'Data shares'!$C:$FA,26)*100</f>
        <v>0.05</v>
      </c>
      <c r="F71" s="144">
        <f>VLOOKUP($A71,'Data shares'!$C:$FA,24)</f>
        <v>3</v>
      </c>
      <c r="G71" s="144">
        <f>VLOOKUP($A71,'Data shares'!$C:$FA,25)</f>
        <v>7</v>
      </c>
    </row>
    <row r="72" spans="1:7" x14ac:dyDescent="0.25">
      <c r="A72" s="101" t="str">
        <f>'Data shares'!C68</f>
        <v>FORTIS</v>
      </c>
      <c r="B72" s="144">
        <f>VLOOKUP($A72,'Data shares'!$C:$FA,7)</f>
        <v>956.9</v>
      </c>
      <c r="C72" s="144">
        <f>VLOOKUP($A72,'Data shares'!$C:$FA,3)</f>
        <v>964.25</v>
      </c>
      <c r="D72" s="144">
        <f>VLOOKUP($A72,'Data shares'!$C:$FA,23)</f>
        <v>7.35</v>
      </c>
      <c r="E72" s="145">
        <f>VLOOKUP($A72,'Data shares'!$C:$FA,26)*100</f>
        <v>0.77</v>
      </c>
      <c r="F72" s="144">
        <f>VLOOKUP($A72,'Data shares'!$C:$FA,24)</f>
        <v>2.5</v>
      </c>
      <c r="G72" s="144">
        <f>VLOOKUP($A72,'Data shares'!$C:$FA,25)</f>
        <v>4.8499999999999996</v>
      </c>
    </row>
    <row r="73" spans="1:7" x14ac:dyDescent="0.25">
      <c r="A73" s="101" t="str">
        <f>'Data shares'!C69</f>
        <v>GAIL</v>
      </c>
      <c r="B73" s="144">
        <f>VLOOKUP($A73,'Data shares'!$C:$FA,7)</f>
        <v>165.68</v>
      </c>
      <c r="C73" s="144">
        <f>VLOOKUP($A73,'Data shares'!$C:$FA,3)</f>
        <v>166.36</v>
      </c>
      <c r="D73" s="144">
        <f>VLOOKUP($A73,'Data shares'!$C:$FA,23)</f>
        <v>0.68</v>
      </c>
      <c r="E73" s="145">
        <f>VLOOKUP($A73,'Data shares'!$C:$FA,26)*100</f>
        <v>0.41000000000000003</v>
      </c>
      <c r="F73" s="144">
        <f>VLOOKUP($A73,'Data shares'!$C:$FA,24)</f>
        <v>0.88</v>
      </c>
      <c r="G73" s="144">
        <f>VLOOKUP($A73,'Data shares'!$C:$FA,25)</f>
        <v>-0.2</v>
      </c>
    </row>
    <row r="74" spans="1:7" x14ac:dyDescent="0.25">
      <c r="A74" s="101" t="str">
        <f>'Data shares'!C70</f>
        <v>GLENMARK</v>
      </c>
      <c r="B74" s="144">
        <f>VLOOKUP($A74,'Data shares'!$C:$FA,7)</f>
        <v>2377.6</v>
      </c>
      <c r="C74" s="144">
        <f>VLOOKUP($A74,'Data shares'!$C:$FA,3)</f>
        <v>2390.6</v>
      </c>
      <c r="D74" s="144">
        <f>VLOOKUP($A74,'Data shares'!$C:$FA,23)</f>
        <v>13</v>
      </c>
      <c r="E74" s="145">
        <f>VLOOKUP($A74,'Data shares'!$C:$FA,26)*100</f>
        <v>0.54999999999999993</v>
      </c>
      <c r="F74" s="144">
        <f>VLOOKUP($A74,'Data shares'!$C:$FA,24)</f>
        <v>15.3</v>
      </c>
      <c r="G74" s="144">
        <f>VLOOKUP($A74,'Data shares'!$C:$FA,25)</f>
        <v>-2.2999999999999998</v>
      </c>
    </row>
    <row r="75" spans="1:7" x14ac:dyDescent="0.25">
      <c r="A75" s="101" t="str">
        <f>'Data shares'!C71</f>
        <v>GMRAIRPORT</v>
      </c>
      <c r="B75" s="144">
        <f>VLOOKUP($A75,'Data shares'!$C:$FA,7)</f>
        <v>99.23</v>
      </c>
      <c r="C75" s="144">
        <f>VLOOKUP($A75,'Data shares'!$C:$FA,3)</f>
        <v>99.97</v>
      </c>
      <c r="D75" s="144">
        <f>VLOOKUP($A75,'Data shares'!$C:$FA,23)</f>
        <v>0.74</v>
      </c>
      <c r="E75" s="145">
        <f>VLOOKUP($A75,'Data shares'!$C:$FA,26)*100</f>
        <v>0.75</v>
      </c>
      <c r="F75" s="144">
        <f>VLOOKUP($A75,'Data shares'!$C:$FA,24)</f>
        <v>0.37</v>
      </c>
      <c r="G75" s="144">
        <f>VLOOKUP($A75,'Data shares'!$C:$FA,25)</f>
        <v>0.37</v>
      </c>
    </row>
    <row r="76" spans="1:7" x14ac:dyDescent="0.25">
      <c r="A76" s="101" t="str">
        <f>'Data shares'!C72</f>
        <v>GODFRYPHLP</v>
      </c>
      <c r="B76" s="144">
        <f>VLOOKUP($A76,'Data shares'!$C:$FA,7)</f>
        <v>2308</v>
      </c>
      <c r="C76" s="144">
        <f>VLOOKUP($A76,'Data shares'!$C:$FA,3)</f>
        <v>2322.6</v>
      </c>
      <c r="D76" s="144">
        <f>VLOOKUP($A76,'Data shares'!$C:$FA,23)</f>
        <v>14.6</v>
      </c>
      <c r="E76" s="145">
        <f>VLOOKUP($A76,'Data shares'!$C:$FA,26)*100</f>
        <v>0.63</v>
      </c>
      <c r="F76" s="144">
        <f>VLOOKUP($A76,'Data shares'!$C:$FA,24)</f>
        <v>7.4</v>
      </c>
      <c r="G76" s="144">
        <f>VLOOKUP($A76,'Data shares'!$C:$FA,25)</f>
        <v>7.2</v>
      </c>
    </row>
    <row r="77" spans="1:7" x14ac:dyDescent="0.25">
      <c r="A77" s="101" t="str">
        <f>'Data shares'!C73</f>
        <v>GODREJCP</v>
      </c>
      <c r="B77" s="144">
        <f>VLOOKUP($A77,'Data shares'!$C:$FA,7)</f>
        <v>1094.0999999999999</v>
      </c>
      <c r="C77" s="144">
        <f>VLOOKUP($A77,'Data shares'!$C:$FA,3)</f>
        <v>1098.2</v>
      </c>
      <c r="D77" s="144">
        <f>VLOOKUP($A77,'Data shares'!$C:$FA,23)</f>
        <v>4.0999999999999996</v>
      </c>
      <c r="E77" s="145">
        <f>VLOOKUP($A77,'Data shares'!$C:$FA,26)*100</f>
        <v>0.37</v>
      </c>
      <c r="F77" s="144">
        <f>VLOOKUP($A77,'Data shares'!$C:$FA,24)</f>
        <v>-2.9</v>
      </c>
      <c r="G77" s="144">
        <f>VLOOKUP($A77,'Data shares'!$C:$FA,25)</f>
        <v>7</v>
      </c>
    </row>
    <row r="78" spans="1:7" x14ac:dyDescent="0.25">
      <c r="A78" s="101" t="str">
        <f>'Data shares'!C74</f>
        <v>GODREJPROP</v>
      </c>
      <c r="B78" s="144">
        <f>VLOOKUP($A78,'Data shares'!$C:$FA,7)</f>
        <v>1867.2</v>
      </c>
      <c r="C78" s="144">
        <f>VLOOKUP($A78,'Data shares'!$C:$FA,3)</f>
        <v>1878.2</v>
      </c>
      <c r="D78" s="144">
        <f>VLOOKUP($A78,'Data shares'!$C:$FA,23)</f>
        <v>11</v>
      </c>
      <c r="E78" s="145">
        <f>VLOOKUP($A78,'Data shares'!$C:$FA,26)*100</f>
        <v>0.59</v>
      </c>
      <c r="F78" s="144">
        <f>VLOOKUP($A78,'Data shares'!$C:$FA,24)</f>
        <v>10.3</v>
      </c>
      <c r="G78" s="144">
        <f>VLOOKUP($A78,'Data shares'!$C:$FA,25)</f>
        <v>0.7</v>
      </c>
    </row>
    <row r="79" spans="1:7" x14ac:dyDescent="0.25">
      <c r="A79" s="101" t="str">
        <f>'Data shares'!C75</f>
        <v>GRASIM</v>
      </c>
      <c r="B79" s="144">
        <f>VLOOKUP($A79,'Data shares'!$C:$FA,7)</f>
        <v>2914.8</v>
      </c>
      <c r="C79" s="144">
        <f>VLOOKUP($A79,'Data shares'!$C:$FA,3)</f>
        <v>2935.4</v>
      </c>
      <c r="D79" s="144">
        <f>VLOOKUP($A79,'Data shares'!$C:$FA,23)</f>
        <v>20.6</v>
      </c>
      <c r="E79" s="145">
        <f>VLOOKUP($A79,'Data shares'!$C:$FA,26)*100</f>
        <v>0.71000000000000008</v>
      </c>
      <c r="F79" s="144">
        <f>VLOOKUP($A79,'Data shares'!$C:$FA,24)</f>
        <v>7.5</v>
      </c>
      <c r="G79" s="144">
        <f>VLOOKUP($A79,'Data shares'!$C:$FA,25)</f>
        <v>13.1</v>
      </c>
    </row>
    <row r="80" spans="1:7" x14ac:dyDescent="0.25">
      <c r="A80" s="101" t="str">
        <f>'Data shares'!C76</f>
        <v>HAL</v>
      </c>
      <c r="B80" s="144">
        <f>VLOOKUP($A80,'Data shares'!$C:$FA,7)</f>
        <v>4626.8999999999996</v>
      </c>
      <c r="C80" s="144">
        <f>VLOOKUP($A80,'Data shares'!$C:$FA,3)</f>
        <v>4646.2</v>
      </c>
      <c r="D80" s="144">
        <f>VLOOKUP($A80,'Data shares'!$C:$FA,23)</f>
        <v>19.3</v>
      </c>
      <c r="E80" s="145">
        <f>VLOOKUP($A80,'Data shares'!$C:$FA,26)*100</f>
        <v>0.42</v>
      </c>
      <c r="F80" s="144">
        <f>VLOOKUP($A80,'Data shares'!$C:$FA,24)</f>
        <v>11.7</v>
      </c>
      <c r="G80" s="144">
        <f>VLOOKUP($A80,'Data shares'!$C:$FA,25)</f>
        <v>7.6</v>
      </c>
    </row>
    <row r="81" spans="1:7" x14ac:dyDescent="0.25">
      <c r="A81" s="101" t="str">
        <f>'Data shares'!C77</f>
        <v>HAVELLS</v>
      </c>
      <c r="B81" s="144">
        <f>VLOOKUP($A81,'Data shares'!$C:$FA,7)</f>
        <v>1257.3</v>
      </c>
      <c r="C81" s="144">
        <f>VLOOKUP($A81,'Data shares'!$C:$FA,3)</f>
        <v>1260.0999999999999</v>
      </c>
      <c r="D81" s="144">
        <f>VLOOKUP($A81,'Data shares'!$C:$FA,23)</f>
        <v>2.8</v>
      </c>
      <c r="E81" s="145">
        <f>VLOOKUP($A81,'Data shares'!$C:$FA,26)*100</f>
        <v>0.22</v>
      </c>
      <c r="F81" s="144">
        <f>VLOOKUP($A81,'Data shares'!$C:$FA,24)</f>
        <v>0.6</v>
      </c>
      <c r="G81" s="144">
        <f>VLOOKUP($A81,'Data shares'!$C:$FA,25)</f>
        <v>2.2000000000000002</v>
      </c>
    </row>
    <row r="82" spans="1:7" x14ac:dyDescent="0.25">
      <c r="A82" s="101" t="str">
        <f>'Data shares'!C78</f>
        <v>HCLTECH</v>
      </c>
      <c r="B82" s="144">
        <f>VLOOKUP($A82,'Data shares'!$C:$FA,7)</f>
        <v>1189.0999999999999</v>
      </c>
      <c r="C82" s="144">
        <f>VLOOKUP($A82,'Data shares'!$C:$FA,3)</f>
        <v>1191.9000000000001</v>
      </c>
      <c r="D82" s="144">
        <f>VLOOKUP($A82,'Data shares'!$C:$FA,23)</f>
        <v>2.8</v>
      </c>
      <c r="E82" s="145">
        <f>VLOOKUP($A82,'Data shares'!$C:$FA,26)*100</f>
        <v>0.24</v>
      </c>
      <c r="F82" s="144">
        <f>VLOOKUP($A82,'Data shares'!$C:$FA,24)</f>
        <v>1.2</v>
      </c>
      <c r="G82" s="144">
        <f>VLOOKUP($A82,'Data shares'!$C:$FA,25)</f>
        <v>1.6</v>
      </c>
    </row>
    <row r="83" spans="1:7" x14ac:dyDescent="0.25">
      <c r="A83" s="101" t="str">
        <f>'Data shares'!C79</f>
        <v>HDFCAMC</v>
      </c>
      <c r="B83" s="144">
        <f>VLOOKUP($A83,'Data shares'!$C:$FA,7)</f>
        <v>2815.9</v>
      </c>
      <c r="C83" s="144">
        <f>VLOOKUP($A83,'Data shares'!$C:$FA,3)</f>
        <v>2836.1</v>
      </c>
      <c r="D83" s="144">
        <f>VLOOKUP($A83,'Data shares'!$C:$FA,23)</f>
        <v>20.2</v>
      </c>
      <c r="E83" s="145">
        <f>VLOOKUP($A83,'Data shares'!$C:$FA,26)*100</f>
        <v>0.72</v>
      </c>
      <c r="F83" s="144">
        <f>VLOOKUP($A83,'Data shares'!$C:$FA,24)</f>
        <v>15.5</v>
      </c>
      <c r="G83" s="144">
        <f>VLOOKUP($A83,'Data shares'!$C:$FA,25)</f>
        <v>4.7</v>
      </c>
    </row>
    <row r="84" spans="1:7" x14ac:dyDescent="0.25">
      <c r="A84" s="101" t="str">
        <f>'Data shares'!C80</f>
        <v>HDFCBANK</v>
      </c>
      <c r="B84" s="144">
        <f>VLOOKUP($A84,'Data shares'!$C:$FA,7)</f>
        <v>796.55</v>
      </c>
      <c r="C84" s="144">
        <f>VLOOKUP($A84,'Data shares'!$C:$FA,3)</f>
        <v>801.85</v>
      </c>
      <c r="D84" s="144">
        <f>VLOOKUP($A84,'Data shares'!$C:$FA,23)</f>
        <v>5.3</v>
      </c>
      <c r="E84" s="145">
        <f>VLOOKUP($A84,'Data shares'!$C:$FA,26)*100</f>
        <v>0.67</v>
      </c>
      <c r="F84" s="144">
        <f>VLOOKUP($A84,'Data shares'!$C:$FA,24)</f>
        <v>3.15</v>
      </c>
      <c r="G84" s="144">
        <f>VLOOKUP($A84,'Data shares'!$C:$FA,25)</f>
        <v>2.15</v>
      </c>
    </row>
    <row r="85" spans="1:7" x14ac:dyDescent="0.25">
      <c r="A85" s="101" t="str">
        <f>'Data shares'!C81</f>
        <v>HDFCLIFE</v>
      </c>
      <c r="B85" s="144">
        <f>VLOOKUP($A85,'Data shares'!$C:$FA,7)</f>
        <v>606.35</v>
      </c>
      <c r="C85" s="144">
        <f>VLOOKUP($A85,'Data shares'!$C:$FA,3)</f>
        <v>610.5</v>
      </c>
      <c r="D85" s="144">
        <f>VLOOKUP($A85,'Data shares'!$C:$FA,23)</f>
        <v>4.1500000000000004</v>
      </c>
      <c r="E85" s="145">
        <f>VLOOKUP($A85,'Data shares'!$C:$FA,26)*100</f>
        <v>0.67999999999999994</v>
      </c>
      <c r="F85" s="144">
        <f>VLOOKUP($A85,'Data shares'!$C:$FA,24)</f>
        <v>3.35</v>
      </c>
      <c r="G85" s="144">
        <f>VLOOKUP($A85,'Data shares'!$C:$FA,25)</f>
        <v>0.8</v>
      </c>
    </row>
    <row r="86" spans="1:7" x14ac:dyDescent="0.25">
      <c r="A86" s="101" t="str">
        <f>'Data shares'!C82</f>
        <v>HEROMOTOCO</v>
      </c>
      <c r="B86" s="144">
        <f>VLOOKUP($A86,'Data shares'!$C:$FA,7)</f>
        <v>5170</v>
      </c>
      <c r="C86" s="144">
        <f>VLOOKUP($A86,'Data shares'!$C:$FA,3)</f>
        <v>5198</v>
      </c>
      <c r="D86" s="144">
        <f>VLOOKUP($A86,'Data shares'!$C:$FA,23)</f>
        <v>28</v>
      </c>
      <c r="E86" s="145">
        <f>VLOOKUP($A86,'Data shares'!$C:$FA,26)*100</f>
        <v>0.54</v>
      </c>
      <c r="F86" s="144">
        <f>VLOOKUP($A86,'Data shares'!$C:$FA,24)</f>
        <v>15</v>
      </c>
      <c r="G86" s="144">
        <f>VLOOKUP($A86,'Data shares'!$C:$FA,25)</f>
        <v>13</v>
      </c>
    </row>
    <row r="87" spans="1:7" x14ac:dyDescent="0.25">
      <c r="A87" s="101" t="str">
        <f>'Data shares'!C83</f>
        <v>HINDALCO</v>
      </c>
      <c r="B87" s="144">
        <f>VLOOKUP($A87,'Data shares'!$C:$FA,7)</f>
        <v>1045.8</v>
      </c>
      <c r="C87" s="144">
        <f>VLOOKUP($A87,'Data shares'!$C:$FA,3)</f>
        <v>1052</v>
      </c>
      <c r="D87" s="144">
        <f>VLOOKUP($A87,'Data shares'!$C:$FA,23)</f>
        <v>6.2</v>
      </c>
      <c r="E87" s="145">
        <f>VLOOKUP($A87,'Data shares'!$C:$FA,26)*100</f>
        <v>0.59</v>
      </c>
      <c r="F87" s="144">
        <f>VLOOKUP($A87,'Data shares'!$C:$FA,24)</f>
        <v>2.8</v>
      </c>
      <c r="G87" s="144">
        <f>VLOOKUP($A87,'Data shares'!$C:$FA,25)</f>
        <v>3.4</v>
      </c>
    </row>
    <row r="88" spans="1:7" x14ac:dyDescent="0.25">
      <c r="A88" s="101" t="str">
        <f>'Data shares'!C84</f>
        <v>HINDPETRO</v>
      </c>
      <c r="B88" s="144">
        <f>VLOOKUP($A88,'Data shares'!$C:$FA,7)</f>
        <v>399.2</v>
      </c>
      <c r="C88" s="144">
        <f>VLOOKUP($A88,'Data shares'!$C:$FA,3)</f>
        <v>401.7</v>
      </c>
      <c r="D88" s="144">
        <f>VLOOKUP($A88,'Data shares'!$C:$FA,23)</f>
        <v>2.5</v>
      </c>
      <c r="E88" s="145">
        <f>VLOOKUP($A88,'Data shares'!$C:$FA,26)*100</f>
        <v>0.63</v>
      </c>
      <c r="F88" s="144">
        <f>VLOOKUP($A88,'Data shares'!$C:$FA,24)</f>
        <v>2.35</v>
      </c>
      <c r="G88" s="144">
        <f>VLOOKUP($A88,'Data shares'!$C:$FA,25)</f>
        <v>0.15</v>
      </c>
    </row>
    <row r="89" spans="1:7" x14ac:dyDescent="0.25">
      <c r="A89" s="101" t="str">
        <f>'Data shares'!C85</f>
        <v>HINDUNILVR</v>
      </c>
      <c r="B89" s="144">
        <f>VLOOKUP($A89,'Data shares'!$C:$FA,7)</f>
        <v>2317.1</v>
      </c>
      <c r="C89" s="144">
        <f>VLOOKUP($A89,'Data shares'!$C:$FA,3)</f>
        <v>2326.8000000000002</v>
      </c>
      <c r="D89" s="144">
        <f>VLOOKUP($A89,'Data shares'!$C:$FA,23)</f>
        <v>9.6999999999999993</v>
      </c>
      <c r="E89" s="145">
        <f>VLOOKUP($A89,'Data shares'!$C:$FA,26)*100</f>
        <v>0.42</v>
      </c>
      <c r="F89" s="144">
        <f>VLOOKUP($A89,'Data shares'!$C:$FA,24)</f>
        <v>4.7</v>
      </c>
      <c r="G89" s="144">
        <f>VLOOKUP($A89,'Data shares'!$C:$FA,25)</f>
        <v>5</v>
      </c>
    </row>
    <row r="90" spans="1:7" x14ac:dyDescent="0.25">
      <c r="A90" s="101" t="str">
        <f>'Data shares'!C86</f>
        <v>HINDZINC</v>
      </c>
      <c r="B90" s="144">
        <f>VLOOKUP($A90,'Data shares'!$C:$FA,7)</f>
        <v>634.6</v>
      </c>
      <c r="C90" s="144">
        <f>VLOOKUP($A90,'Data shares'!$C:$FA,3)</f>
        <v>638.95000000000005</v>
      </c>
      <c r="D90" s="144">
        <f>VLOOKUP($A90,'Data shares'!$C:$FA,23)</f>
        <v>4.3499999999999996</v>
      </c>
      <c r="E90" s="145">
        <f>VLOOKUP($A90,'Data shares'!$C:$FA,26)*100</f>
        <v>0.69</v>
      </c>
      <c r="F90" s="144">
        <f>VLOOKUP($A90,'Data shares'!$C:$FA,24)</f>
        <v>3.15</v>
      </c>
      <c r="G90" s="144">
        <f>VLOOKUP($A90,'Data shares'!$C:$FA,25)</f>
        <v>1.2</v>
      </c>
    </row>
    <row r="91" spans="1:7" x14ac:dyDescent="0.25">
      <c r="A91" s="101" t="str">
        <f>'Data shares'!C87</f>
        <v>HYUNDAI</v>
      </c>
      <c r="B91" s="144">
        <f>VLOOKUP($A91,'Data shares'!$C:$FA,7)</f>
        <v>1839.9</v>
      </c>
      <c r="C91" s="144">
        <f>VLOOKUP($A91,'Data shares'!$C:$FA,3)</f>
        <v>1840.8</v>
      </c>
      <c r="D91" s="144">
        <f>VLOOKUP($A91,'Data shares'!$C:$FA,23)</f>
        <v>0.9</v>
      </c>
      <c r="E91" s="145">
        <f>VLOOKUP($A91,'Data shares'!$C:$FA,26)*100</f>
        <v>0.05</v>
      </c>
      <c r="F91" s="144">
        <f>VLOOKUP($A91,'Data shares'!$C:$FA,24)</f>
        <v>-25.8</v>
      </c>
      <c r="G91" s="144">
        <f>VLOOKUP($A91,'Data shares'!$C:$FA,25)</f>
        <v>26.7</v>
      </c>
    </row>
    <row r="92" spans="1:7" x14ac:dyDescent="0.25">
      <c r="A92" s="101" t="str">
        <f>'Data shares'!C88</f>
        <v>ICICIBANK</v>
      </c>
      <c r="B92" s="144">
        <f>VLOOKUP($A92,'Data shares'!$C:$FA,7)</f>
        <v>1279.5</v>
      </c>
      <c r="C92" s="144">
        <f>VLOOKUP($A92,'Data shares'!$C:$FA,3)</f>
        <v>1287.5999999999999</v>
      </c>
      <c r="D92" s="144">
        <f>VLOOKUP($A92,'Data shares'!$C:$FA,23)</f>
        <v>8.1</v>
      </c>
      <c r="E92" s="145">
        <f>VLOOKUP($A92,'Data shares'!$C:$FA,26)*100</f>
        <v>0.63</v>
      </c>
      <c r="F92" s="144">
        <f>VLOOKUP($A92,'Data shares'!$C:$FA,24)</f>
        <v>7.2</v>
      </c>
      <c r="G92" s="144">
        <f>VLOOKUP($A92,'Data shares'!$C:$FA,25)</f>
        <v>0.9</v>
      </c>
    </row>
    <row r="93" spans="1:7" x14ac:dyDescent="0.25">
      <c r="A93" s="101" t="str">
        <f>'Data shares'!C89</f>
        <v>ICICIGI</v>
      </c>
      <c r="B93" s="144">
        <f>VLOOKUP($A93,'Data shares'!$C:$FA,7)</f>
        <v>1809.9</v>
      </c>
      <c r="C93" s="144">
        <f>VLOOKUP($A93,'Data shares'!$C:$FA,3)</f>
        <v>1816.5</v>
      </c>
      <c r="D93" s="144">
        <f>VLOOKUP($A93,'Data shares'!$C:$FA,23)</f>
        <v>6.6</v>
      </c>
      <c r="E93" s="145">
        <f>VLOOKUP($A93,'Data shares'!$C:$FA,26)*100</f>
        <v>0.36</v>
      </c>
      <c r="F93" s="144">
        <f>VLOOKUP($A93,'Data shares'!$C:$FA,24)</f>
        <v>3.2</v>
      </c>
      <c r="G93" s="144">
        <f>VLOOKUP($A93,'Data shares'!$C:$FA,25)</f>
        <v>3.4</v>
      </c>
    </row>
    <row r="94" spans="1:7" x14ac:dyDescent="0.25">
      <c r="A94" s="101" t="str">
        <f>'Data shares'!C90</f>
        <v>ICICIPRULI</v>
      </c>
      <c r="B94" s="144">
        <f>VLOOKUP($A94,'Data shares'!$C:$FA,7)</f>
        <v>550.1</v>
      </c>
      <c r="C94" s="144">
        <f>VLOOKUP($A94,'Data shares'!$C:$FA,3)</f>
        <v>552.65</v>
      </c>
      <c r="D94" s="144">
        <f>VLOOKUP($A94,'Data shares'!$C:$FA,23)</f>
        <v>2.5499999999999998</v>
      </c>
      <c r="E94" s="145">
        <f>VLOOKUP($A94,'Data shares'!$C:$FA,26)*100</f>
        <v>0.45999999999999996</v>
      </c>
      <c r="F94" s="144">
        <f>VLOOKUP($A94,'Data shares'!$C:$FA,24)</f>
        <v>1.5</v>
      </c>
      <c r="G94" s="144">
        <f>VLOOKUP($A94,'Data shares'!$C:$FA,25)</f>
        <v>1.05</v>
      </c>
    </row>
    <row r="95" spans="1:7" x14ac:dyDescent="0.25">
      <c r="A95" s="101" t="str">
        <f>'Data shares'!C91</f>
        <v>IDEA</v>
      </c>
      <c r="B95" s="144">
        <f>VLOOKUP($A95,'Data shares'!$C:$FA,7)</f>
        <v>11.3</v>
      </c>
      <c r="C95" s="144">
        <f>VLOOKUP($A95,'Data shares'!$C:$FA,3)</f>
        <v>11.37</v>
      </c>
      <c r="D95" s="144">
        <f>VLOOKUP($A95,'Data shares'!$C:$FA,23)</f>
        <v>7.0000000000000007E-2</v>
      </c>
      <c r="E95" s="145">
        <f>VLOOKUP($A95,'Data shares'!$C:$FA,26)*100</f>
        <v>0.62</v>
      </c>
      <c r="F95" s="144">
        <f>VLOOKUP($A95,'Data shares'!$C:$FA,24)</f>
        <v>0.04</v>
      </c>
      <c r="G95" s="144">
        <f>VLOOKUP($A95,'Data shares'!$C:$FA,25)</f>
        <v>0.03</v>
      </c>
    </row>
    <row r="96" spans="1:7" x14ac:dyDescent="0.25">
      <c r="A96" s="101" t="str">
        <f>'Data shares'!C92</f>
        <v>IDFCFIRSTB</v>
      </c>
      <c r="B96" s="144">
        <f>VLOOKUP($A96,'Data shares'!$C:$FA,7)</f>
        <v>69.59</v>
      </c>
      <c r="C96" s="144">
        <f>VLOOKUP($A96,'Data shares'!$C:$FA,3)</f>
        <v>70.08</v>
      </c>
      <c r="D96" s="144">
        <f>VLOOKUP($A96,'Data shares'!$C:$FA,23)</f>
        <v>0.49</v>
      </c>
      <c r="E96" s="145">
        <f>VLOOKUP($A96,'Data shares'!$C:$FA,26)*100</f>
        <v>0.70000000000000007</v>
      </c>
      <c r="F96" s="144">
        <f>VLOOKUP($A96,'Data shares'!$C:$FA,24)</f>
        <v>0.38</v>
      </c>
      <c r="G96" s="144">
        <f>VLOOKUP($A96,'Data shares'!$C:$FA,25)</f>
        <v>0.11</v>
      </c>
    </row>
    <row r="97" spans="1:7" x14ac:dyDescent="0.25">
      <c r="A97" s="101" t="str">
        <f>'Data shares'!C93</f>
        <v>IEX</v>
      </c>
      <c r="B97" s="144">
        <f>VLOOKUP($A97,'Data shares'!$C:$FA,7)</f>
        <v>129.80000000000001</v>
      </c>
      <c r="C97" s="144">
        <f>VLOOKUP($A97,'Data shares'!$C:$FA,3)</f>
        <v>128.72</v>
      </c>
      <c r="D97" s="144">
        <f>VLOOKUP($A97,'Data shares'!$C:$FA,23)</f>
        <v>-1.08</v>
      </c>
      <c r="E97" s="145">
        <f>VLOOKUP($A97,'Data shares'!$C:$FA,26)*100</f>
        <v>-0.83</v>
      </c>
      <c r="F97" s="144">
        <f>VLOOKUP($A97,'Data shares'!$C:$FA,24)</f>
        <v>-1.27</v>
      </c>
      <c r="G97" s="144">
        <f>VLOOKUP($A97,'Data shares'!$C:$FA,25)</f>
        <v>0.19</v>
      </c>
    </row>
    <row r="98" spans="1:7" x14ac:dyDescent="0.25">
      <c r="A98" s="101" t="str">
        <f>'Data shares'!C94</f>
        <v>INDHOTEL</v>
      </c>
      <c r="B98" s="144">
        <f>VLOOKUP($A98,'Data shares'!$C:$FA,7)</f>
        <v>666.15</v>
      </c>
      <c r="C98" s="144">
        <f>VLOOKUP($A98,'Data shares'!$C:$FA,3)</f>
        <v>669.85</v>
      </c>
      <c r="D98" s="144">
        <f>VLOOKUP($A98,'Data shares'!$C:$FA,23)</f>
        <v>3.7</v>
      </c>
      <c r="E98" s="145">
        <f>VLOOKUP($A98,'Data shares'!$C:$FA,26)*100</f>
        <v>0.55999999999999994</v>
      </c>
      <c r="F98" s="144">
        <f>VLOOKUP($A98,'Data shares'!$C:$FA,24)</f>
        <v>2.5</v>
      </c>
      <c r="G98" s="144">
        <f>VLOOKUP($A98,'Data shares'!$C:$FA,25)</f>
        <v>1.2</v>
      </c>
    </row>
    <row r="99" spans="1:7" x14ac:dyDescent="0.25">
      <c r="A99" s="101" t="str">
        <f>'Data shares'!C95</f>
        <v>INDIANB</v>
      </c>
      <c r="B99" s="144">
        <f>VLOOKUP($A99,'Data shares'!$C:$FA,7)</f>
        <v>866.85</v>
      </c>
      <c r="C99" s="144">
        <f>VLOOKUP($A99,'Data shares'!$C:$FA,3)</f>
        <v>872.95</v>
      </c>
      <c r="D99" s="144">
        <f>VLOOKUP($A99,'Data shares'!$C:$FA,23)</f>
        <v>6.1</v>
      </c>
      <c r="E99" s="145">
        <f>VLOOKUP($A99,'Data shares'!$C:$FA,26)*100</f>
        <v>0.70000000000000007</v>
      </c>
      <c r="F99" s="144">
        <f>VLOOKUP($A99,'Data shares'!$C:$FA,24)</f>
        <v>4.55</v>
      </c>
      <c r="G99" s="144">
        <f>VLOOKUP($A99,'Data shares'!$C:$FA,25)</f>
        <v>1.55</v>
      </c>
    </row>
    <row r="100" spans="1:7" x14ac:dyDescent="0.25">
      <c r="A100" s="101" t="str">
        <f>'Data shares'!C96</f>
        <v>INDIAVIX</v>
      </c>
      <c r="B100" s="144">
        <f>VLOOKUP($A100,'Data shares'!$C:$FA,7)</f>
        <v>16.68</v>
      </c>
      <c r="C100" s="144">
        <f>VLOOKUP($A100,'Data shares'!$C:$FA,3)</f>
        <v>16.68</v>
      </c>
      <c r="D100" s="144">
        <f>VLOOKUP($A100,'Data shares'!$C:$FA,23)</f>
        <v>0</v>
      </c>
      <c r="E100" s="145">
        <f>VLOOKUP($A100,'Data shares'!$C:$FA,26)*100</f>
        <v>0</v>
      </c>
      <c r="F100" s="144">
        <f>VLOOKUP($A100,'Data shares'!$C:$FA,24)</f>
        <v>0</v>
      </c>
      <c r="G100" s="144">
        <f>VLOOKUP($A100,'Data shares'!$C:$FA,25)</f>
        <v>0</v>
      </c>
    </row>
    <row r="101" spans="1:7" x14ac:dyDescent="0.25">
      <c r="A101" s="101" t="str">
        <f>'Data shares'!C97</f>
        <v>INDIGO</v>
      </c>
      <c r="B101" s="144">
        <f>VLOOKUP($A101,'Data shares'!$C:$FA,7)</f>
        <v>4520.2</v>
      </c>
      <c r="C101" s="144">
        <f>VLOOKUP($A101,'Data shares'!$C:$FA,3)</f>
        <v>4541.8999999999996</v>
      </c>
      <c r="D101" s="144">
        <f>VLOOKUP($A101,'Data shares'!$C:$FA,23)</f>
        <v>21.7</v>
      </c>
      <c r="E101" s="145">
        <f>VLOOKUP($A101,'Data shares'!$C:$FA,26)*100</f>
        <v>0.48</v>
      </c>
      <c r="F101" s="144">
        <f>VLOOKUP($A101,'Data shares'!$C:$FA,24)</f>
        <v>24.3</v>
      </c>
      <c r="G101" s="144">
        <f>VLOOKUP($A101,'Data shares'!$C:$FA,25)</f>
        <v>-2.6</v>
      </c>
    </row>
    <row r="102" spans="1:7" x14ac:dyDescent="0.25">
      <c r="A102" s="101" t="str">
        <f>'Data shares'!C98</f>
        <v>INDUSINDBK</v>
      </c>
      <c r="B102" s="144">
        <f>VLOOKUP($A102,'Data shares'!$C:$FA,7)</f>
        <v>946.75</v>
      </c>
      <c r="C102" s="144">
        <f>VLOOKUP($A102,'Data shares'!$C:$FA,3)</f>
        <v>953</v>
      </c>
      <c r="D102" s="144">
        <f>VLOOKUP($A102,'Data shares'!$C:$FA,23)</f>
        <v>6.25</v>
      </c>
      <c r="E102" s="145">
        <f>VLOOKUP($A102,'Data shares'!$C:$FA,26)*100</f>
        <v>0.66</v>
      </c>
      <c r="F102" s="144">
        <f>VLOOKUP($A102,'Data shares'!$C:$FA,24)</f>
        <v>5.15</v>
      </c>
      <c r="G102" s="144">
        <f>VLOOKUP($A102,'Data shares'!$C:$FA,25)</f>
        <v>1.1000000000000001</v>
      </c>
    </row>
    <row r="103" spans="1:7" x14ac:dyDescent="0.25">
      <c r="A103" s="101" t="str">
        <f>'Data shares'!C99</f>
        <v>INDUSTOWER</v>
      </c>
      <c r="B103" s="144">
        <f>VLOOKUP($A103,'Data shares'!$C:$FA,7)</f>
        <v>408.3</v>
      </c>
      <c r="C103" s="144">
        <f>VLOOKUP($A103,'Data shares'!$C:$FA,3)</f>
        <v>410.1</v>
      </c>
      <c r="D103" s="144">
        <f>VLOOKUP($A103,'Data shares'!$C:$FA,23)</f>
        <v>1.8</v>
      </c>
      <c r="E103" s="145">
        <f>VLOOKUP($A103,'Data shares'!$C:$FA,26)*100</f>
        <v>0.44</v>
      </c>
      <c r="F103" s="144">
        <f>VLOOKUP($A103,'Data shares'!$C:$FA,24)</f>
        <v>2.25</v>
      </c>
      <c r="G103" s="144">
        <f>VLOOKUP($A103,'Data shares'!$C:$FA,25)</f>
        <v>-0.45</v>
      </c>
    </row>
    <row r="104" spans="1:7" x14ac:dyDescent="0.25">
      <c r="A104" s="101" t="str">
        <f>'Data shares'!C100</f>
        <v>INFY</v>
      </c>
      <c r="B104" s="144">
        <f>VLOOKUP($A104,'Data shares'!$C:$FA,7)</f>
        <v>1167.2</v>
      </c>
      <c r="C104" s="144">
        <f>VLOOKUP($A104,'Data shares'!$C:$FA,3)</f>
        <v>1171</v>
      </c>
      <c r="D104" s="144">
        <f>VLOOKUP($A104,'Data shares'!$C:$FA,23)</f>
        <v>3.8</v>
      </c>
      <c r="E104" s="145">
        <f>VLOOKUP($A104,'Data shares'!$C:$FA,26)*100</f>
        <v>0.33</v>
      </c>
      <c r="F104" s="144">
        <f>VLOOKUP($A104,'Data shares'!$C:$FA,24)</f>
        <v>0.2</v>
      </c>
      <c r="G104" s="144">
        <f>VLOOKUP($A104,'Data shares'!$C:$FA,25)</f>
        <v>3.6</v>
      </c>
    </row>
    <row r="105" spans="1:7" x14ac:dyDescent="0.25">
      <c r="A105" s="101" t="str">
        <f>'Data shares'!C101</f>
        <v>INOXWIND</v>
      </c>
      <c r="B105" s="144">
        <f>VLOOKUP($A105,'Data shares'!$C:$FA,7)</f>
        <v>107.11</v>
      </c>
      <c r="C105" s="144">
        <f>VLOOKUP($A105,'Data shares'!$C:$FA,3)</f>
        <v>107.53</v>
      </c>
      <c r="D105" s="144">
        <f>VLOOKUP($A105,'Data shares'!$C:$FA,23)</f>
        <v>0.42</v>
      </c>
      <c r="E105" s="145">
        <f>VLOOKUP($A105,'Data shares'!$C:$FA,26)*100</f>
        <v>0.38999999999999996</v>
      </c>
      <c r="F105" s="144">
        <f>VLOOKUP($A105,'Data shares'!$C:$FA,24)</f>
        <v>0.26</v>
      </c>
      <c r="G105" s="144">
        <f>VLOOKUP($A105,'Data shares'!$C:$FA,25)</f>
        <v>0.16</v>
      </c>
    </row>
    <row r="106" spans="1:7" x14ac:dyDescent="0.25">
      <c r="A106" s="101" t="str">
        <f>'Data shares'!C102</f>
        <v>IOC</v>
      </c>
      <c r="B106" s="144">
        <f>VLOOKUP($A106,'Data shares'!$C:$FA,7)</f>
        <v>148.21</v>
      </c>
      <c r="C106" s="144">
        <f>VLOOKUP($A106,'Data shares'!$C:$FA,3)</f>
        <v>149.18</v>
      </c>
      <c r="D106" s="144">
        <f>VLOOKUP($A106,'Data shares'!$C:$FA,23)</f>
        <v>0.97</v>
      </c>
      <c r="E106" s="145">
        <f>VLOOKUP($A106,'Data shares'!$C:$FA,26)*100</f>
        <v>0.65</v>
      </c>
      <c r="F106" s="144">
        <f>VLOOKUP($A106,'Data shares'!$C:$FA,24)</f>
        <v>0.85</v>
      </c>
      <c r="G106" s="144">
        <f>VLOOKUP($A106,'Data shares'!$C:$FA,25)</f>
        <v>0.12</v>
      </c>
    </row>
    <row r="107" spans="1:7" x14ac:dyDescent="0.25">
      <c r="A107" s="101" t="str">
        <f>'Data shares'!C103</f>
        <v>IREDA</v>
      </c>
      <c r="B107" s="144">
        <f>VLOOKUP($A107,'Data shares'!$C:$FA,7)</f>
        <v>136.41</v>
      </c>
      <c r="C107" s="144">
        <f>VLOOKUP($A107,'Data shares'!$C:$FA,3)</f>
        <v>136.97999999999999</v>
      </c>
      <c r="D107" s="144">
        <f>VLOOKUP($A107,'Data shares'!$C:$FA,23)</f>
        <v>0.56999999999999995</v>
      </c>
      <c r="E107" s="145">
        <f>VLOOKUP($A107,'Data shares'!$C:$FA,26)*100</f>
        <v>0.42</v>
      </c>
      <c r="F107" s="144">
        <f>VLOOKUP($A107,'Data shares'!$C:$FA,24)</f>
        <v>0.48</v>
      </c>
      <c r="G107" s="144">
        <f>VLOOKUP($A107,'Data shares'!$C:$FA,25)</f>
        <v>0.09</v>
      </c>
    </row>
    <row r="108" spans="1:7" x14ac:dyDescent="0.25">
      <c r="A108" s="101" t="str">
        <f>'Data shares'!C104</f>
        <v>IRFC</v>
      </c>
      <c r="B108" s="144">
        <f>VLOOKUP($A108,'Data shares'!$C:$FA,7)</f>
        <v>106.74</v>
      </c>
      <c r="C108" s="144">
        <f>VLOOKUP($A108,'Data shares'!$C:$FA,3)</f>
        <v>107.42</v>
      </c>
      <c r="D108" s="144">
        <f>VLOOKUP($A108,'Data shares'!$C:$FA,23)</f>
        <v>0.68</v>
      </c>
      <c r="E108" s="145">
        <f>VLOOKUP($A108,'Data shares'!$C:$FA,26)*100</f>
        <v>0.64</v>
      </c>
      <c r="F108" s="144">
        <f>VLOOKUP($A108,'Data shares'!$C:$FA,24)</f>
        <v>0.53</v>
      </c>
      <c r="G108" s="144">
        <f>VLOOKUP($A108,'Data shares'!$C:$FA,25)</f>
        <v>0.15</v>
      </c>
    </row>
    <row r="109" spans="1:7" x14ac:dyDescent="0.25">
      <c r="A109" s="101" t="str">
        <f>'Data shares'!C105</f>
        <v>ITC</v>
      </c>
      <c r="B109" s="144">
        <f>VLOOKUP($A109,'Data shares'!$C:$FA,7)</f>
        <v>310.7</v>
      </c>
      <c r="C109" s="144">
        <f>VLOOKUP($A109,'Data shares'!$C:$FA,3)</f>
        <v>312.35000000000002</v>
      </c>
      <c r="D109" s="144">
        <f>VLOOKUP($A109,'Data shares'!$C:$FA,23)</f>
        <v>1.65</v>
      </c>
      <c r="E109" s="145">
        <f>VLOOKUP($A109,'Data shares'!$C:$FA,26)*100</f>
        <v>0.53</v>
      </c>
      <c r="F109" s="144">
        <f>VLOOKUP($A109,'Data shares'!$C:$FA,24)</f>
        <v>1.3</v>
      </c>
      <c r="G109" s="144">
        <f>VLOOKUP($A109,'Data shares'!$C:$FA,25)</f>
        <v>0.35</v>
      </c>
    </row>
    <row r="110" spans="1:7" x14ac:dyDescent="0.25">
      <c r="A110" s="101" t="str">
        <f>'Data shares'!C106</f>
        <v>JINDALSTEL</v>
      </c>
      <c r="B110" s="144">
        <f>VLOOKUP($A110,'Data shares'!$C:$FA,7)</f>
        <v>1264.3</v>
      </c>
      <c r="C110" s="144">
        <f>VLOOKUP($A110,'Data shares'!$C:$FA,3)</f>
        <v>1272.5999999999999</v>
      </c>
      <c r="D110" s="144">
        <f>VLOOKUP($A110,'Data shares'!$C:$FA,23)</f>
        <v>8.3000000000000007</v>
      </c>
      <c r="E110" s="145">
        <f>VLOOKUP($A110,'Data shares'!$C:$FA,26)*100</f>
        <v>0.66</v>
      </c>
      <c r="F110" s="144">
        <f>VLOOKUP($A110,'Data shares'!$C:$FA,24)</f>
        <v>6.8</v>
      </c>
      <c r="G110" s="144">
        <f>VLOOKUP($A110,'Data shares'!$C:$FA,25)</f>
        <v>1.5</v>
      </c>
    </row>
    <row r="111" spans="1:7" x14ac:dyDescent="0.25">
      <c r="A111" s="101" t="str">
        <f>'Data shares'!C107</f>
        <v>JIOFIN</v>
      </c>
      <c r="B111" s="144">
        <f>VLOOKUP($A111,'Data shares'!$C:$FA,7)</f>
        <v>252.44</v>
      </c>
      <c r="C111" s="144">
        <f>VLOOKUP($A111,'Data shares'!$C:$FA,3)</f>
        <v>254.02</v>
      </c>
      <c r="D111" s="144">
        <f>VLOOKUP($A111,'Data shares'!$C:$FA,23)</f>
        <v>1.58</v>
      </c>
      <c r="E111" s="145">
        <f>VLOOKUP($A111,'Data shares'!$C:$FA,26)*100</f>
        <v>0.63</v>
      </c>
      <c r="F111" s="144">
        <f>VLOOKUP($A111,'Data shares'!$C:$FA,24)</f>
        <v>0.72</v>
      </c>
      <c r="G111" s="144">
        <f>VLOOKUP($A111,'Data shares'!$C:$FA,25)</f>
        <v>0.86</v>
      </c>
    </row>
    <row r="112" spans="1:7" x14ac:dyDescent="0.25">
      <c r="A112" s="101" t="str">
        <f>'Data shares'!C108</f>
        <v>JSWENERGY</v>
      </c>
      <c r="B112" s="144">
        <f>VLOOKUP($A112,'Data shares'!$C:$FA,7)</f>
        <v>567.9</v>
      </c>
      <c r="C112" s="144">
        <f>VLOOKUP($A112,'Data shares'!$C:$FA,3)</f>
        <v>568.6</v>
      </c>
      <c r="D112" s="144">
        <f>VLOOKUP($A112,'Data shares'!$C:$FA,23)</f>
        <v>0.7</v>
      </c>
      <c r="E112" s="145">
        <f>VLOOKUP($A112,'Data shares'!$C:$FA,26)*100</f>
        <v>0.12</v>
      </c>
      <c r="F112" s="144">
        <f>VLOOKUP($A112,'Data shares'!$C:$FA,24)</f>
        <v>2.35</v>
      </c>
      <c r="G112" s="144">
        <f>VLOOKUP($A112,'Data shares'!$C:$FA,25)</f>
        <v>-1.65</v>
      </c>
    </row>
    <row r="113" spans="1:7" x14ac:dyDescent="0.25">
      <c r="A113" s="101" t="str">
        <f>'Data shares'!C109</f>
        <v>JSWSTEEL</v>
      </c>
      <c r="B113" s="144">
        <f>VLOOKUP($A113,'Data shares'!$C:$FA,7)</f>
        <v>1273.3</v>
      </c>
      <c r="C113" s="144">
        <f>VLOOKUP($A113,'Data shares'!$C:$FA,3)</f>
        <v>1280.5999999999999</v>
      </c>
      <c r="D113" s="144">
        <f>VLOOKUP($A113,'Data shares'!$C:$FA,23)</f>
        <v>7.3</v>
      </c>
      <c r="E113" s="145">
        <f>VLOOKUP($A113,'Data shares'!$C:$FA,26)*100</f>
        <v>0.57000000000000006</v>
      </c>
      <c r="F113" s="144">
        <f>VLOOKUP($A113,'Data shares'!$C:$FA,24)</f>
        <v>6.8</v>
      </c>
      <c r="G113" s="144">
        <f>VLOOKUP($A113,'Data shares'!$C:$FA,25)</f>
        <v>0.5</v>
      </c>
    </row>
    <row r="114" spans="1:7" x14ac:dyDescent="0.25">
      <c r="A114" s="101" t="str">
        <f>'Data shares'!C110</f>
        <v>JUBLFOOD</v>
      </c>
      <c r="B114" s="144">
        <f>VLOOKUP($A114,'Data shares'!$C:$FA,7)</f>
        <v>471.25</v>
      </c>
      <c r="C114" s="144">
        <f>VLOOKUP($A114,'Data shares'!$C:$FA,3)</f>
        <v>473.9</v>
      </c>
      <c r="D114" s="144">
        <f>VLOOKUP($A114,'Data shares'!$C:$FA,23)</f>
        <v>2.65</v>
      </c>
      <c r="E114" s="145">
        <f>VLOOKUP($A114,'Data shares'!$C:$FA,26)*100</f>
        <v>0.55999999999999994</v>
      </c>
      <c r="F114" s="144">
        <f>VLOOKUP($A114,'Data shares'!$C:$FA,24)</f>
        <v>0.6</v>
      </c>
      <c r="G114" s="144">
        <f>VLOOKUP($A114,'Data shares'!$C:$FA,25)</f>
        <v>2.0499999999999998</v>
      </c>
    </row>
    <row r="115" spans="1:7" x14ac:dyDescent="0.25">
      <c r="A115" s="101" t="str">
        <f>'Data shares'!C111</f>
        <v>KALYANKJIL</v>
      </c>
      <c r="B115" s="144">
        <f>VLOOKUP($A115,'Data shares'!$C:$FA,7)</f>
        <v>415.65</v>
      </c>
      <c r="C115" s="144">
        <f>VLOOKUP($A115,'Data shares'!$C:$FA,3)</f>
        <v>418.7</v>
      </c>
      <c r="D115" s="144">
        <f>VLOOKUP($A115,'Data shares'!$C:$FA,23)</f>
        <v>3.05</v>
      </c>
      <c r="E115" s="145">
        <f>VLOOKUP($A115,'Data shares'!$C:$FA,26)*100</f>
        <v>0.73</v>
      </c>
      <c r="F115" s="144">
        <f>VLOOKUP($A115,'Data shares'!$C:$FA,24)</f>
        <v>2.4500000000000002</v>
      </c>
      <c r="G115" s="144">
        <f>VLOOKUP($A115,'Data shares'!$C:$FA,25)</f>
        <v>0.6</v>
      </c>
    </row>
    <row r="116" spans="1:7" x14ac:dyDescent="0.25">
      <c r="A116" s="101" t="str">
        <f>'Data shares'!C112</f>
        <v>KAYNES</v>
      </c>
      <c r="B116" s="144">
        <f>VLOOKUP($A116,'Data shares'!$C:$FA,7)</f>
        <v>4305.5</v>
      </c>
      <c r="C116" s="144">
        <f>VLOOKUP($A116,'Data shares'!$C:$FA,3)</f>
        <v>4326</v>
      </c>
      <c r="D116" s="144">
        <f>VLOOKUP($A116,'Data shares'!$C:$FA,23)</f>
        <v>20.5</v>
      </c>
      <c r="E116" s="145">
        <f>VLOOKUP($A116,'Data shares'!$C:$FA,26)*100</f>
        <v>0.48</v>
      </c>
      <c r="F116" s="144">
        <f>VLOOKUP($A116,'Data shares'!$C:$FA,24)</f>
        <v>12.8</v>
      </c>
      <c r="G116" s="144">
        <f>VLOOKUP($A116,'Data shares'!$C:$FA,25)</f>
        <v>7.7</v>
      </c>
    </row>
    <row r="117" spans="1:7" x14ac:dyDescent="0.25">
      <c r="A117" s="101" t="str">
        <f>'Data shares'!C113</f>
        <v>KEI</v>
      </c>
      <c r="B117" s="144">
        <f>VLOOKUP($A117,'Data shares'!$C:$FA,7)</f>
        <v>5148.6000000000004</v>
      </c>
      <c r="C117" s="144">
        <f>VLOOKUP($A117,'Data shares'!$C:$FA,3)</f>
        <v>5180.2</v>
      </c>
      <c r="D117" s="144">
        <f>VLOOKUP($A117,'Data shares'!$C:$FA,23)</f>
        <v>31.6</v>
      </c>
      <c r="E117" s="145">
        <f>VLOOKUP($A117,'Data shares'!$C:$FA,26)*100</f>
        <v>0.61</v>
      </c>
      <c r="F117" s="144">
        <f>VLOOKUP($A117,'Data shares'!$C:$FA,24)</f>
        <v>28.7</v>
      </c>
      <c r="G117" s="144">
        <f>VLOOKUP($A117,'Data shares'!$C:$FA,25)</f>
        <v>2.9</v>
      </c>
    </row>
    <row r="118" spans="1:7" x14ac:dyDescent="0.25">
      <c r="A118" s="101" t="str">
        <f>'Data shares'!C114</f>
        <v>KFINTECH</v>
      </c>
      <c r="B118" s="144">
        <f>VLOOKUP($A118,'Data shares'!$C:$FA,7)</f>
        <v>912.5</v>
      </c>
      <c r="C118" s="144">
        <f>VLOOKUP($A118,'Data shares'!$C:$FA,3)</f>
        <v>912.05</v>
      </c>
      <c r="D118" s="144">
        <f>VLOOKUP($A118,'Data shares'!$C:$FA,23)</f>
        <v>-0.45</v>
      </c>
      <c r="E118" s="145">
        <f>VLOOKUP($A118,'Data shares'!$C:$FA,26)*100</f>
        <v>-0.05</v>
      </c>
      <c r="F118" s="144">
        <f>VLOOKUP($A118,'Data shares'!$C:$FA,24)</f>
        <v>-8.25</v>
      </c>
      <c r="G118" s="144">
        <f>VLOOKUP($A118,'Data shares'!$C:$FA,25)</f>
        <v>7.8</v>
      </c>
    </row>
    <row r="119" spans="1:7" x14ac:dyDescent="0.25">
      <c r="A119" s="101" t="str">
        <f>'Data shares'!C115</f>
        <v>KOTAKBANK</v>
      </c>
      <c r="B119" s="144">
        <f>VLOOKUP($A119,'Data shares'!$C:$FA,7)</f>
        <v>376.6</v>
      </c>
      <c r="C119" s="144">
        <f>VLOOKUP($A119,'Data shares'!$C:$FA,3)</f>
        <v>379</v>
      </c>
      <c r="D119" s="144">
        <f>VLOOKUP($A119,'Data shares'!$C:$FA,23)</f>
        <v>2.4</v>
      </c>
      <c r="E119" s="145">
        <f>VLOOKUP($A119,'Data shares'!$C:$FA,26)*100</f>
        <v>0.64</v>
      </c>
      <c r="F119" s="144">
        <f>VLOOKUP($A119,'Data shares'!$C:$FA,24)</f>
        <v>0.9</v>
      </c>
      <c r="G119" s="144">
        <f>VLOOKUP($A119,'Data shares'!$C:$FA,25)</f>
        <v>1.5</v>
      </c>
    </row>
    <row r="120" spans="1:7" x14ac:dyDescent="0.25">
      <c r="A120" s="101" t="str">
        <f>'Data shares'!C116</f>
        <v>KPITTECH</v>
      </c>
      <c r="B120" s="144">
        <f>VLOOKUP($A120,'Data shares'!$C:$FA,7)</f>
        <v>748.6</v>
      </c>
      <c r="C120" s="144">
        <f>VLOOKUP($A120,'Data shares'!$C:$FA,3)</f>
        <v>749.4</v>
      </c>
      <c r="D120" s="144">
        <f>VLOOKUP($A120,'Data shares'!$C:$FA,23)</f>
        <v>0.8</v>
      </c>
      <c r="E120" s="145">
        <f>VLOOKUP($A120,'Data shares'!$C:$FA,26)*100</f>
        <v>0.11</v>
      </c>
      <c r="F120" s="144">
        <f>VLOOKUP($A120,'Data shares'!$C:$FA,24)</f>
        <v>2.65</v>
      </c>
      <c r="G120" s="144">
        <f>VLOOKUP($A120,'Data shares'!$C:$FA,25)</f>
        <v>-1.85</v>
      </c>
    </row>
    <row r="121" spans="1:7" x14ac:dyDescent="0.25">
      <c r="A121" s="101" t="str">
        <f>'Data shares'!C117</f>
        <v>LAURUSLABS</v>
      </c>
      <c r="B121" s="144">
        <f>VLOOKUP($A121,'Data shares'!$C:$FA,7)</f>
        <v>1177.5999999999999</v>
      </c>
      <c r="C121" s="144">
        <f>VLOOKUP($A121,'Data shares'!$C:$FA,3)</f>
        <v>1184.2</v>
      </c>
      <c r="D121" s="144">
        <f>VLOOKUP($A121,'Data shares'!$C:$FA,23)</f>
        <v>6.6</v>
      </c>
      <c r="E121" s="145">
        <f>VLOOKUP($A121,'Data shares'!$C:$FA,26)*100</f>
        <v>0.55999999999999994</v>
      </c>
      <c r="F121" s="144">
        <f>VLOOKUP($A121,'Data shares'!$C:$FA,24)</f>
        <v>5.3</v>
      </c>
      <c r="G121" s="144">
        <f>VLOOKUP($A121,'Data shares'!$C:$FA,25)</f>
        <v>1.3</v>
      </c>
    </row>
    <row r="122" spans="1:7" x14ac:dyDescent="0.25">
      <c r="A122" s="101" t="str">
        <f>'Data shares'!C118</f>
        <v>LICHSGFIN</v>
      </c>
      <c r="B122" s="144">
        <f>VLOOKUP($A122,'Data shares'!$C:$FA,7)</f>
        <v>582.15</v>
      </c>
      <c r="C122" s="144">
        <f>VLOOKUP($A122,'Data shares'!$C:$FA,3)</f>
        <v>585.4</v>
      </c>
      <c r="D122" s="144">
        <f>VLOOKUP($A122,'Data shares'!$C:$FA,23)</f>
        <v>3.25</v>
      </c>
      <c r="E122" s="145">
        <f>VLOOKUP($A122,'Data shares'!$C:$FA,26)*100</f>
        <v>0.55999999999999994</v>
      </c>
      <c r="F122" s="144">
        <f>VLOOKUP($A122,'Data shares'!$C:$FA,24)</f>
        <v>2.8</v>
      </c>
      <c r="G122" s="144">
        <f>VLOOKUP($A122,'Data shares'!$C:$FA,25)</f>
        <v>0.45</v>
      </c>
    </row>
    <row r="123" spans="1:7" x14ac:dyDescent="0.25">
      <c r="A123" s="101" t="str">
        <f>'Data shares'!C119</f>
        <v>LICI</v>
      </c>
      <c r="B123" s="144">
        <f>VLOOKUP($A123,'Data shares'!$C:$FA,7)</f>
        <v>807.25</v>
      </c>
      <c r="C123" s="144">
        <f>VLOOKUP($A123,'Data shares'!$C:$FA,3)</f>
        <v>811.65</v>
      </c>
      <c r="D123" s="144">
        <f>VLOOKUP($A123,'Data shares'!$C:$FA,23)</f>
        <v>4.4000000000000004</v>
      </c>
      <c r="E123" s="145">
        <f>VLOOKUP($A123,'Data shares'!$C:$FA,26)*100</f>
        <v>0.54999999999999993</v>
      </c>
      <c r="F123" s="144">
        <f>VLOOKUP($A123,'Data shares'!$C:$FA,24)</f>
        <v>-3.05</v>
      </c>
      <c r="G123" s="144">
        <f>VLOOKUP($A123,'Data shares'!$C:$FA,25)</f>
        <v>7.45</v>
      </c>
    </row>
    <row r="124" spans="1:7" x14ac:dyDescent="0.25">
      <c r="A124" s="101" t="str">
        <f>'Data shares'!C120</f>
        <v>LODHA</v>
      </c>
      <c r="B124" s="144">
        <f>VLOOKUP($A124,'Data shares'!$C:$FA,7)</f>
        <v>949.15</v>
      </c>
      <c r="C124" s="144">
        <f>VLOOKUP($A124,'Data shares'!$C:$FA,3)</f>
        <v>953.35</v>
      </c>
      <c r="D124" s="144">
        <f>VLOOKUP($A124,'Data shares'!$C:$FA,23)</f>
        <v>4.2</v>
      </c>
      <c r="E124" s="145">
        <f>VLOOKUP($A124,'Data shares'!$C:$FA,26)*100</f>
        <v>0.44</v>
      </c>
      <c r="F124" s="144">
        <f>VLOOKUP($A124,'Data shares'!$C:$FA,24)</f>
        <v>2.5499999999999998</v>
      </c>
      <c r="G124" s="144">
        <f>VLOOKUP($A124,'Data shares'!$C:$FA,25)</f>
        <v>1.65</v>
      </c>
    </row>
    <row r="125" spans="1:7" x14ac:dyDescent="0.25">
      <c r="A125" s="101" t="str">
        <f>'Data shares'!C121</f>
        <v>LT</v>
      </c>
      <c r="B125" s="144">
        <f>VLOOKUP($A125,'Data shares'!$C:$FA,7)</f>
        <v>4008.5</v>
      </c>
      <c r="C125" s="144">
        <f>VLOOKUP($A125,'Data shares'!$C:$FA,3)</f>
        <v>3999.7</v>
      </c>
      <c r="D125" s="144">
        <f>VLOOKUP($A125,'Data shares'!$C:$FA,23)</f>
        <v>-8.8000000000000007</v>
      </c>
      <c r="E125" s="145">
        <f>VLOOKUP($A125,'Data shares'!$C:$FA,26)*100</f>
        <v>-0.22</v>
      </c>
      <c r="F125" s="144">
        <f>VLOOKUP($A125,'Data shares'!$C:$FA,24)</f>
        <v>24.7</v>
      </c>
      <c r="G125" s="144">
        <f>VLOOKUP($A125,'Data shares'!$C:$FA,25)</f>
        <v>-33.5</v>
      </c>
    </row>
    <row r="126" spans="1:7" x14ac:dyDescent="0.25">
      <c r="A126" s="101" t="str">
        <f>'Data shares'!C122</f>
        <v>LTF</v>
      </c>
      <c r="B126" s="144">
        <f>VLOOKUP($A126,'Data shares'!$C:$FA,7)</f>
        <v>300.3</v>
      </c>
      <c r="C126" s="144">
        <f>VLOOKUP($A126,'Data shares'!$C:$FA,3)</f>
        <v>298.60000000000002</v>
      </c>
      <c r="D126" s="144">
        <f>VLOOKUP($A126,'Data shares'!$C:$FA,23)</f>
        <v>-1.7</v>
      </c>
      <c r="E126" s="145">
        <f>VLOOKUP($A126,'Data shares'!$C:$FA,26)*100</f>
        <v>-0.57000000000000006</v>
      </c>
      <c r="F126" s="144">
        <f>VLOOKUP($A126,'Data shares'!$C:$FA,24)</f>
        <v>-1.1000000000000001</v>
      </c>
      <c r="G126" s="144">
        <f>VLOOKUP($A126,'Data shares'!$C:$FA,25)</f>
        <v>-0.6</v>
      </c>
    </row>
    <row r="127" spans="1:7" x14ac:dyDescent="0.25">
      <c r="A127" s="101" t="str">
        <f>'Data shares'!C123</f>
        <v>LTM</v>
      </c>
      <c r="B127" s="144">
        <f>VLOOKUP($A127,'Data shares'!$C:$FA,7)</f>
        <v>4316</v>
      </c>
      <c r="C127" s="144">
        <f>VLOOKUP($A127,'Data shares'!$C:$FA,3)</f>
        <v>4262.6000000000004</v>
      </c>
      <c r="D127" s="144">
        <f>VLOOKUP($A127,'Data shares'!$C:$FA,23)</f>
        <v>-53.4</v>
      </c>
      <c r="E127" s="145">
        <f>VLOOKUP($A127,'Data shares'!$C:$FA,26)*100</f>
        <v>-1.24</v>
      </c>
      <c r="F127" s="144">
        <f>VLOOKUP($A127,'Data shares'!$C:$FA,24)</f>
        <v>-52.8</v>
      </c>
      <c r="G127" s="144">
        <f>VLOOKUP($A127,'Data shares'!$C:$FA,25)</f>
        <v>-0.6</v>
      </c>
    </row>
    <row r="128" spans="1:7" x14ac:dyDescent="0.25">
      <c r="A128" s="101" t="str">
        <f>'Data shares'!C124</f>
        <v>LUPIN</v>
      </c>
      <c r="B128" s="144">
        <f>VLOOKUP($A128,'Data shares'!$C:$FA,7)</f>
        <v>2442.9</v>
      </c>
      <c r="C128" s="144">
        <f>VLOOKUP($A128,'Data shares'!$C:$FA,3)</f>
        <v>2459.1</v>
      </c>
      <c r="D128" s="144">
        <f>VLOOKUP($A128,'Data shares'!$C:$FA,23)</f>
        <v>16.2</v>
      </c>
      <c r="E128" s="145">
        <f>VLOOKUP($A128,'Data shares'!$C:$FA,26)*100</f>
        <v>0.66</v>
      </c>
      <c r="F128" s="144">
        <f>VLOOKUP($A128,'Data shares'!$C:$FA,24)</f>
        <v>9.5</v>
      </c>
      <c r="G128" s="144">
        <f>VLOOKUP($A128,'Data shares'!$C:$FA,25)</f>
        <v>6.7</v>
      </c>
    </row>
    <row r="129" spans="1:7" x14ac:dyDescent="0.25">
      <c r="A129" s="101" t="str">
        <f>'Data shares'!C125</f>
        <v>M&amp;M</v>
      </c>
      <c r="B129" s="144">
        <f>VLOOKUP($A129,'Data shares'!$C:$FA,7)</f>
        <v>3300.8</v>
      </c>
      <c r="C129" s="144">
        <f>VLOOKUP($A129,'Data shares'!$C:$FA,3)</f>
        <v>3314</v>
      </c>
      <c r="D129" s="144">
        <f>VLOOKUP($A129,'Data shares'!$C:$FA,23)</f>
        <v>13.2</v>
      </c>
      <c r="E129" s="145">
        <f>VLOOKUP($A129,'Data shares'!$C:$FA,26)*100</f>
        <v>0.4</v>
      </c>
      <c r="F129" s="144">
        <f>VLOOKUP($A129,'Data shares'!$C:$FA,24)</f>
        <v>18.8</v>
      </c>
      <c r="G129" s="144">
        <f>VLOOKUP($A129,'Data shares'!$C:$FA,25)</f>
        <v>-5.6</v>
      </c>
    </row>
    <row r="130" spans="1:7" x14ac:dyDescent="0.25">
      <c r="A130" s="101" t="str">
        <f>'Data shares'!C126</f>
        <v>MANAPPURAM</v>
      </c>
      <c r="B130" s="144">
        <f>VLOOKUP($A130,'Data shares'!$C:$FA,7)</f>
        <v>309.95</v>
      </c>
      <c r="C130" s="144">
        <f>VLOOKUP($A130,'Data shares'!$C:$FA,3)</f>
        <v>311.60000000000002</v>
      </c>
      <c r="D130" s="144">
        <f>VLOOKUP($A130,'Data shares'!$C:$FA,23)</f>
        <v>1.65</v>
      </c>
      <c r="E130" s="145">
        <f>VLOOKUP($A130,'Data shares'!$C:$FA,26)*100</f>
        <v>0.53</v>
      </c>
      <c r="F130" s="144">
        <f>VLOOKUP($A130,'Data shares'!$C:$FA,24)</f>
        <v>1.6</v>
      </c>
      <c r="G130" s="144">
        <f>VLOOKUP($A130,'Data shares'!$C:$FA,25)</f>
        <v>0.05</v>
      </c>
    </row>
    <row r="131" spans="1:7" x14ac:dyDescent="0.25">
      <c r="A131" s="101" t="str">
        <f>'Data shares'!C127</f>
        <v>MANKIND</v>
      </c>
      <c r="B131" s="144">
        <f>VLOOKUP($A131,'Data shares'!$C:$FA,7)</f>
        <v>2361</v>
      </c>
      <c r="C131" s="144">
        <f>VLOOKUP($A131,'Data shares'!$C:$FA,3)</f>
        <v>2366.6</v>
      </c>
      <c r="D131" s="144">
        <f>VLOOKUP($A131,'Data shares'!$C:$FA,23)</f>
        <v>5.6</v>
      </c>
      <c r="E131" s="145">
        <f>VLOOKUP($A131,'Data shares'!$C:$FA,26)*100</f>
        <v>0.24</v>
      </c>
      <c r="F131" s="144">
        <f>VLOOKUP($A131,'Data shares'!$C:$FA,24)</f>
        <v>10.4</v>
      </c>
      <c r="G131" s="144">
        <f>VLOOKUP($A131,'Data shares'!$C:$FA,25)</f>
        <v>-4.8</v>
      </c>
    </row>
    <row r="132" spans="1:7" x14ac:dyDescent="0.25">
      <c r="A132" s="101" t="str">
        <f>'Data shares'!C128</f>
        <v>MARICO</v>
      </c>
      <c r="B132" s="144">
        <f>VLOOKUP($A132,'Data shares'!$C:$FA,7)</f>
        <v>814.8</v>
      </c>
      <c r="C132" s="144">
        <f>VLOOKUP($A132,'Data shares'!$C:$FA,3)</f>
        <v>819.4</v>
      </c>
      <c r="D132" s="144">
        <f>VLOOKUP($A132,'Data shares'!$C:$FA,23)</f>
        <v>4.5999999999999996</v>
      </c>
      <c r="E132" s="145">
        <f>VLOOKUP($A132,'Data shares'!$C:$FA,26)*100</f>
        <v>0.55999999999999994</v>
      </c>
      <c r="F132" s="144">
        <f>VLOOKUP($A132,'Data shares'!$C:$FA,24)</f>
        <v>3</v>
      </c>
      <c r="G132" s="144">
        <f>VLOOKUP($A132,'Data shares'!$C:$FA,25)</f>
        <v>1.6</v>
      </c>
    </row>
    <row r="133" spans="1:7" x14ac:dyDescent="0.25">
      <c r="A133" s="101" t="str">
        <f>'Data shares'!C129</f>
        <v>MARUTI</v>
      </c>
      <c r="B133" s="144">
        <f>VLOOKUP($A133,'Data shares'!$C:$FA,7)</f>
        <v>13722</v>
      </c>
      <c r="C133" s="144">
        <f>VLOOKUP($A133,'Data shares'!$C:$FA,3)</f>
        <v>13804</v>
      </c>
      <c r="D133" s="144">
        <f>VLOOKUP($A133,'Data shares'!$C:$FA,23)</f>
        <v>82</v>
      </c>
      <c r="E133" s="145">
        <f>VLOOKUP($A133,'Data shares'!$C:$FA,26)*100</f>
        <v>0.6</v>
      </c>
      <c r="F133" s="144">
        <f>VLOOKUP($A133,'Data shares'!$C:$FA,24)</f>
        <v>26</v>
      </c>
      <c r="G133" s="144">
        <f>VLOOKUP($A133,'Data shares'!$C:$FA,25)</f>
        <v>56</v>
      </c>
    </row>
    <row r="134" spans="1:7" x14ac:dyDescent="0.25">
      <c r="A134" s="101" t="str">
        <f>'Data shares'!C130</f>
        <v>MAXHEALTH</v>
      </c>
      <c r="B134" s="144">
        <f>VLOOKUP($A134,'Data shares'!$C:$FA,7)</f>
        <v>1015.9</v>
      </c>
      <c r="C134" s="144">
        <f>VLOOKUP($A134,'Data shares'!$C:$FA,3)</f>
        <v>1022.25</v>
      </c>
      <c r="D134" s="144">
        <f>VLOOKUP($A134,'Data shares'!$C:$FA,23)</f>
        <v>6.35</v>
      </c>
      <c r="E134" s="145">
        <f>VLOOKUP($A134,'Data shares'!$C:$FA,26)*100</f>
        <v>0.63</v>
      </c>
      <c r="F134" s="144">
        <f>VLOOKUP($A134,'Data shares'!$C:$FA,24)</f>
        <v>5.3</v>
      </c>
      <c r="G134" s="144">
        <f>VLOOKUP($A134,'Data shares'!$C:$FA,25)</f>
        <v>1.05</v>
      </c>
    </row>
    <row r="135" spans="1:7" x14ac:dyDescent="0.25">
      <c r="A135" s="101" t="str">
        <f>'Data shares'!C131</f>
        <v>MAZDOCK</v>
      </c>
      <c r="B135" s="144">
        <f>VLOOKUP($A135,'Data shares'!$C:$FA,7)</f>
        <v>2644.5</v>
      </c>
      <c r="C135" s="144">
        <f>VLOOKUP($A135,'Data shares'!$C:$FA,3)</f>
        <v>2658.7</v>
      </c>
      <c r="D135" s="144">
        <f>VLOOKUP($A135,'Data shares'!$C:$FA,23)</f>
        <v>14.2</v>
      </c>
      <c r="E135" s="145">
        <f>VLOOKUP($A135,'Data shares'!$C:$FA,26)*100</f>
        <v>0.54</v>
      </c>
      <c r="F135" s="144">
        <f>VLOOKUP($A135,'Data shares'!$C:$FA,24)</f>
        <v>11.1</v>
      </c>
      <c r="G135" s="144">
        <f>VLOOKUP($A135,'Data shares'!$C:$FA,25)</f>
        <v>3.1</v>
      </c>
    </row>
    <row r="136" spans="1:7" x14ac:dyDescent="0.25">
      <c r="A136" s="101" t="str">
        <f>'Data shares'!C132</f>
        <v>MCX</v>
      </c>
      <c r="B136" s="144">
        <f>VLOOKUP($A136,'Data shares'!$C:$FA,7)</f>
        <v>2973.2</v>
      </c>
      <c r="C136" s="144">
        <f>VLOOKUP($A136,'Data shares'!$C:$FA,3)</f>
        <v>2987.3</v>
      </c>
      <c r="D136" s="144">
        <f>VLOOKUP($A136,'Data shares'!$C:$FA,23)</f>
        <v>14.1</v>
      </c>
      <c r="E136" s="145">
        <f>VLOOKUP($A136,'Data shares'!$C:$FA,26)*100</f>
        <v>0.47000000000000003</v>
      </c>
      <c r="F136" s="144">
        <f>VLOOKUP($A136,'Data shares'!$C:$FA,24)</f>
        <v>15.9</v>
      </c>
      <c r="G136" s="144">
        <f>VLOOKUP($A136,'Data shares'!$C:$FA,25)</f>
        <v>-1.8</v>
      </c>
    </row>
    <row r="137" spans="1:7" x14ac:dyDescent="0.25">
      <c r="A137" s="101" t="str">
        <f>'Data shares'!C133</f>
        <v>MFSL</v>
      </c>
      <c r="B137" s="144">
        <f>VLOOKUP($A137,'Data shares'!$C:$FA,7)</f>
        <v>1652.8</v>
      </c>
      <c r="C137" s="144">
        <f>VLOOKUP($A137,'Data shares'!$C:$FA,3)</f>
        <v>1663.9</v>
      </c>
      <c r="D137" s="144">
        <f>VLOOKUP($A137,'Data shares'!$C:$FA,23)</f>
        <v>11.1</v>
      </c>
      <c r="E137" s="145">
        <f>VLOOKUP($A137,'Data shares'!$C:$FA,26)*100</f>
        <v>0.67</v>
      </c>
      <c r="F137" s="144">
        <f>VLOOKUP($A137,'Data shares'!$C:$FA,24)</f>
        <v>9.3000000000000007</v>
      </c>
      <c r="G137" s="144">
        <f>VLOOKUP($A137,'Data shares'!$C:$FA,25)</f>
        <v>1.8</v>
      </c>
    </row>
    <row r="138" spans="1:7" x14ac:dyDescent="0.25">
      <c r="A138" s="101" t="str">
        <f>'Data shares'!C134</f>
        <v>MIDCPNIFTY</v>
      </c>
      <c r="B138" s="144">
        <f>VLOOKUP($A138,'Data shares'!$C:$FA,7)</f>
        <v>14312.9</v>
      </c>
      <c r="C138" s="144">
        <f>VLOOKUP($A138,'Data shares'!$C:$FA,3)</f>
        <v>14400.6</v>
      </c>
      <c r="D138" s="144">
        <f>VLOOKUP($A138,'Data shares'!$C:$FA,23)</f>
        <v>87.7</v>
      </c>
      <c r="E138" s="145">
        <f>VLOOKUP($A138,'Data shares'!$C:$FA,26)*100</f>
        <v>0.61</v>
      </c>
      <c r="F138" s="144">
        <f>VLOOKUP($A138,'Data shares'!$C:$FA,24)</f>
        <v>50.6</v>
      </c>
      <c r="G138" s="144">
        <f>VLOOKUP($A138,'Data shares'!$C:$FA,25)</f>
        <v>37.1</v>
      </c>
    </row>
    <row r="139" spans="1:7" x14ac:dyDescent="0.25">
      <c r="A139" s="101" t="str">
        <f>'Data shares'!C135</f>
        <v>MOTHERSON</v>
      </c>
      <c r="B139" s="144">
        <f>VLOOKUP($A139,'Data shares'!$C:$FA,7)</f>
        <v>127.41</v>
      </c>
      <c r="C139" s="144">
        <f>VLOOKUP($A139,'Data shares'!$C:$FA,3)</f>
        <v>128.32</v>
      </c>
      <c r="D139" s="144">
        <f>VLOOKUP($A139,'Data shares'!$C:$FA,23)</f>
        <v>0.91</v>
      </c>
      <c r="E139" s="145">
        <f>VLOOKUP($A139,'Data shares'!$C:$FA,26)*100</f>
        <v>0.71000000000000008</v>
      </c>
      <c r="F139" s="144">
        <f>VLOOKUP($A139,'Data shares'!$C:$FA,24)</f>
        <v>0.86</v>
      </c>
      <c r="G139" s="144">
        <f>VLOOKUP($A139,'Data shares'!$C:$FA,25)</f>
        <v>0.05</v>
      </c>
    </row>
    <row r="140" spans="1:7" x14ac:dyDescent="0.25">
      <c r="A140" s="101" t="str">
        <f>'Data shares'!C136</f>
        <v>MOTILALOFS</v>
      </c>
      <c r="B140" s="144">
        <f>VLOOKUP($A140,'Data shares'!$C:$FA,7)</f>
        <v>881.7</v>
      </c>
      <c r="C140" s="144">
        <f>VLOOKUP($A140,'Data shares'!$C:$FA,3)</f>
        <v>884.65</v>
      </c>
      <c r="D140" s="144">
        <f>VLOOKUP($A140,'Data shares'!$C:$FA,23)</f>
        <v>2.95</v>
      </c>
      <c r="E140" s="145">
        <f>VLOOKUP($A140,'Data shares'!$C:$FA,26)*100</f>
        <v>0.33</v>
      </c>
      <c r="F140" s="144">
        <f>VLOOKUP($A140,'Data shares'!$C:$FA,24)</f>
        <v>4.3499999999999996</v>
      </c>
      <c r="G140" s="144">
        <f>VLOOKUP($A140,'Data shares'!$C:$FA,25)</f>
        <v>-1.4</v>
      </c>
    </row>
    <row r="141" spans="1:7" x14ac:dyDescent="0.25">
      <c r="A141" s="101" t="str">
        <f>'Data shares'!C137</f>
        <v>MPHASIS</v>
      </c>
      <c r="B141" s="144">
        <f>VLOOKUP($A141,'Data shares'!$C:$FA,7)</f>
        <v>2218.5</v>
      </c>
      <c r="C141" s="144">
        <f>VLOOKUP($A141,'Data shares'!$C:$FA,3)</f>
        <v>2232.1999999999998</v>
      </c>
      <c r="D141" s="144">
        <f>VLOOKUP($A141,'Data shares'!$C:$FA,23)</f>
        <v>13.7</v>
      </c>
      <c r="E141" s="145">
        <f>VLOOKUP($A141,'Data shares'!$C:$FA,26)*100</f>
        <v>0.62</v>
      </c>
      <c r="F141" s="144">
        <f>VLOOKUP($A141,'Data shares'!$C:$FA,24)</f>
        <v>11.8</v>
      </c>
      <c r="G141" s="144">
        <f>VLOOKUP($A141,'Data shares'!$C:$FA,25)</f>
        <v>1.9</v>
      </c>
    </row>
    <row r="142" spans="1:7" x14ac:dyDescent="0.25">
      <c r="A142" s="101" t="str">
        <f>'Data shares'!C138</f>
        <v>MUTHOOTFIN</v>
      </c>
      <c r="B142" s="144">
        <f>VLOOKUP($A142,'Data shares'!$C:$FA,7)</f>
        <v>3533.6</v>
      </c>
      <c r="C142" s="144">
        <f>VLOOKUP($A142,'Data shares'!$C:$FA,3)</f>
        <v>3556.9</v>
      </c>
      <c r="D142" s="144">
        <f>VLOOKUP($A142,'Data shares'!$C:$FA,23)</f>
        <v>23.3</v>
      </c>
      <c r="E142" s="145">
        <f>VLOOKUP($A142,'Data shares'!$C:$FA,26)*100</f>
        <v>0.66</v>
      </c>
      <c r="F142" s="144">
        <f>VLOOKUP($A142,'Data shares'!$C:$FA,24)</f>
        <v>19.7</v>
      </c>
      <c r="G142" s="144">
        <f>VLOOKUP($A142,'Data shares'!$C:$FA,25)</f>
        <v>3.6</v>
      </c>
    </row>
    <row r="143" spans="1:7" x14ac:dyDescent="0.25">
      <c r="A143" s="101" t="str">
        <f>'Data shares'!C139</f>
        <v>NAM-INDIA</v>
      </c>
      <c r="B143" s="144">
        <f>VLOOKUP($A143,'Data shares'!$C:$FA,7)</f>
        <v>1094.2</v>
      </c>
      <c r="C143" s="144">
        <f>VLOOKUP($A143,'Data shares'!$C:$FA,3)</f>
        <v>1093.3</v>
      </c>
      <c r="D143" s="144">
        <f>VLOOKUP($A143,'Data shares'!$C:$FA,23)</f>
        <v>-0.9</v>
      </c>
      <c r="E143" s="145">
        <f>VLOOKUP($A143,'Data shares'!$C:$FA,26)*100</f>
        <v>-0.08</v>
      </c>
      <c r="F143" s="144">
        <f>VLOOKUP($A143,'Data shares'!$C:$FA,24)</f>
        <v>1.4</v>
      </c>
      <c r="G143" s="144">
        <f>VLOOKUP($A143,'Data shares'!$C:$FA,25)</f>
        <v>-2.2999999999999998</v>
      </c>
    </row>
    <row r="144" spans="1:7" x14ac:dyDescent="0.25">
      <c r="A144" s="101" t="str">
        <f>'Data shares'!C140</f>
        <v>NATIONALUM</v>
      </c>
      <c r="B144" s="144">
        <f>VLOOKUP($A144,'Data shares'!$C:$FA,7)</f>
        <v>406.55</v>
      </c>
      <c r="C144" s="144">
        <f>VLOOKUP($A144,'Data shares'!$C:$FA,3)</f>
        <v>407</v>
      </c>
      <c r="D144" s="144">
        <f>VLOOKUP($A144,'Data shares'!$C:$FA,23)</f>
        <v>0.45</v>
      </c>
      <c r="E144" s="145">
        <f>VLOOKUP($A144,'Data shares'!$C:$FA,26)*100</f>
        <v>0.11</v>
      </c>
      <c r="F144" s="144">
        <f>VLOOKUP($A144,'Data shares'!$C:$FA,24)</f>
        <v>0.45</v>
      </c>
      <c r="G144" s="144">
        <f>VLOOKUP($A144,'Data shares'!$C:$FA,25)</f>
        <v>0</v>
      </c>
    </row>
    <row r="145" spans="1:7" x14ac:dyDescent="0.25">
      <c r="A145" s="101" t="str">
        <f>'Data shares'!C141</f>
        <v>NAUKRI</v>
      </c>
      <c r="B145" s="144">
        <f>VLOOKUP($A145,'Data shares'!$C:$FA,7)</f>
        <v>981.4</v>
      </c>
      <c r="C145" s="144">
        <f>VLOOKUP($A145,'Data shares'!$C:$FA,3)</f>
        <v>988.7</v>
      </c>
      <c r="D145" s="144">
        <f>VLOOKUP($A145,'Data shares'!$C:$FA,23)</f>
        <v>7.3</v>
      </c>
      <c r="E145" s="145">
        <f>VLOOKUP($A145,'Data shares'!$C:$FA,26)*100</f>
        <v>0.74</v>
      </c>
      <c r="F145" s="144">
        <f>VLOOKUP($A145,'Data shares'!$C:$FA,24)</f>
        <v>5.45</v>
      </c>
      <c r="G145" s="144">
        <f>VLOOKUP($A145,'Data shares'!$C:$FA,25)</f>
        <v>1.85</v>
      </c>
    </row>
    <row r="146" spans="1:7" x14ac:dyDescent="0.25">
      <c r="A146" s="101" t="str">
        <f>'Data shares'!C142</f>
        <v>NBCC</v>
      </c>
      <c r="B146" s="144">
        <f>VLOOKUP($A146,'Data shares'!$C:$FA,7)</f>
        <v>94.94</v>
      </c>
      <c r="C146" s="144">
        <f>VLOOKUP($A146,'Data shares'!$C:$FA,3)</f>
        <v>95.59</v>
      </c>
      <c r="D146" s="144">
        <f>VLOOKUP($A146,'Data shares'!$C:$FA,23)</f>
        <v>0.65</v>
      </c>
      <c r="E146" s="145">
        <f>VLOOKUP($A146,'Data shares'!$C:$FA,26)*100</f>
        <v>0.67999999999999994</v>
      </c>
      <c r="F146" s="144">
        <f>VLOOKUP($A146,'Data shares'!$C:$FA,24)</f>
        <v>0.26</v>
      </c>
      <c r="G146" s="144">
        <f>VLOOKUP($A146,'Data shares'!$C:$FA,25)</f>
        <v>0.39</v>
      </c>
    </row>
    <row r="147" spans="1:7" x14ac:dyDescent="0.25">
      <c r="A147" s="101" t="str">
        <f>'Data shares'!C143</f>
        <v>NESTLEIND</v>
      </c>
      <c r="B147" s="144">
        <f>VLOOKUP($A147,'Data shares'!$C:$FA,7)</f>
        <v>1486.1</v>
      </c>
      <c r="C147" s="144">
        <f>VLOOKUP($A147,'Data shares'!$C:$FA,3)</f>
        <v>1490.7</v>
      </c>
      <c r="D147" s="144">
        <f>VLOOKUP($A147,'Data shares'!$C:$FA,23)</f>
        <v>4.5999999999999996</v>
      </c>
      <c r="E147" s="145">
        <f>VLOOKUP($A147,'Data shares'!$C:$FA,26)*100</f>
        <v>0.31</v>
      </c>
      <c r="F147" s="144">
        <f>VLOOKUP($A147,'Data shares'!$C:$FA,24)</f>
        <v>2</v>
      </c>
      <c r="G147" s="144">
        <f>VLOOKUP($A147,'Data shares'!$C:$FA,25)</f>
        <v>2.6</v>
      </c>
    </row>
    <row r="148" spans="1:7" x14ac:dyDescent="0.25">
      <c r="A148" s="101" t="str">
        <f>'Data shares'!C144</f>
        <v>NHPC</v>
      </c>
      <c r="B148" s="144">
        <f>VLOOKUP($A148,'Data shares'!$C:$FA,7)</f>
        <v>83.66</v>
      </c>
      <c r="C148" s="144">
        <f>VLOOKUP($A148,'Data shares'!$C:$FA,3)</f>
        <v>83.06</v>
      </c>
      <c r="D148" s="144">
        <f>VLOOKUP($A148,'Data shares'!$C:$FA,23)</f>
        <v>-0.6</v>
      </c>
      <c r="E148" s="145">
        <f>VLOOKUP($A148,'Data shares'!$C:$FA,26)*100</f>
        <v>-0.72</v>
      </c>
      <c r="F148" s="144">
        <f>VLOOKUP($A148,'Data shares'!$C:$FA,24)</f>
        <v>-0.61</v>
      </c>
      <c r="G148" s="144">
        <f>VLOOKUP($A148,'Data shares'!$C:$FA,25)</f>
        <v>0.01</v>
      </c>
    </row>
    <row r="149" spans="1:7" x14ac:dyDescent="0.25">
      <c r="A149" s="101" t="str">
        <f>'Data shares'!C145</f>
        <v>NIFTY</v>
      </c>
      <c r="B149" s="144">
        <f>VLOOKUP($A149,'Data shares'!$C:$FA,7)</f>
        <v>24330.95</v>
      </c>
      <c r="C149" s="144">
        <f>VLOOKUP($A149,'Data shares'!$C:$FA,3)</f>
        <v>24447.4</v>
      </c>
      <c r="D149" s="144">
        <f>VLOOKUP($A149,'Data shares'!$C:$FA,23)</f>
        <v>116.45</v>
      </c>
      <c r="E149" s="145">
        <f>VLOOKUP($A149,'Data shares'!$C:$FA,26)*100</f>
        <v>0.48</v>
      </c>
      <c r="F149" s="144">
        <f>VLOOKUP($A149,'Data shares'!$C:$FA,24)</f>
        <v>73.5</v>
      </c>
      <c r="G149" s="144">
        <f>VLOOKUP($A149,'Data shares'!$C:$FA,25)</f>
        <v>42.95</v>
      </c>
    </row>
    <row r="150" spans="1:7" x14ac:dyDescent="0.25">
      <c r="A150" s="101" t="str">
        <f>'Data shares'!C146</f>
        <v>NIFTYNXT50</v>
      </c>
      <c r="B150" s="144">
        <f>VLOOKUP($A150,'Data shares'!$C:$FA,7)</f>
        <v>71691.45</v>
      </c>
      <c r="C150" s="144">
        <f>VLOOKUP($A150,'Data shares'!$C:$FA,3)</f>
        <v>72015.399999999994</v>
      </c>
      <c r="D150" s="144">
        <f>VLOOKUP($A150,'Data shares'!$C:$FA,23)</f>
        <v>323.95</v>
      </c>
      <c r="E150" s="145">
        <f>VLOOKUP($A150,'Data shares'!$C:$FA,26)*100</f>
        <v>0.44999999999999996</v>
      </c>
      <c r="F150" s="144">
        <f>VLOOKUP($A150,'Data shares'!$C:$FA,24)</f>
        <v>166.3</v>
      </c>
      <c r="G150" s="144">
        <f>VLOOKUP($A150,'Data shares'!$C:$FA,25)</f>
        <v>157.65</v>
      </c>
    </row>
    <row r="151" spans="1:7" x14ac:dyDescent="0.25">
      <c r="A151" s="101" t="str">
        <f>'Data shares'!C147</f>
        <v>NMDC</v>
      </c>
      <c r="B151" s="144">
        <f>VLOOKUP($A151,'Data shares'!$C:$FA,7)</f>
        <v>89.18</v>
      </c>
      <c r="C151" s="144">
        <f>VLOOKUP($A151,'Data shares'!$C:$FA,3)</f>
        <v>89.82</v>
      </c>
      <c r="D151" s="144">
        <f>VLOOKUP($A151,'Data shares'!$C:$FA,23)</f>
        <v>0.64</v>
      </c>
      <c r="E151" s="145">
        <f>VLOOKUP($A151,'Data shares'!$C:$FA,26)*100</f>
        <v>0.72</v>
      </c>
      <c r="F151" s="144">
        <f>VLOOKUP($A151,'Data shares'!$C:$FA,24)</f>
        <v>0.51</v>
      </c>
      <c r="G151" s="144">
        <f>VLOOKUP($A151,'Data shares'!$C:$FA,25)</f>
        <v>0.13</v>
      </c>
    </row>
    <row r="152" spans="1:7" x14ac:dyDescent="0.25">
      <c r="A152" s="101" t="str">
        <f>'Data shares'!C148</f>
        <v>NTPC</v>
      </c>
      <c r="B152" s="144">
        <f>VLOOKUP($A152,'Data shares'!$C:$FA,7)</f>
        <v>394.85</v>
      </c>
      <c r="C152" s="144">
        <f>VLOOKUP($A152,'Data shares'!$C:$FA,3)</f>
        <v>397.1</v>
      </c>
      <c r="D152" s="144">
        <f>VLOOKUP($A152,'Data shares'!$C:$FA,23)</f>
        <v>2.25</v>
      </c>
      <c r="E152" s="145">
        <f>VLOOKUP($A152,'Data shares'!$C:$FA,26)*100</f>
        <v>0.57000000000000006</v>
      </c>
      <c r="F152" s="144">
        <f>VLOOKUP($A152,'Data shares'!$C:$FA,24)</f>
        <v>0.95</v>
      </c>
      <c r="G152" s="144">
        <f>VLOOKUP($A152,'Data shares'!$C:$FA,25)</f>
        <v>1.3</v>
      </c>
    </row>
    <row r="153" spans="1:7" x14ac:dyDescent="0.25">
      <c r="A153" s="101" t="str">
        <f>'Data shares'!C149</f>
        <v>NUVAMA</v>
      </c>
      <c r="B153" s="144">
        <f>VLOOKUP($A153,'Data shares'!$C:$FA,7)</f>
        <v>1413.6</v>
      </c>
      <c r="C153" s="144">
        <f>VLOOKUP($A153,'Data shares'!$C:$FA,3)</f>
        <v>1401.4</v>
      </c>
      <c r="D153" s="144">
        <f>VLOOKUP($A153,'Data shares'!$C:$FA,23)</f>
        <v>-12.2</v>
      </c>
      <c r="E153" s="145">
        <f>VLOOKUP($A153,'Data shares'!$C:$FA,26)*100</f>
        <v>-0.86</v>
      </c>
      <c r="F153" s="144">
        <f>VLOOKUP($A153,'Data shares'!$C:$FA,24)</f>
        <v>-8.8000000000000007</v>
      </c>
      <c r="G153" s="144">
        <f>VLOOKUP($A153,'Data shares'!$C:$FA,25)</f>
        <v>-3.4</v>
      </c>
    </row>
    <row r="154" spans="1:7" x14ac:dyDescent="0.25">
      <c r="A154" s="101" t="str">
        <f>'Data shares'!C150</f>
        <v>NYKAA</v>
      </c>
      <c r="B154" s="144">
        <f>VLOOKUP($A154,'Data shares'!$C:$FA,7)</f>
        <v>272.35000000000002</v>
      </c>
      <c r="C154" s="144">
        <f>VLOOKUP($A154,'Data shares'!$C:$FA,3)</f>
        <v>273.75</v>
      </c>
      <c r="D154" s="144">
        <f>VLOOKUP($A154,'Data shares'!$C:$FA,23)</f>
        <v>1.4</v>
      </c>
      <c r="E154" s="145">
        <f>VLOOKUP($A154,'Data shares'!$C:$FA,26)*100</f>
        <v>0.51</v>
      </c>
      <c r="F154" s="144">
        <f>VLOOKUP($A154,'Data shares'!$C:$FA,24)</f>
        <v>0.7</v>
      </c>
      <c r="G154" s="144">
        <f>VLOOKUP($A154,'Data shares'!$C:$FA,25)</f>
        <v>0.7</v>
      </c>
    </row>
    <row r="155" spans="1:7" x14ac:dyDescent="0.25">
      <c r="A155" s="101" t="str">
        <f>'Data shares'!C151</f>
        <v>OBEROIRLTY</v>
      </c>
      <c r="B155" s="144">
        <f>VLOOKUP($A155,'Data shares'!$C:$FA,7)</f>
        <v>1673.4</v>
      </c>
      <c r="C155" s="144">
        <f>VLOOKUP($A155,'Data shares'!$C:$FA,3)</f>
        <v>1680.5</v>
      </c>
      <c r="D155" s="144">
        <f>VLOOKUP($A155,'Data shares'!$C:$FA,23)</f>
        <v>7.1</v>
      </c>
      <c r="E155" s="145">
        <f>VLOOKUP($A155,'Data shares'!$C:$FA,26)*100</f>
        <v>0.42</v>
      </c>
      <c r="F155" s="144">
        <f>VLOOKUP($A155,'Data shares'!$C:$FA,24)</f>
        <v>4.0999999999999996</v>
      </c>
      <c r="G155" s="144">
        <f>VLOOKUP($A155,'Data shares'!$C:$FA,25)</f>
        <v>3</v>
      </c>
    </row>
    <row r="156" spans="1:7" x14ac:dyDescent="0.25">
      <c r="A156" s="101" t="str">
        <f>'Data shares'!C152</f>
        <v>OFSS</v>
      </c>
      <c r="B156" s="144">
        <f>VLOOKUP($A156,'Data shares'!$C:$FA,7)</f>
        <v>9694.5</v>
      </c>
      <c r="C156" s="144">
        <f>VLOOKUP($A156,'Data shares'!$C:$FA,3)</f>
        <v>9645</v>
      </c>
      <c r="D156" s="144">
        <f>VLOOKUP($A156,'Data shares'!$C:$FA,23)</f>
        <v>-49.5</v>
      </c>
      <c r="E156" s="145">
        <f>VLOOKUP($A156,'Data shares'!$C:$FA,26)*100</f>
        <v>-0.51</v>
      </c>
      <c r="F156" s="144">
        <f>VLOOKUP($A156,'Data shares'!$C:$FA,24)</f>
        <v>-41.5</v>
      </c>
      <c r="G156" s="144">
        <f>VLOOKUP($A156,'Data shares'!$C:$FA,25)</f>
        <v>-8</v>
      </c>
    </row>
    <row r="157" spans="1:7" x14ac:dyDescent="0.25">
      <c r="A157" s="101" t="str">
        <f>'Data shares'!C153</f>
        <v>OIL</v>
      </c>
      <c r="B157" s="144">
        <f>VLOOKUP($A157,'Data shares'!$C:$FA,7)</f>
        <v>450.25</v>
      </c>
      <c r="C157" s="144">
        <f>VLOOKUP($A157,'Data shares'!$C:$FA,3)</f>
        <v>453.25</v>
      </c>
      <c r="D157" s="144">
        <f>VLOOKUP($A157,'Data shares'!$C:$FA,23)</f>
        <v>3</v>
      </c>
      <c r="E157" s="145">
        <f>VLOOKUP($A157,'Data shares'!$C:$FA,26)*100</f>
        <v>0.67</v>
      </c>
      <c r="F157" s="144">
        <f>VLOOKUP($A157,'Data shares'!$C:$FA,24)</f>
        <v>1.5</v>
      </c>
      <c r="G157" s="144">
        <f>VLOOKUP($A157,'Data shares'!$C:$FA,25)</f>
        <v>1.5</v>
      </c>
    </row>
    <row r="158" spans="1:7" x14ac:dyDescent="0.25">
      <c r="A158" s="101" t="str">
        <f>'Data shares'!C154</f>
        <v>ONGC</v>
      </c>
      <c r="B158" s="144">
        <f>VLOOKUP($A158,'Data shares'!$C:$FA,7)</f>
        <v>280.8</v>
      </c>
      <c r="C158" s="144">
        <f>VLOOKUP($A158,'Data shares'!$C:$FA,3)</f>
        <v>282.64999999999998</v>
      </c>
      <c r="D158" s="144">
        <f>VLOOKUP($A158,'Data shares'!$C:$FA,23)</f>
        <v>1.85</v>
      </c>
      <c r="E158" s="145">
        <f>VLOOKUP($A158,'Data shares'!$C:$FA,26)*100</f>
        <v>0.66</v>
      </c>
      <c r="F158" s="144">
        <f>VLOOKUP($A158,'Data shares'!$C:$FA,24)</f>
        <v>1.1000000000000001</v>
      </c>
      <c r="G158" s="144">
        <f>VLOOKUP($A158,'Data shares'!$C:$FA,25)</f>
        <v>0.75</v>
      </c>
    </row>
    <row r="159" spans="1:7" x14ac:dyDescent="0.25">
      <c r="A159" s="101" t="str">
        <f>'Data shares'!C155</f>
        <v>PAGEIND</v>
      </c>
      <c r="B159" s="144">
        <f>VLOOKUP($A159,'Data shares'!$C:$FA,7)</f>
        <v>37540</v>
      </c>
      <c r="C159" s="144">
        <f>VLOOKUP($A159,'Data shares'!$C:$FA,3)</f>
        <v>37750</v>
      </c>
      <c r="D159" s="144">
        <f>VLOOKUP($A159,'Data shares'!$C:$FA,23)</f>
        <v>210</v>
      </c>
      <c r="E159" s="145">
        <f>VLOOKUP($A159,'Data shares'!$C:$FA,26)*100</f>
        <v>0.55999999999999994</v>
      </c>
      <c r="F159" s="144">
        <f>VLOOKUP($A159,'Data shares'!$C:$FA,24)</f>
        <v>200</v>
      </c>
      <c r="G159" s="144">
        <f>VLOOKUP($A159,'Data shares'!$C:$FA,25)</f>
        <v>10</v>
      </c>
    </row>
    <row r="160" spans="1:7" x14ac:dyDescent="0.25">
      <c r="A160" s="101" t="str">
        <f>'Data shares'!C156</f>
        <v>PATANJALI</v>
      </c>
      <c r="B160" s="144">
        <f>VLOOKUP($A160,'Data shares'!$C:$FA,7)</f>
        <v>460.05</v>
      </c>
      <c r="C160" s="144">
        <f>VLOOKUP($A160,'Data shares'!$C:$FA,3)</f>
        <v>461.85</v>
      </c>
      <c r="D160" s="144">
        <f>VLOOKUP($A160,'Data shares'!$C:$FA,23)</f>
        <v>1.8</v>
      </c>
      <c r="E160" s="145">
        <f>VLOOKUP($A160,'Data shares'!$C:$FA,26)*100</f>
        <v>0.38999999999999996</v>
      </c>
      <c r="F160" s="144">
        <f>VLOOKUP($A160,'Data shares'!$C:$FA,24)</f>
        <v>0.2</v>
      </c>
      <c r="G160" s="144">
        <f>VLOOKUP($A160,'Data shares'!$C:$FA,25)</f>
        <v>1.6</v>
      </c>
    </row>
    <row r="161" spans="1:7" x14ac:dyDescent="0.25">
      <c r="A161" s="101" t="str">
        <f>'Data shares'!C157</f>
        <v>PAYTM</v>
      </c>
      <c r="B161" s="144">
        <f>VLOOKUP($A161,'Data shares'!$C:$FA,7)</f>
        <v>1110.5999999999999</v>
      </c>
      <c r="C161" s="144">
        <f>VLOOKUP($A161,'Data shares'!$C:$FA,3)</f>
        <v>1118</v>
      </c>
      <c r="D161" s="144">
        <f>VLOOKUP($A161,'Data shares'!$C:$FA,23)</f>
        <v>7.4</v>
      </c>
      <c r="E161" s="145">
        <f>VLOOKUP($A161,'Data shares'!$C:$FA,26)*100</f>
        <v>0.67</v>
      </c>
      <c r="F161" s="144">
        <f>VLOOKUP($A161,'Data shares'!$C:$FA,24)</f>
        <v>4</v>
      </c>
      <c r="G161" s="144">
        <f>VLOOKUP($A161,'Data shares'!$C:$FA,25)</f>
        <v>3.4</v>
      </c>
    </row>
    <row r="162" spans="1:7" x14ac:dyDescent="0.25">
      <c r="A162" s="101" t="str">
        <f>'Data shares'!C158</f>
        <v>PERSISTENT</v>
      </c>
      <c r="B162" s="144">
        <f>VLOOKUP($A162,'Data shares'!$C:$FA,7)</f>
        <v>5014</v>
      </c>
      <c r="C162" s="144">
        <f>VLOOKUP($A162,'Data shares'!$C:$FA,3)</f>
        <v>5040.7</v>
      </c>
      <c r="D162" s="144">
        <f>VLOOKUP($A162,'Data shares'!$C:$FA,23)</f>
        <v>26.7</v>
      </c>
      <c r="E162" s="145">
        <f>VLOOKUP($A162,'Data shares'!$C:$FA,26)*100</f>
        <v>0.53</v>
      </c>
      <c r="F162" s="144">
        <f>VLOOKUP($A162,'Data shares'!$C:$FA,24)</f>
        <v>22.4</v>
      </c>
      <c r="G162" s="144">
        <f>VLOOKUP($A162,'Data shares'!$C:$FA,25)</f>
        <v>4.3</v>
      </c>
    </row>
    <row r="163" spans="1:7" x14ac:dyDescent="0.25">
      <c r="A163" s="101" t="str">
        <f>'Data shares'!C159</f>
        <v>PETRONET</v>
      </c>
      <c r="B163" s="144">
        <f>VLOOKUP($A163,'Data shares'!$C:$FA,7)</f>
        <v>283.3</v>
      </c>
      <c r="C163" s="144">
        <f>VLOOKUP($A163,'Data shares'!$C:$FA,3)</f>
        <v>284.5</v>
      </c>
      <c r="D163" s="144">
        <f>VLOOKUP($A163,'Data shares'!$C:$FA,23)</f>
        <v>1.2</v>
      </c>
      <c r="E163" s="145">
        <f>VLOOKUP($A163,'Data shares'!$C:$FA,26)*100</f>
        <v>0.42</v>
      </c>
      <c r="F163" s="144">
        <f>VLOOKUP($A163,'Data shares'!$C:$FA,24)</f>
        <v>1.05</v>
      </c>
      <c r="G163" s="144">
        <f>VLOOKUP($A163,'Data shares'!$C:$FA,25)</f>
        <v>0.15</v>
      </c>
    </row>
    <row r="164" spans="1:7" x14ac:dyDescent="0.25">
      <c r="A164" s="101" t="str">
        <f>'Data shares'!C160</f>
        <v>PFC</v>
      </c>
      <c r="B164" s="144">
        <f>VLOOKUP($A164,'Data shares'!$C:$FA,7)</f>
        <v>463.9</v>
      </c>
      <c r="C164" s="144">
        <f>VLOOKUP($A164,'Data shares'!$C:$FA,3)</f>
        <v>466.35</v>
      </c>
      <c r="D164" s="144">
        <f>VLOOKUP($A164,'Data shares'!$C:$FA,23)</f>
        <v>2.4500000000000002</v>
      </c>
      <c r="E164" s="145">
        <f>VLOOKUP($A164,'Data shares'!$C:$FA,26)*100</f>
        <v>0.53</v>
      </c>
      <c r="F164" s="144">
        <f>VLOOKUP($A164,'Data shares'!$C:$FA,24)</f>
        <v>2.2000000000000002</v>
      </c>
      <c r="G164" s="144">
        <f>VLOOKUP($A164,'Data shares'!$C:$FA,25)</f>
        <v>0.25</v>
      </c>
    </row>
    <row r="165" spans="1:7" x14ac:dyDescent="0.25">
      <c r="A165" s="101" t="str">
        <f>'Data shares'!C161</f>
        <v>PGEL</v>
      </c>
      <c r="B165" s="144">
        <f>VLOOKUP($A165,'Data shares'!$C:$FA,7)</f>
        <v>544.5</v>
      </c>
      <c r="C165" s="144">
        <f>VLOOKUP($A165,'Data shares'!$C:$FA,3)</f>
        <v>548.4</v>
      </c>
      <c r="D165" s="144">
        <f>VLOOKUP($A165,'Data shares'!$C:$FA,23)</f>
        <v>3.9</v>
      </c>
      <c r="E165" s="145">
        <f>VLOOKUP($A165,'Data shares'!$C:$FA,26)*100</f>
        <v>0.72</v>
      </c>
      <c r="F165" s="144">
        <f>VLOOKUP($A165,'Data shares'!$C:$FA,24)</f>
        <v>1.8</v>
      </c>
      <c r="G165" s="144">
        <f>VLOOKUP($A165,'Data shares'!$C:$FA,25)</f>
        <v>2.1</v>
      </c>
    </row>
    <row r="166" spans="1:7" x14ac:dyDescent="0.25">
      <c r="A166" s="101" t="str">
        <f>'Data shares'!C162</f>
        <v>PHOENIXLTD</v>
      </c>
      <c r="B166" s="144">
        <f>VLOOKUP($A166,'Data shares'!$C:$FA,7)</f>
        <v>1839.1</v>
      </c>
      <c r="C166" s="144">
        <f>VLOOKUP($A166,'Data shares'!$C:$FA,3)</f>
        <v>1846.4</v>
      </c>
      <c r="D166" s="144">
        <f>VLOOKUP($A166,'Data shares'!$C:$FA,23)</f>
        <v>7.3</v>
      </c>
      <c r="E166" s="145">
        <f>VLOOKUP($A166,'Data shares'!$C:$FA,26)*100</f>
        <v>0.4</v>
      </c>
      <c r="F166" s="144">
        <f>VLOOKUP($A166,'Data shares'!$C:$FA,24)</f>
        <v>10.8</v>
      </c>
      <c r="G166" s="144">
        <f>VLOOKUP($A166,'Data shares'!$C:$FA,25)</f>
        <v>-3.5</v>
      </c>
    </row>
    <row r="167" spans="1:7" x14ac:dyDescent="0.25">
      <c r="A167" s="101" t="str">
        <f>'Data shares'!C163</f>
        <v>PIDILITIND</v>
      </c>
      <c r="B167" s="144">
        <f>VLOOKUP($A167,'Data shares'!$C:$FA,7)</f>
        <v>1421.5</v>
      </c>
      <c r="C167" s="144">
        <f>VLOOKUP($A167,'Data shares'!$C:$FA,3)</f>
        <v>1431.3</v>
      </c>
      <c r="D167" s="144">
        <f>VLOOKUP($A167,'Data shares'!$C:$FA,23)</f>
        <v>9.8000000000000007</v>
      </c>
      <c r="E167" s="145">
        <f>VLOOKUP($A167,'Data shares'!$C:$FA,26)*100</f>
        <v>0.69</v>
      </c>
      <c r="F167" s="144">
        <f>VLOOKUP($A167,'Data shares'!$C:$FA,24)</f>
        <v>7.9</v>
      </c>
      <c r="G167" s="144">
        <f>VLOOKUP($A167,'Data shares'!$C:$FA,25)</f>
        <v>1.9</v>
      </c>
    </row>
    <row r="168" spans="1:7" s="175" customFormat="1" x14ac:dyDescent="0.25">
      <c r="A168" s="101" t="str">
        <f>'Data shares'!C164</f>
        <v>PIIND</v>
      </c>
      <c r="B168" s="144">
        <f>VLOOKUP($A168,'Data shares'!$C:$FA,7)</f>
        <v>3071</v>
      </c>
      <c r="C168" s="144">
        <f>VLOOKUP($A168,'Data shares'!$C:$FA,3)</f>
        <v>3091.6</v>
      </c>
      <c r="D168" s="144">
        <f>VLOOKUP($A168,'Data shares'!$C:$FA,23)</f>
        <v>20.6</v>
      </c>
      <c r="E168" s="145">
        <f>VLOOKUP($A168,'Data shares'!$C:$FA,26)*100</f>
        <v>0.67</v>
      </c>
      <c r="F168" s="144">
        <f>VLOOKUP($A168,'Data shares'!$C:$FA,24)</f>
        <v>12.7</v>
      </c>
      <c r="G168" s="144">
        <f>VLOOKUP($A168,'Data shares'!$C:$FA,25)</f>
        <v>7.9</v>
      </c>
    </row>
    <row r="169" spans="1:7" x14ac:dyDescent="0.25">
      <c r="A169" s="101" t="str">
        <f>'Data shares'!C165</f>
        <v>PNB</v>
      </c>
      <c r="B169" s="144">
        <f>VLOOKUP($A169,'Data shares'!$C:$FA,7)</f>
        <v>110.18</v>
      </c>
      <c r="C169" s="144">
        <f>VLOOKUP($A169,'Data shares'!$C:$FA,3)</f>
        <v>110.95</v>
      </c>
      <c r="D169" s="144">
        <f>VLOOKUP($A169,'Data shares'!$C:$FA,23)</f>
        <v>0.77</v>
      </c>
      <c r="E169" s="145">
        <f>VLOOKUP($A169,'Data shares'!$C:$FA,26)*100</f>
        <v>0.70000000000000007</v>
      </c>
      <c r="F169" s="144">
        <f>VLOOKUP($A169,'Data shares'!$C:$FA,24)</f>
        <v>0.27</v>
      </c>
      <c r="G169" s="144">
        <f>VLOOKUP($A169,'Data shares'!$C:$FA,25)</f>
        <v>0.5</v>
      </c>
    </row>
    <row r="170" spans="1:7" x14ac:dyDescent="0.25">
      <c r="A170" s="101" t="str">
        <f>'Data shares'!C166</f>
        <v>PNBHOUSING</v>
      </c>
      <c r="B170" s="144">
        <f>VLOOKUP($A170,'Data shares'!$C:$FA,7)</f>
        <v>1065.0999999999999</v>
      </c>
      <c r="C170" s="144">
        <f>VLOOKUP($A170,'Data shares'!$C:$FA,3)</f>
        <v>1070.4000000000001</v>
      </c>
      <c r="D170" s="144">
        <f>VLOOKUP($A170,'Data shares'!$C:$FA,23)</f>
        <v>5.3</v>
      </c>
      <c r="E170" s="145">
        <f>VLOOKUP($A170,'Data shares'!$C:$FA,26)*100</f>
        <v>0.5</v>
      </c>
      <c r="F170" s="144">
        <f>VLOOKUP($A170,'Data shares'!$C:$FA,24)</f>
        <v>6.2</v>
      </c>
      <c r="G170" s="144">
        <f>VLOOKUP($A170,'Data shares'!$C:$FA,25)</f>
        <v>-0.9</v>
      </c>
    </row>
    <row r="171" spans="1:7" x14ac:dyDescent="0.25">
      <c r="A171" s="101" t="str">
        <f>'Data shares'!C167</f>
        <v>POLICYBZR</v>
      </c>
      <c r="B171" s="144">
        <f>VLOOKUP($A171,'Data shares'!$C:$FA,7)</f>
        <v>1701.8</v>
      </c>
      <c r="C171" s="144">
        <f>VLOOKUP($A171,'Data shares'!$C:$FA,3)</f>
        <v>1714.1</v>
      </c>
      <c r="D171" s="144">
        <f>VLOOKUP($A171,'Data shares'!$C:$FA,23)</f>
        <v>12.3</v>
      </c>
      <c r="E171" s="145">
        <f>VLOOKUP($A171,'Data shares'!$C:$FA,26)*100</f>
        <v>0.72</v>
      </c>
      <c r="F171" s="144">
        <f>VLOOKUP($A171,'Data shares'!$C:$FA,24)</f>
        <v>9.1999999999999993</v>
      </c>
      <c r="G171" s="144">
        <f>VLOOKUP($A171,'Data shares'!$C:$FA,25)</f>
        <v>3.1</v>
      </c>
    </row>
    <row r="172" spans="1:7" x14ac:dyDescent="0.25">
      <c r="A172" s="101" t="str">
        <f>'Data shares'!C168</f>
        <v>POLYCAB</v>
      </c>
      <c r="B172" s="144">
        <f>VLOOKUP($A172,'Data shares'!$C:$FA,7)</f>
        <v>8415.5</v>
      </c>
      <c r="C172" s="144">
        <f>VLOOKUP($A172,'Data shares'!$C:$FA,3)</f>
        <v>8472</v>
      </c>
      <c r="D172" s="144">
        <f>VLOOKUP($A172,'Data shares'!$C:$FA,23)</f>
        <v>56.5</v>
      </c>
      <c r="E172" s="145">
        <f>VLOOKUP($A172,'Data shares'!$C:$FA,26)*100</f>
        <v>0.67</v>
      </c>
      <c r="F172" s="144">
        <f>VLOOKUP($A172,'Data shares'!$C:$FA,24)</f>
        <v>29.5</v>
      </c>
      <c r="G172" s="144">
        <f>VLOOKUP($A172,'Data shares'!$C:$FA,25)</f>
        <v>27</v>
      </c>
    </row>
    <row r="173" spans="1:7" x14ac:dyDescent="0.25">
      <c r="A173" s="101" t="str">
        <f>'Data shares'!C169</f>
        <v>POWERGRID</v>
      </c>
      <c r="B173" s="144">
        <f>VLOOKUP($A173,'Data shares'!$C:$FA,7)</f>
        <v>315.95</v>
      </c>
      <c r="C173" s="144">
        <f>VLOOKUP($A173,'Data shares'!$C:$FA,3)</f>
        <v>316.75</v>
      </c>
      <c r="D173" s="144">
        <f>VLOOKUP($A173,'Data shares'!$C:$FA,23)</f>
        <v>0.8</v>
      </c>
      <c r="E173" s="145">
        <f>VLOOKUP($A173,'Data shares'!$C:$FA,26)*100</f>
        <v>0.25</v>
      </c>
      <c r="F173" s="144">
        <f>VLOOKUP($A173,'Data shares'!$C:$FA,24)</f>
        <v>0.2</v>
      </c>
      <c r="G173" s="144">
        <f>VLOOKUP($A173,'Data shares'!$C:$FA,25)</f>
        <v>0.6</v>
      </c>
    </row>
    <row r="174" spans="1:7" x14ac:dyDescent="0.25">
      <c r="A174" s="101" t="str">
        <f>'Data shares'!C170</f>
        <v>POWERINDIA</v>
      </c>
      <c r="B174" s="144">
        <f>VLOOKUP($A174,'Data shares'!$C:$FA,7)</f>
        <v>33380</v>
      </c>
      <c r="C174" s="144">
        <f>VLOOKUP($A174,'Data shares'!$C:$FA,3)</f>
        <v>33600</v>
      </c>
      <c r="D174" s="144">
        <f>VLOOKUP($A174,'Data shares'!$C:$FA,23)</f>
        <v>220</v>
      </c>
      <c r="E174" s="145">
        <f>VLOOKUP($A174,'Data shares'!$C:$FA,26)*100</f>
        <v>0.66</v>
      </c>
      <c r="F174" s="144">
        <f>VLOOKUP($A174,'Data shares'!$C:$FA,24)</f>
        <v>60</v>
      </c>
      <c r="G174" s="144">
        <f>VLOOKUP($A174,'Data shares'!$C:$FA,25)</f>
        <v>160</v>
      </c>
    </row>
    <row r="175" spans="1:7" x14ac:dyDescent="0.25">
      <c r="A175" s="101" t="str">
        <f>'Data shares'!C171</f>
        <v>PREMIERENE</v>
      </c>
      <c r="B175" s="144">
        <f>VLOOKUP($A175,'Data shares'!$C:$FA,7)</f>
        <v>1033</v>
      </c>
      <c r="C175" s="144">
        <f>VLOOKUP($A175,'Data shares'!$C:$FA,3)</f>
        <v>1019.7</v>
      </c>
      <c r="D175" s="144">
        <f>VLOOKUP($A175,'Data shares'!$C:$FA,23)</f>
        <v>-13.3</v>
      </c>
      <c r="E175" s="145">
        <f>VLOOKUP($A175,'Data shares'!$C:$FA,26)*100</f>
        <v>-1.29</v>
      </c>
      <c r="F175" s="144">
        <f>VLOOKUP($A175,'Data shares'!$C:$FA,24)</f>
        <v>-12.6</v>
      </c>
      <c r="G175" s="144">
        <f>VLOOKUP($A175,'Data shares'!$C:$FA,25)</f>
        <v>-0.7</v>
      </c>
    </row>
    <row r="176" spans="1:7" x14ac:dyDescent="0.25">
      <c r="A176" s="101" t="str">
        <f>'Data shares'!C172</f>
        <v>PRESTIGE</v>
      </c>
      <c r="B176" s="144">
        <f>VLOOKUP($A176,'Data shares'!$C:$FA,7)</f>
        <v>1455.2</v>
      </c>
      <c r="C176" s="144">
        <f>VLOOKUP($A176,'Data shares'!$C:$FA,3)</f>
        <v>1464.9</v>
      </c>
      <c r="D176" s="144">
        <f>VLOOKUP($A176,'Data shares'!$C:$FA,23)</f>
        <v>9.6999999999999993</v>
      </c>
      <c r="E176" s="145">
        <f>VLOOKUP($A176,'Data shares'!$C:$FA,26)*100</f>
        <v>0.67</v>
      </c>
      <c r="F176" s="144">
        <f>VLOOKUP($A176,'Data shares'!$C:$FA,24)</f>
        <v>8</v>
      </c>
      <c r="G176" s="144">
        <f>VLOOKUP($A176,'Data shares'!$C:$FA,25)</f>
        <v>1.7</v>
      </c>
    </row>
    <row r="177" spans="1:7" x14ac:dyDescent="0.25">
      <c r="A177" s="101" t="str">
        <f>'Data shares'!C173</f>
        <v>RBLBANK</v>
      </c>
      <c r="B177" s="144">
        <f>VLOOKUP($A177,'Data shares'!$C:$FA,7)</f>
        <v>335.85</v>
      </c>
      <c r="C177" s="144">
        <f>VLOOKUP($A177,'Data shares'!$C:$FA,3)</f>
        <v>338.15</v>
      </c>
      <c r="D177" s="144">
        <f>VLOOKUP($A177,'Data shares'!$C:$FA,23)</f>
        <v>2.2999999999999998</v>
      </c>
      <c r="E177" s="145">
        <f>VLOOKUP($A177,'Data shares'!$C:$FA,26)*100</f>
        <v>0.67999999999999994</v>
      </c>
      <c r="F177" s="144">
        <f>VLOOKUP($A177,'Data shares'!$C:$FA,24)</f>
        <v>0.75</v>
      </c>
      <c r="G177" s="144">
        <f>VLOOKUP($A177,'Data shares'!$C:$FA,25)</f>
        <v>1.55</v>
      </c>
    </row>
    <row r="178" spans="1:7" x14ac:dyDescent="0.25">
      <c r="A178" s="101" t="str">
        <f>'Data shares'!C174</f>
        <v>RECLTD</v>
      </c>
      <c r="B178" s="144">
        <f>VLOOKUP($A178,'Data shares'!$C:$FA,7)</f>
        <v>359.1</v>
      </c>
      <c r="C178" s="144">
        <f>VLOOKUP($A178,'Data shares'!$C:$FA,3)</f>
        <v>361.45</v>
      </c>
      <c r="D178" s="144">
        <f>VLOOKUP($A178,'Data shares'!$C:$FA,23)</f>
        <v>2.35</v>
      </c>
      <c r="E178" s="145">
        <f>VLOOKUP($A178,'Data shares'!$C:$FA,26)*100</f>
        <v>0.65</v>
      </c>
      <c r="F178" s="144">
        <f>VLOOKUP($A178,'Data shares'!$C:$FA,24)</f>
        <v>2.2000000000000002</v>
      </c>
      <c r="G178" s="144">
        <f>VLOOKUP($A178,'Data shares'!$C:$FA,25)</f>
        <v>0.15</v>
      </c>
    </row>
    <row r="179" spans="1:7" x14ac:dyDescent="0.25">
      <c r="A179" s="101" t="str">
        <f>'Data shares'!C175</f>
        <v>RELIANCE</v>
      </c>
      <c r="B179" s="144">
        <f>VLOOKUP($A179,'Data shares'!$C:$FA,7)</f>
        <v>1437.9</v>
      </c>
      <c r="C179" s="144">
        <f>VLOOKUP($A179,'Data shares'!$C:$FA,3)</f>
        <v>1446.2</v>
      </c>
      <c r="D179" s="144">
        <f>VLOOKUP($A179,'Data shares'!$C:$FA,23)</f>
        <v>8.3000000000000007</v>
      </c>
      <c r="E179" s="145">
        <f>VLOOKUP($A179,'Data shares'!$C:$FA,26)*100</f>
        <v>0.57999999999999996</v>
      </c>
      <c r="F179" s="144">
        <f>VLOOKUP($A179,'Data shares'!$C:$FA,24)</f>
        <v>3.8</v>
      </c>
      <c r="G179" s="144">
        <f>VLOOKUP($A179,'Data shares'!$C:$FA,25)</f>
        <v>4.5</v>
      </c>
    </row>
    <row r="180" spans="1:7" x14ac:dyDescent="0.25">
      <c r="A180" s="101" t="str">
        <f>'Data shares'!C176</f>
        <v>RVNL</v>
      </c>
      <c r="B180" s="144">
        <f>VLOOKUP($A180,'Data shares'!$C:$FA,7)</f>
        <v>305.10000000000002</v>
      </c>
      <c r="C180" s="144">
        <f>VLOOKUP($A180,'Data shares'!$C:$FA,3)</f>
        <v>304.25</v>
      </c>
      <c r="D180" s="144">
        <f>VLOOKUP($A180,'Data shares'!$C:$FA,23)</f>
        <v>-0.85</v>
      </c>
      <c r="E180" s="145">
        <f>VLOOKUP($A180,'Data shares'!$C:$FA,26)*100</f>
        <v>-0.27999999999999997</v>
      </c>
      <c r="F180" s="144">
        <f>VLOOKUP($A180,'Data shares'!$C:$FA,24)</f>
        <v>-2.15</v>
      </c>
      <c r="G180" s="144">
        <f>VLOOKUP($A180,'Data shares'!$C:$FA,25)</f>
        <v>1.3</v>
      </c>
    </row>
    <row r="181" spans="1:7" x14ac:dyDescent="0.25">
      <c r="A181" s="101" t="str">
        <f>'Data shares'!C177</f>
        <v>SAIL</v>
      </c>
      <c r="B181" s="144">
        <f>VLOOKUP($A181,'Data shares'!$C:$FA,7)</f>
        <v>186.04</v>
      </c>
      <c r="C181" s="144">
        <f>VLOOKUP($A181,'Data shares'!$C:$FA,3)</f>
        <v>187.47</v>
      </c>
      <c r="D181" s="144">
        <f>VLOOKUP($A181,'Data shares'!$C:$FA,23)</f>
        <v>1.43</v>
      </c>
      <c r="E181" s="145">
        <f>VLOOKUP($A181,'Data shares'!$C:$FA,26)*100</f>
        <v>0.77</v>
      </c>
      <c r="F181" s="144">
        <f>VLOOKUP($A181,'Data shares'!$C:$FA,24)</f>
        <v>1.19</v>
      </c>
      <c r="G181" s="144">
        <f>VLOOKUP($A181,'Data shares'!$C:$FA,25)</f>
        <v>0.24</v>
      </c>
    </row>
    <row r="182" spans="1:7" x14ac:dyDescent="0.25">
      <c r="A182" s="101" t="str">
        <f>'Data shares'!C178</f>
        <v>SAMMAANCAP</v>
      </c>
      <c r="B182" s="144">
        <f>VLOOKUP($A182,'Data shares'!$C:$FA,7)</f>
        <v>149.78</v>
      </c>
      <c r="C182" s="144">
        <f>VLOOKUP($A182,'Data shares'!$C:$FA,3)</f>
        <v>150.6</v>
      </c>
      <c r="D182" s="144">
        <f>VLOOKUP($A182,'Data shares'!$C:$FA,23)</f>
        <v>0.82</v>
      </c>
      <c r="E182" s="145">
        <f>VLOOKUP($A182,'Data shares'!$C:$FA,26)*100</f>
        <v>0.54999999999999993</v>
      </c>
      <c r="F182" s="144">
        <f>VLOOKUP($A182,'Data shares'!$C:$FA,24)</f>
        <v>0.86</v>
      </c>
      <c r="G182" s="144">
        <f>VLOOKUP($A182,'Data shares'!$C:$FA,25)</f>
        <v>-0.04</v>
      </c>
    </row>
    <row r="183" spans="1:7" x14ac:dyDescent="0.25">
      <c r="A183" s="101" t="str">
        <f>'Data shares'!C179</f>
        <v>SBICARD</v>
      </c>
      <c r="B183" s="144">
        <f>VLOOKUP($A183,'Data shares'!$C:$FA,7)</f>
        <v>649.65</v>
      </c>
      <c r="C183" s="144">
        <f>VLOOKUP($A183,'Data shares'!$C:$FA,3)</f>
        <v>654</v>
      </c>
      <c r="D183" s="144">
        <f>VLOOKUP($A183,'Data shares'!$C:$FA,23)</f>
        <v>4.3499999999999996</v>
      </c>
      <c r="E183" s="145">
        <f>VLOOKUP($A183,'Data shares'!$C:$FA,26)*100</f>
        <v>0.67</v>
      </c>
      <c r="F183" s="144">
        <f>VLOOKUP($A183,'Data shares'!$C:$FA,24)</f>
        <v>2.15</v>
      </c>
      <c r="G183" s="144">
        <f>VLOOKUP($A183,'Data shares'!$C:$FA,25)</f>
        <v>2.2000000000000002</v>
      </c>
    </row>
    <row r="184" spans="1:7" x14ac:dyDescent="0.25">
      <c r="A184" s="101" t="str">
        <f>'Data shares'!C180</f>
        <v>SBILIFE</v>
      </c>
      <c r="B184" s="144">
        <f>VLOOKUP($A184,'Data shares'!$C:$FA,7)</f>
        <v>1859</v>
      </c>
      <c r="C184" s="144">
        <f>VLOOKUP($A184,'Data shares'!$C:$FA,3)</f>
        <v>1866.4</v>
      </c>
      <c r="D184" s="144">
        <f>VLOOKUP($A184,'Data shares'!$C:$FA,23)</f>
        <v>7.4</v>
      </c>
      <c r="E184" s="145">
        <f>VLOOKUP($A184,'Data shares'!$C:$FA,26)*100</f>
        <v>0.4</v>
      </c>
      <c r="F184" s="144">
        <f>VLOOKUP($A184,'Data shares'!$C:$FA,24)</f>
        <v>4.3</v>
      </c>
      <c r="G184" s="144">
        <f>VLOOKUP($A184,'Data shares'!$C:$FA,25)</f>
        <v>3.1</v>
      </c>
    </row>
    <row r="185" spans="1:7" x14ac:dyDescent="0.25">
      <c r="A185" s="101" t="str">
        <f>'Data shares'!C181</f>
        <v>SBIN</v>
      </c>
      <c r="B185" s="144">
        <f>VLOOKUP($A185,'Data shares'!$C:$FA,7)</f>
        <v>1096</v>
      </c>
      <c r="C185" s="144">
        <f>VLOOKUP($A185,'Data shares'!$C:$FA,3)</f>
        <v>1090.2</v>
      </c>
      <c r="D185" s="144">
        <f>VLOOKUP($A185,'Data shares'!$C:$FA,23)</f>
        <v>-5.8</v>
      </c>
      <c r="E185" s="145">
        <f>VLOOKUP($A185,'Data shares'!$C:$FA,26)*100</f>
        <v>-0.53</v>
      </c>
      <c r="F185" s="144">
        <f>VLOOKUP($A185,'Data shares'!$C:$FA,24)</f>
        <v>-8.1</v>
      </c>
      <c r="G185" s="144">
        <f>VLOOKUP($A185,'Data shares'!$C:$FA,25)</f>
        <v>2.2999999999999998</v>
      </c>
    </row>
    <row r="186" spans="1:7" x14ac:dyDescent="0.25">
      <c r="A186" s="101" t="str">
        <f>'Data shares'!C182</f>
        <v>SHREECEM</v>
      </c>
      <c r="B186" s="144">
        <f>VLOOKUP($A186,'Data shares'!$C:$FA,7)</f>
        <v>24975</v>
      </c>
      <c r="C186" s="144">
        <f>VLOOKUP($A186,'Data shares'!$C:$FA,3)</f>
        <v>24795</v>
      </c>
      <c r="D186" s="144">
        <f>VLOOKUP($A186,'Data shares'!$C:$FA,23)</f>
        <v>-180</v>
      </c>
      <c r="E186" s="145">
        <f>VLOOKUP($A186,'Data shares'!$C:$FA,26)*100</f>
        <v>-0.72</v>
      </c>
      <c r="F186" s="144">
        <f>VLOOKUP($A186,'Data shares'!$C:$FA,24)</f>
        <v>-335</v>
      </c>
      <c r="G186" s="144">
        <f>VLOOKUP($A186,'Data shares'!$C:$FA,25)</f>
        <v>155</v>
      </c>
    </row>
    <row r="187" spans="1:7" x14ac:dyDescent="0.25">
      <c r="A187" s="101" t="str">
        <f>'Data shares'!C183</f>
        <v>SHRIRAMFIN</v>
      </c>
      <c r="B187" s="144">
        <f>VLOOKUP($A187,'Data shares'!$C:$FA,7)</f>
        <v>1004.1</v>
      </c>
      <c r="C187" s="144">
        <f>VLOOKUP($A187,'Data shares'!$C:$FA,3)</f>
        <v>1010.5</v>
      </c>
      <c r="D187" s="144">
        <f>VLOOKUP($A187,'Data shares'!$C:$FA,23)</f>
        <v>6.4</v>
      </c>
      <c r="E187" s="145">
        <f>VLOOKUP($A187,'Data shares'!$C:$FA,26)*100</f>
        <v>0.64</v>
      </c>
      <c r="F187" s="144">
        <f>VLOOKUP($A187,'Data shares'!$C:$FA,24)</f>
        <v>3</v>
      </c>
      <c r="G187" s="144">
        <f>VLOOKUP($A187,'Data shares'!$C:$FA,25)</f>
        <v>3.4</v>
      </c>
    </row>
    <row r="188" spans="1:7" x14ac:dyDescent="0.25">
      <c r="A188" s="101" t="str">
        <f>'Data shares'!C184</f>
        <v>SIEMENS</v>
      </c>
      <c r="B188" s="144">
        <f>VLOOKUP($A188,'Data shares'!$C:$FA,7)</f>
        <v>3841.8</v>
      </c>
      <c r="C188" s="144">
        <f>VLOOKUP($A188,'Data shares'!$C:$FA,3)</f>
        <v>3839.6</v>
      </c>
      <c r="D188" s="144">
        <f>VLOOKUP($A188,'Data shares'!$C:$FA,23)</f>
        <v>-2.2000000000000002</v>
      </c>
      <c r="E188" s="145">
        <f>VLOOKUP($A188,'Data shares'!$C:$FA,26)*100</f>
        <v>-0.06</v>
      </c>
      <c r="F188" s="144">
        <f>VLOOKUP($A188,'Data shares'!$C:$FA,24)</f>
        <v>15.8</v>
      </c>
      <c r="G188" s="144">
        <f>VLOOKUP($A188,'Data shares'!$C:$FA,25)</f>
        <v>-18</v>
      </c>
    </row>
    <row r="189" spans="1:7" x14ac:dyDescent="0.25">
      <c r="A189" s="101" t="str">
        <f>'Data shares'!C185</f>
        <v>SOLARINDS</v>
      </c>
      <c r="B189" s="144">
        <f>VLOOKUP($A189,'Data shares'!$C:$FA,7)</f>
        <v>15740</v>
      </c>
      <c r="C189" s="144">
        <f>VLOOKUP($A189,'Data shares'!$C:$FA,3)</f>
        <v>15785</v>
      </c>
      <c r="D189" s="144">
        <f>VLOOKUP($A189,'Data shares'!$C:$FA,23)</f>
        <v>45</v>
      </c>
      <c r="E189" s="145">
        <f>VLOOKUP($A189,'Data shares'!$C:$FA,26)*100</f>
        <v>0.28999999999999998</v>
      </c>
      <c r="F189" s="144">
        <f>VLOOKUP($A189,'Data shares'!$C:$FA,24)</f>
        <v>74</v>
      </c>
      <c r="G189" s="144">
        <f>VLOOKUP($A189,'Data shares'!$C:$FA,25)</f>
        <v>-29</v>
      </c>
    </row>
    <row r="190" spans="1:7" x14ac:dyDescent="0.25">
      <c r="A190" s="101" t="str">
        <f>'Data shares'!C186</f>
        <v>SONACOMS</v>
      </c>
      <c r="B190" s="144">
        <f>VLOOKUP($A190,'Data shares'!$C:$FA,7)</f>
        <v>582.6</v>
      </c>
      <c r="C190" s="144">
        <f>VLOOKUP($A190,'Data shares'!$C:$FA,3)</f>
        <v>586.45000000000005</v>
      </c>
      <c r="D190" s="144">
        <f>VLOOKUP($A190,'Data shares'!$C:$FA,23)</f>
        <v>3.85</v>
      </c>
      <c r="E190" s="145">
        <f>VLOOKUP($A190,'Data shares'!$C:$FA,26)*100</f>
        <v>0.66</v>
      </c>
      <c r="F190" s="144">
        <f>VLOOKUP($A190,'Data shares'!$C:$FA,24)</f>
        <v>0.7</v>
      </c>
      <c r="G190" s="144">
        <f>VLOOKUP($A190,'Data shares'!$C:$FA,25)</f>
        <v>3.15</v>
      </c>
    </row>
    <row r="191" spans="1:7" x14ac:dyDescent="0.25">
      <c r="A191" s="101" t="str">
        <f>'Data shares'!C187</f>
        <v>SRF</v>
      </c>
      <c r="B191" s="144">
        <f>VLOOKUP($A191,'Data shares'!$C:$FA,7)</f>
        <v>2719.6</v>
      </c>
      <c r="C191" s="144">
        <f>VLOOKUP($A191,'Data shares'!$C:$FA,3)</f>
        <v>2735.6</v>
      </c>
      <c r="D191" s="144">
        <f>VLOOKUP($A191,'Data shares'!$C:$FA,23)</f>
        <v>16</v>
      </c>
      <c r="E191" s="145">
        <f>VLOOKUP($A191,'Data shares'!$C:$FA,26)*100</f>
        <v>0.59</v>
      </c>
      <c r="F191" s="144">
        <f>VLOOKUP($A191,'Data shares'!$C:$FA,24)</f>
        <v>19.7</v>
      </c>
      <c r="G191" s="144">
        <f>VLOOKUP($A191,'Data shares'!$C:$FA,25)</f>
        <v>-3.7</v>
      </c>
    </row>
    <row r="192" spans="1:7" x14ac:dyDescent="0.25">
      <c r="A192" s="101" t="str">
        <f>'Data shares'!C188</f>
        <v>SUNPHARMA</v>
      </c>
      <c r="B192" s="144">
        <f>VLOOKUP($A192,'Data shares'!$C:$FA,7)</f>
        <v>1850.2</v>
      </c>
      <c r="C192" s="144">
        <f>VLOOKUP($A192,'Data shares'!$C:$FA,3)</f>
        <v>1857.5</v>
      </c>
      <c r="D192" s="144">
        <f>VLOOKUP($A192,'Data shares'!$C:$FA,23)</f>
        <v>7.3</v>
      </c>
      <c r="E192" s="145">
        <f>VLOOKUP($A192,'Data shares'!$C:$FA,26)*100</f>
        <v>0.38999999999999996</v>
      </c>
      <c r="F192" s="144">
        <f>VLOOKUP($A192,'Data shares'!$C:$FA,24)</f>
        <v>4.5999999999999996</v>
      </c>
      <c r="G192" s="144">
        <f>VLOOKUP($A192,'Data shares'!$C:$FA,25)</f>
        <v>2.7</v>
      </c>
    </row>
    <row r="193" spans="1:7" x14ac:dyDescent="0.25">
      <c r="A193" s="101" t="str">
        <f>'Data shares'!C189</f>
        <v>SUPREMEIND</v>
      </c>
      <c r="B193" s="144">
        <f>VLOOKUP($A193,'Data shares'!$C:$FA,7)</f>
        <v>3709.4</v>
      </c>
      <c r="C193" s="144">
        <f>VLOOKUP($A193,'Data shares'!$C:$FA,3)</f>
        <v>3735.7</v>
      </c>
      <c r="D193" s="144">
        <f>VLOOKUP($A193,'Data shares'!$C:$FA,23)</f>
        <v>26.3</v>
      </c>
      <c r="E193" s="145">
        <f>VLOOKUP($A193,'Data shares'!$C:$FA,26)*100</f>
        <v>0.71000000000000008</v>
      </c>
      <c r="F193" s="144">
        <f>VLOOKUP($A193,'Data shares'!$C:$FA,24)</f>
        <v>19.600000000000001</v>
      </c>
      <c r="G193" s="144">
        <f>VLOOKUP($A193,'Data shares'!$C:$FA,25)</f>
        <v>6.7</v>
      </c>
    </row>
    <row r="194" spans="1:7" x14ac:dyDescent="0.25">
      <c r="A194" s="101" t="str">
        <f>'Data shares'!C190</f>
        <v>SUZLON</v>
      </c>
      <c r="B194" s="144">
        <f>VLOOKUP($A194,'Data shares'!$C:$FA,7)</f>
        <v>54.32</v>
      </c>
      <c r="C194" s="144">
        <f>VLOOKUP($A194,'Data shares'!$C:$FA,3)</f>
        <v>54.62</v>
      </c>
      <c r="D194" s="144">
        <f>VLOOKUP($A194,'Data shares'!$C:$FA,23)</f>
        <v>0.3</v>
      </c>
      <c r="E194" s="145">
        <f>VLOOKUP($A194,'Data shares'!$C:$FA,26)*100</f>
        <v>0.54999999999999993</v>
      </c>
      <c r="F194" s="144">
        <f>VLOOKUP($A194,'Data shares'!$C:$FA,24)</f>
        <v>0.22</v>
      </c>
      <c r="G194" s="144">
        <f>VLOOKUP($A194,'Data shares'!$C:$FA,25)</f>
        <v>0.08</v>
      </c>
    </row>
    <row r="195" spans="1:7" x14ac:dyDescent="0.25">
      <c r="A195" s="101" t="str">
        <f>'Data shares'!C191</f>
        <v>SWIGGY</v>
      </c>
      <c r="B195" s="144">
        <f>VLOOKUP($A195,'Data shares'!$C:$FA,7)</f>
        <v>279.85000000000002</v>
      </c>
      <c r="C195" s="144">
        <f>VLOOKUP($A195,'Data shares'!$C:$FA,3)</f>
        <v>281.60000000000002</v>
      </c>
      <c r="D195" s="144">
        <f>VLOOKUP($A195,'Data shares'!$C:$FA,23)</f>
        <v>1.75</v>
      </c>
      <c r="E195" s="145">
        <f>VLOOKUP($A195,'Data shares'!$C:$FA,26)*100</f>
        <v>0.63</v>
      </c>
      <c r="F195" s="144">
        <f>VLOOKUP($A195,'Data shares'!$C:$FA,24)</f>
        <v>1.1000000000000001</v>
      </c>
      <c r="G195" s="144">
        <f>VLOOKUP($A195,'Data shares'!$C:$FA,25)</f>
        <v>0.65</v>
      </c>
    </row>
    <row r="196" spans="1:7" x14ac:dyDescent="0.25">
      <c r="A196" s="101" t="str">
        <f>'Data shares'!C192</f>
        <v>TATACONSUM</v>
      </c>
      <c r="B196" s="144">
        <f>VLOOKUP($A196,'Data shares'!$C:$FA,7)</f>
        <v>1152.2</v>
      </c>
      <c r="C196" s="144">
        <f>VLOOKUP($A196,'Data shares'!$C:$FA,3)</f>
        <v>1158.5</v>
      </c>
      <c r="D196" s="144">
        <f>VLOOKUP($A196,'Data shares'!$C:$FA,23)</f>
        <v>6.3</v>
      </c>
      <c r="E196" s="145">
        <f>VLOOKUP($A196,'Data shares'!$C:$FA,26)*100</f>
        <v>0.54999999999999993</v>
      </c>
      <c r="F196" s="144">
        <f>VLOOKUP($A196,'Data shares'!$C:$FA,24)</f>
        <v>5.4</v>
      </c>
      <c r="G196" s="144">
        <f>VLOOKUP($A196,'Data shares'!$C:$FA,25)</f>
        <v>0.9</v>
      </c>
    </row>
    <row r="197" spans="1:7" x14ac:dyDescent="0.25">
      <c r="A197" s="101" t="str">
        <f>'Data shares'!C193</f>
        <v>TATAELXSI</v>
      </c>
      <c r="B197" s="144">
        <f>VLOOKUP($A197,'Data shares'!$C:$FA,7)</f>
        <v>4281.3</v>
      </c>
      <c r="C197" s="144">
        <f>VLOOKUP($A197,'Data shares'!$C:$FA,3)</f>
        <v>4284.7</v>
      </c>
      <c r="D197" s="144">
        <f>VLOOKUP($A197,'Data shares'!$C:$FA,23)</f>
        <v>3.4</v>
      </c>
      <c r="E197" s="145">
        <f>VLOOKUP($A197,'Data shares'!$C:$FA,26)*100</f>
        <v>0.08</v>
      </c>
      <c r="F197" s="144">
        <f>VLOOKUP($A197,'Data shares'!$C:$FA,24)</f>
        <v>-0.8</v>
      </c>
      <c r="G197" s="144">
        <f>VLOOKUP($A197,'Data shares'!$C:$FA,25)</f>
        <v>4.2</v>
      </c>
    </row>
    <row r="198" spans="1:7" x14ac:dyDescent="0.25">
      <c r="A198" s="101" t="str">
        <f>'Data shares'!C194</f>
        <v>TATAPOWER</v>
      </c>
      <c r="B198" s="144">
        <f>VLOOKUP($A198,'Data shares'!$C:$FA,7)</f>
        <v>443.25</v>
      </c>
      <c r="C198" s="144">
        <f>VLOOKUP($A198,'Data shares'!$C:$FA,3)</f>
        <v>445.05</v>
      </c>
      <c r="D198" s="144">
        <f>VLOOKUP($A198,'Data shares'!$C:$FA,23)</f>
        <v>1.8</v>
      </c>
      <c r="E198" s="145">
        <f>VLOOKUP($A198,'Data shares'!$C:$FA,26)*100</f>
        <v>0.41000000000000003</v>
      </c>
      <c r="F198" s="144">
        <f>VLOOKUP($A198,'Data shares'!$C:$FA,24)</f>
        <v>1.1000000000000001</v>
      </c>
      <c r="G198" s="144">
        <f>VLOOKUP($A198,'Data shares'!$C:$FA,25)</f>
        <v>0.7</v>
      </c>
    </row>
    <row r="199" spans="1:7" x14ac:dyDescent="0.25">
      <c r="A199" s="101" t="str">
        <f>'Data shares'!C195</f>
        <v>TATASTEEL</v>
      </c>
      <c r="B199" s="144">
        <f>VLOOKUP($A199,'Data shares'!$C:$FA,7)</f>
        <v>215.47</v>
      </c>
      <c r="C199" s="144">
        <f>VLOOKUP($A199,'Data shares'!$C:$FA,3)</f>
        <v>216.73</v>
      </c>
      <c r="D199" s="144">
        <f>VLOOKUP($A199,'Data shares'!$C:$FA,23)</f>
        <v>1.26</v>
      </c>
      <c r="E199" s="145">
        <f>VLOOKUP($A199,'Data shares'!$C:$FA,26)*100</f>
        <v>0.57999999999999996</v>
      </c>
      <c r="F199" s="144">
        <f>VLOOKUP($A199,'Data shares'!$C:$FA,24)</f>
        <v>1.1299999999999999</v>
      </c>
      <c r="G199" s="144">
        <f>VLOOKUP($A199,'Data shares'!$C:$FA,25)</f>
        <v>0.13</v>
      </c>
    </row>
    <row r="200" spans="1:7" x14ac:dyDescent="0.25">
      <c r="A200" s="101" t="str">
        <f>'Data shares'!C196</f>
        <v>TCS</v>
      </c>
      <c r="B200" s="144">
        <f>VLOOKUP($A200,'Data shares'!$C:$FA,7)</f>
        <v>2435.4</v>
      </c>
      <c r="C200" s="144">
        <f>VLOOKUP($A200,'Data shares'!$C:$FA,3)</f>
        <v>2409.5</v>
      </c>
      <c r="D200" s="144">
        <f>VLOOKUP($A200,'Data shares'!$C:$FA,23)</f>
        <v>-25.9</v>
      </c>
      <c r="E200" s="145">
        <f>VLOOKUP($A200,'Data shares'!$C:$FA,26)*100</f>
        <v>-1.06</v>
      </c>
      <c r="F200" s="144">
        <f>VLOOKUP($A200,'Data shares'!$C:$FA,24)</f>
        <v>-9.1</v>
      </c>
      <c r="G200" s="144">
        <f>VLOOKUP($A200,'Data shares'!$C:$FA,25)</f>
        <v>-16.8</v>
      </c>
    </row>
    <row r="201" spans="1:7" x14ac:dyDescent="0.25">
      <c r="A201" s="101" t="str">
        <f>'Data shares'!C197</f>
        <v>TECHM</v>
      </c>
      <c r="B201" s="144">
        <f>VLOOKUP($A201,'Data shares'!$C:$FA,7)</f>
        <v>1466.7</v>
      </c>
      <c r="C201" s="144">
        <f>VLOOKUP($A201,'Data shares'!$C:$FA,3)</f>
        <v>1466</v>
      </c>
      <c r="D201" s="144">
        <f>VLOOKUP($A201,'Data shares'!$C:$FA,23)</f>
        <v>-0.7</v>
      </c>
      <c r="E201" s="145">
        <f>VLOOKUP($A201,'Data shares'!$C:$FA,26)*100</f>
        <v>-0.05</v>
      </c>
      <c r="F201" s="144">
        <f>VLOOKUP($A201,'Data shares'!$C:$FA,24)</f>
        <v>1.6</v>
      </c>
      <c r="G201" s="144">
        <f>VLOOKUP($A201,'Data shares'!$C:$FA,25)</f>
        <v>-2.2999999999999998</v>
      </c>
    </row>
    <row r="202" spans="1:7" x14ac:dyDescent="0.25">
      <c r="A202" s="101" t="str">
        <f>'Data shares'!C198</f>
        <v>TIINDIA</v>
      </c>
      <c r="B202" s="144">
        <f>VLOOKUP($A202,'Data shares'!$C:$FA,7)</f>
        <v>2917</v>
      </c>
      <c r="C202" s="144">
        <f>VLOOKUP($A202,'Data shares'!$C:$FA,3)</f>
        <v>2937.7</v>
      </c>
      <c r="D202" s="144">
        <f>VLOOKUP($A202,'Data shares'!$C:$FA,23)</f>
        <v>20.7</v>
      </c>
      <c r="E202" s="145">
        <f>VLOOKUP($A202,'Data shares'!$C:$FA,26)*100</f>
        <v>0.71000000000000008</v>
      </c>
      <c r="F202" s="144">
        <f>VLOOKUP($A202,'Data shares'!$C:$FA,24)</f>
        <v>17.5</v>
      </c>
      <c r="G202" s="144">
        <f>VLOOKUP($A202,'Data shares'!$C:$FA,25)</f>
        <v>3.2</v>
      </c>
    </row>
    <row r="203" spans="1:7" x14ac:dyDescent="0.25">
      <c r="A203" s="101" t="str">
        <f>'Data shares'!C199</f>
        <v>TITAN</v>
      </c>
      <c r="B203" s="144">
        <f>VLOOKUP($A203,'Data shares'!$C:$FA,7)</f>
        <v>4359.6000000000004</v>
      </c>
      <c r="C203" s="144">
        <f>VLOOKUP($A203,'Data shares'!$C:$FA,3)</f>
        <v>4375.8999999999996</v>
      </c>
      <c r="D203" s="144">
        <f>VLOOKUP($A203,'Data shares'!$C:$FA,23)</f>
        <v>16.3</v>
      </c>
      <c r="E203" s="145">
        <f>VLOOKUP($A203,'Data shares'!$C:$FA,26)*100</f>
        <v>0.37</v>
      </c>
      <c r="F203" s="144">
        <f>VLOOKUP($A203,'Data shares'!$C:$FA,24)</f>
        <v>14</v>
      </c>
      <c r="G203" s="144">
        <f>VLOOKUP($A203,'Data shares'!$C:$FA,25)</f>
        <v>2.2999999999999998</v>
      </c>
    </row>
    <row r="204" spans="1:7" x14ac:dyDescent="0.25">
      <c r="A204" s="101" t="str">
        <f>'Data shares'!C200</f>
        <v>TMPV</v>
      </c>
      <c r="B204" s="144">
        <f>VLOOKUP($A204,'Data shares'!$C:$FA,7)</f>
        <v>358.15</v>
      </c>
      <c r="C204" s="144">
        <f>VLOOKUP($A204,'Data shares'!$C:$FA,3)</f>
        <v>360.35</v>
      </c>
      <c r="D204" s="144">
        <f>VLOOKUP($A204,'Data shares'!$C:$FA,23)</f>
        <v>2.2000000000000002</v>
      </c>
      <c r="E204" s="145">
        <f>VLOOKUP($A204,'Data shares'!$C:$FA,26)*100</f>
        <v>0.61</v>
      </c>
      <c r="F204" s="144">
        <f>VLOOKUP($A204,'Data shares'!$C:$FA,24)</f>
        <v>1.95</v>
      </c>
      <c r="G204" s="144">
        <f>VLOOKUP($A204,'Data shares'!$C:$FA,25)</f>
        <v>0.25</v>
      </c>
    </row>
    <row r="205" spans="1:7" x14ac:dyDescent="0.25">
      <c r="A205" s="101" t="str">
        <f>'Data shares'!C201</f>
        <v>TORNTPHARM</v>
      </c>
      <c r="B205" s="144">
        <f>VLOOKUP($A205,'Data shares'!$C:$FA,7)</f>
        <v>4358.3</v>
      </c>
      <c r="C205" s="144">
        <f>VLOOKUP($A205,'Data shares'!$C:$FA,3)</f>
        <v>4372.3</v>
      </c>
      <c r="D205" s="144">
        <f>VLOOKUP($A205,'Data shares'!$C:$FA,23)</f>
        <v>14</v>
      </c>
      <c r="E205" s="145">
        <f>VLOOKUP($A205,'Data shares'!$C:$FA,26)*100</f>
        <v>0.32</v>
      </c>
      <c r="F205" s="144">
        <f>VLOOKUP($A205,'Data shares'!$C:$FA,24)</f>
        <v>16.600000000000001</v>
      </c>
      <c r="G205" s="144">
        <f>VLOOKUP($A205,'Data shares'!$C:$FA,25)</f>
        <v>-2.6</v>
      </c>
    </row>
    <row r="206" spans="1:7" x14ac:dyDescent="0.25">
      <c r="A206" s="101" t="str">
        <f>'Data shares'!C202</f>
        <v>TRENT</v>
      </c>
      <c r="B206" s="144">
        <f>VLOOKUP($A206,'Data shares'!$C:$FA,7)</f>
        <v>4289.8</v>
      </c>
      <c r="C206" s="144">
        <f>VLOOKUP($A206,'Data shares'!$C:$FA,3)</f>
        <v>4318.1000000000004</v>
      </c>
      <c r="D206" s="144">
        <f>VLOOKUP($A206,'Data shares'!$C:$FA,23)</f>
        <v>28.3</v>
      </c>
      <c r="E206" s="145">
        <f>VLOOKUP($A206,'Data shares'!$C:$FA,26)*100</f>
        <v>0.66</v>
      </c>
      <c r="F206" s="144">
        <f>VLOOKUP($A206,'Data shares'!$C:$FA,24)</f>
        <v>8.1999999999999993</v>
      </c>
      <c r="G206" s="144">
        <f>VLOOKUP($A206,'Data shares'!$C:$FA,25)</f>
        <v>20.100000000000001</v>
      </c>
    </row>
    <row r="207" spans="1:7" x14ac:dyDescent="0.25">
      <c r="A207" s="101" t="str">
        <f>'Data shares'!C203</f>
        <v>TVSMOTOR</v>
      </c>
      <c r="B207" s="144">
        <f>VLOOKUP($A207,'Data shares'!$C:$FA,7)</f>
        <v>3617.9</v>
      </c>
      <c r="C207" s="144">
        <f>VLOOKUP($A207,'Data shares'!$C:$FA,3)</f>
        <v>3633</v>
      </c>
      <c r="D207" s="144">
        <f>VLOOKUP($A207,'Data shares'!$C:$FA,23)</f>
        <v>15.1</v>
      </c>
      <c r="E207" s="145">
        <f>VLOOKUP($A207,'Data shares'!$C:$FA,26)*100</f>
        <v>0.42</v>
      </c>
      <c r="F207" s="144">
        <f>VLOOKUP($A207,'Data shares'!$C:$FA,24)</f>
        <v>8.9</v>
      </c>
      <c r="G207" s="144">
        <f>VLOOKUP($A207,'Data shares'!$C:$FA,25)</f>
        <v>6.2</v>
      </c>
    </row>
    <row r="208" spans="1:7" x14ac:dyDescent="0.25">
      <c r="A208" s="101" t="str">
        <f>'Data shares'!C204</f>
        <v>ULTRACEMCO</v>
      </c>
      <c r="B208" s="144">
        <f>VLOOKUP($A208,'Data shares'!$C:$FA,7)</f>
        <v>12093</v>
      </c>
      <c r="C208" s="144">
        <f>VLOOKUP($A208,'Data shares'!$C:$FA,3)</f>
        <v>12169</v>
      </c>
      <c r="D208" s="144">
        <f>VLOOKUP($A208,'Data shares'!$C:$FA,23)</f>
        <v>76</v>
      </c>
      <c r="E208" s="145">
        <f>VLOOKUP($A208,'Data shares'!$C:$FA,26)*100</f>
        <v>0.63</v>
      </c>
      <c r="F208" s="144">
        <f>VLOOKUP($A208,'Data shares'!$C:$FA,24)</f>
        <v>24</v>
      </c>
      <c r="G208" s="144">
        <f>VLOOKUP($A208,'Data shares'!$C:$FA,25)</f>
        <v>52</v>
      </c>
    </row>
    <row r="209" spans="1:7" x14ac:dyDescent="0.25">
      <c r="A209" s="101" t="str">
        <f>'Data shares'!C205</f>
        <v>UNIONBANK</v>
      </c>
      <c r="B209" s="144">
        <f>VLOOKUP($A209,'Data shares'!$C:$FA,7)</f>
        <v>168.75</v>
      </c>
      <c r="C209" s="144">
        <f>VLOOKUP($A209,'Data shares'!$C:$FA,3)</f>
        <v>169.82</v>
      </c>
      <c r="D209" s="144">
        <f>VLOOKUP($A209,'Data shares'!$C:$FA,23)</f>
        <v>1.07</v>
      </c>
      <c r="E209" s="145">
        <f>VLOOKUP($A209,'Data shares'!$C:$FA,26)*100</f>
        <v>0.63</v>
      </c>
      <c r="F209" s="144">
        <f>VLOOKUP($A209,'Data shares'!$C:$FA,24)</f>
        <v>0.73</v>
      </c>
      <c r="G209" s="144">
        <f>VLOOKUP($A209,'Data shares'!$C:$FA,25)</f>
        <v>0.34</v>
      </c>
    </row>
    <row r="210" spans="1:7" x14ac:dyDescent="0.25">
      <c r="A210" s="101" t="str">
        <f>'Data shares'!C206</f>
        <v>UNITDSPR</v>
      </c>
      <c r="B210" s="144">
        <f>VLOOKUP($A210,'Data shares'!$C:$FA,7)</f>
        <v>1290.3</v>
      </c>
      <c r="C210" s="144">
        <f>VLOOKUP($A210,'Data shares'!$C:$FA,3)</f>
        <v>1298.7</v>
      </c>
      <c r="D210" s="144">
        <f>VLOOKUP($A210,'Data shares'!$C:$FA,23)</f>
        <v>8.4</v>
      </c>
      <c r="E210" s="145">
        <f>VLOOKUP($A210,'Data shares'!$C:$FA,26)*100</f>
        <v>0.65</v>
      </c>
      <c r="F210" s="144">
        <f>VLOOKUP($A210,'Data shares'!$C:$FA,24)</f>
        <v>7.3</v>
      </c>
      <c r="G210" s="144">
        <f>VLOOKUP($A210,'Data shares'!$C:$FA,25)</f>
        <v>1.1000000000000001</v>
      </c>
    </row>
    <row r="211" spans="1:7" x14ac:dyDescent="0.25">
      <c r="A211" s="101" t="str">
        <f>'Data shares'!C207</f>
        <v>UNOMINDA</v>
      </c>
      <c r="B211" s="144">
        <f>VLOOKUP($A211,'Data shares'!$C:$FA,7)</f>
        <v>1127.9000000000001</v>
      </c>
      <c r="C211" s="144">
        <f>VLOOKUP($A211,'Data shares'!$C:$FA,3)</f>
        <v>1133.5999999999999</v>
      </c>
      <c r="D211" s="144">
        <f>VLOOKUP($A211,'Data shares'!$C:$FA,23)</f>
        <v>5.7</v>
      </c>
      <c r="E211" s="145">
        <f>VLOOKUP($A211,'Data shares'!$C:$FA,26)*100</f>
        <v>0.51</v>
      </c>
      <c r="F211" s="144">
        <f>VLOOKUP($A211,'Data shares'!$C:$FA,24)</f>
        <v>5.6</v>
      </c>
      <c r="G211" s="144">
        <f>VLOOKUP($A211,'Data shares'!$C:$FA,25)</f>
        <v>0.1</v>
      </c>
    </row>
    <row r="212" spans="1:7" x14ac:dyDescent="0.25">
      <c r="A212" s="101" t="str">
        <f>'Data shares'!C208</f>
        <v>UPL</v>
      </c>
      <c r="B212" s="144">
        <f>VLOOKUP($A212,'Data shares'!$C:$FA,7)</f>
        <v>660</v>
      </c>
      <c r="C212" s="144">
        <f>VLOOKUP($A212,'Data shares'!$C:$FA,3)</f>
        <v>664.5</v>
      </c>
      <c r="D212" s="144">
        <f>VLOOKUP($A212,'Data shares'!$C:$FA,23)</f>
        <v>4.5</v>
      </c>
      <c r="E212" s="145">
        <f>VLOOKUP($A212,'Data shares'!$C:$FA,26)*100</f>
        <v>0.67999999999999994</v>
      </c>
      <c r="F212" s="144">
        <f>VLOOKUP($A212,'Data shares'!$C:$FA,24)</f>
        <v>4.2</v>
      </c>
      <c r="G212" s="144">
        <f>VLOOKUP($A212,'Data shares'!$C:$FA,25)</f>
        <v>0.3</v>
      </c>
    </row>
    <row r="213" spans="1:7" x14ac:dyDescent="0.25">
      <c r="A213" s="101" t="str">
        <f>'Data shares'!C209</f>
        <v>VBL</v>
      </c>
      <c r="B213" s="144">
        <f>VLOOKUP($A213,'Data shares'!$C:$FA,7)</f>
        <v>508.95</v>
      </c>
      <c r="C213" s="144">
        <f>VLOOKUP($A213,'Data shares'!$C:$FA,3)</f>
        <v>512.5</v>
      </c>
      <c r="D213" s="144">
        <f>VLOOKUP($A213,'Data shares'!$C:$FA,23)</f>
        <v>3.55</v>
      </c>
      <c r="E213" s="145">
        <f>VLOOKUP($A213,'Data shares'!$C:$FA,26)*100</f>
        <v>0.70000000000000007</v>
      </c>
      <c r="F213" s="144">
        <f>VLOOKUP($A213,'Data shares'!$C:$FA,24)</f>
        <v>2.65</v>
      </c>
      <c r="G213" s="144">
        <f>VLOOKUP($A213,'Data shares'!$C:$FA,25)</f>
        <v>0.9</v>
      </c>
    </row>
    <row r="214" spans="1:7" x14ac:dyDescent="0.25">
      <c r="A214" s="101" t="str">
        <f>'Data shares'!C210</f>
        <v>VEDL</v>
      </c>
      <c r="B214" s="144">
        <f>VLOOKUP($A214,'Data shares'!$C:$FA,7)</f>
        <v>316.39999999999998</v>
      </c>
      <c r="C214" s="144">
        <f>VLOOKUP($A214,'Data shares'!$C:$FA,3)</f>
        <v>318</v>
      </c>
      <c r="D214" s="144">
        <f>VLOOKUP($A214,'Data shares'!$C:$FA,23)</f>
        <v>1.6</v>
      </c>
      <c r="E214" s="145">
        <f>VLOOKUP($A214,'Data shares'!$C:$FA,26)*100</f>
        <v>0.51</v>
      </c>
      <c r="F214" s="144">
        <f>VLOOKUP($A214,'Data shares'!$C:$FA,24)</f>
        <v>1.3</v>
      </c>
      <c r="G214" s="144">
        <f>VLOOKUP($A214,'Data shares'!$C:$FA,25)</f>
        <v>0.3</v>
      </c>
    </row>
    <row r="215" spans="1:7" x14ac:dyDescent="0.25">
      <c r="A215" s="101" t="str">
        <f>'Data shares'!C211</f>
        <v>VMM</v>
      </c>
      <c r="B215" s="144">
        <f>VLOOKUP($A215,'Data shares'!$C:$FA,7)</f>
        <v>124.2</v>
      </c>
      <c r="C215" s="144">
        <f>VLOOKUP($A215,'Data shares'!$C:$FA,3)</f>
        <v>124.95</v>
      </c>
      <c r="D215" s="144">
        <f>VLOOKUP($A215,'Data shares'!$C:$FA,23)</f>
        <v>0.75</v>
      </c>
      <c r="E215" s="145">
        <f>VLOOKUP($A215,'Data shares'!$C:$FA,26)*100</f>
        <v>0.6</v>
      </c>
      <c r="F215" s="144">
        <f>VLOOKUP($A215,'Data shares'!$C:$FA,24)</f>
        <v>0.3</v>
      </c>
      <c r="G215" s="144">
        <f>VLOOKUP($A215,'Data shares'!$C:$FA,25)</f>
        <v>0.45</v>
      </c>
    </row>
    <row r="216" spans="1:7" x14ac:dyDescent="0.25">
      <c r="A216" s="101" t="str">
        <f>'Data shares'!C212</f>
        <v>VOLTAS</v>
      </c>
      <c r="B216" s="144">
        <f>VLOOKUP($A216,'Data shares'!$C:$FA,7)</f>
        <v>1379.6</v>
      </c>
      <c r="C216" s="144">
        <f>VLOOKUP($A216,'Data shares'!$C:$FA,3)</f>
        <v>1384.1</v>
      </c>
      <c r="D216" s="144">
        <f>VLOOKUP($A216,'Data shares'!$C:$FA,23)</f>
        <v>4.5</v>
      </c>
      <c r="E216" s="145">
        <f>VLOOKUP($A216,'Data shares'!$C:$FA,26)*100</f>
        <v>0.33</v>
      </c>
      <c r="F216" s="144">
        <f>VLOOKUP($A216,'Data shares'!$C:$FA,24)</f>
        <v>1.7</v>
      </c>
      <c r="G216" s="144">
        <f>VLOOKUP($A216,'Data shares'!$C:$FA,25)</f>
        <v>2.8</v>
      </c>
    </row>
    <row r="217" spans="1:7" x14ac:dyDescent="0.25">
      <c r="A217" s="101" t="str">
        <f>'Data shares'!C213</f>
        <v>WAAREEENER</v>
      </c>
      <c r="B217" s="144">
        <f>VLOOKUP($A217,'Data shares'!$C:$FA,7)</f>
        <v>3225.1</v>
      </c>
      <c r="C217" s="144">
        <f>VLOOKUP($A217,'Data shares'!$C:$FA,3)</f>
        <v>3247.8</v>
      </c>
      <c r="D217" s="144">
        <f>VLOOKUP($A217,'Data shares'!$C:$FA,23)</f>
        <v>22.7</v>
      </c>
      <c r="E217" s="145">
        <f>VLOOKUP($A217,'Data shares'!$C:$FA,26)*100</f>
        <v>0.70000000000000007</v>
      </c>
      <c r="F217" s="144">
        <f>VLOOKUP($A217,'Data shares'!$C:$FA,24)</f>
        <v>17.5</v>
      </c>
      <c r="G217" s="144">
        <f>VLOOKUP($A217,'Data shares'!$C:$FA,25)</f>
        <v>5.2</v>
      </c>
    </row>
    <row r="218" spans="1:7" x14ac:dyDescent="0.25">
      <c r="A218" s="101" t="str">
        <f>'Data shares'!C214</f>
        <v>WIPRO</v>
      </c>
      <c r="B218" s="144">
        <f>VLOOKUP($A218,'Data shares'!$C:$FA,7)</f>
        <v>199.12</v>
      </c>
      <c r="C218" s="144">
        <f>VLOOKUP($A218,'Data shares'!$C:$FA,3)</f>
        <v>197.51</v>
      </c>
      <c r="D218" s="144">
        <f>VLOOKUP($A218,'Data shares'!$C:$FA,23)</f>
        <v>-1.61</v>
      </c>
      <c r="E218" s="145">
        <f>VLOOKUP($A218,'Data shares'!$C:$FA,26)*100</f>
        <v>-0.80999999999999994</v>
      </c>
      <c r="F218" s="144">
        <f>VLOOKUP($A218,'Data shares'!$C:$FA,24)</f>
        <v>-3.65</v>
      </c>
      <c r="G218" s="144">
        <f>VLOOKUP($A218,'Data shares'!$C:$FA,25)</f>
        <v>2.04</v>
      </c>
    </row>
    <row r="219" spans="1:7" x14ac:dyDescent="0.25">
      <c r="A219" s="101" t="str">
        <f>'Data shares'!C215</f>
        <v>YESBANK</v>
      </c>
      <c r="B219" s="144">
        <f>VLOOKUP($A219,'Data shares'!$C:$FA,7)</f>
        <v>22.13</v>
      </c>
      <c r="C219" s="144">
        <f>VLOOKUP($A219,'Data shares'!$C:$FA,3)</f>
        <v>22.23</v>
      </c>
      <c r="D219" s="144">
        <f>VLOOKUP($A219,'Data shares'!$C:$FA,23)</f>
        <v>0.1</v>
      </c>
      <c r="E219" s="145">
        <f>VLOOKUP($A219,'Data shares'!$C:$FA,26)*100</f>
        <v>0.44999999999999996</v>
      </c>
      <c r="F219" s="144">
        <f>VLOOKUP($A219,'Data shares'!$C:$FA,24)</f>
        <v>0.13</v>
      </c>
      <c r="G219" s="144">
        <f>VLOOKUP($A219,'Data shares'!$C:$FA,25)</f>
        <v>-0.03</v>
      </c>
    </row>
    <row r="220" spans="1:7" x14ac:dyDescent="0.25">
      <c r="A220" s="101" t="str">
        <f>'Data shares'!C216</f>
        <v>ZYDUSLIFE</v>
      </c>
      <c r="B220" s="144">
        <f>VLOOKUP($A220,'Data shares'!$C:$FA,7)</f>
        <v>938.8</v>
      </c>
      <c r="C220" s="144">
        <f>VLOOKUP($A220,'Data shares'!$C:$FA,3)</f>
        <v>944.8</v>
      </c>
      <c r="D220" s="144">
        <f>VLOOKUP($A220,'Data shares'!$C:$FA,23)</f>
        <v>6</v>
      </c>
      <c r="E220" s="145">
        <f>VLOOKUP($A220,'Data shares'!$C:$FA,26)*100</f>
        <v>0.64</v>
      </c>
      <c r="F220" s="144">
        <f>VLOOKUP($A220,'Data shares'!$C:$FA,24)</f>
        <v>6.45</v>
      </c>
      <c r="G220" s="144">
        <f>VLOOKUP($A220,'Data shares'!$C:$FA,25)</f>
        <v>-0.45</v>
      </c>
    </row>
    <row r="221" spans="1:7" x14ac:dyDescent="0.25">
      <c r="A221" s="101"/>
      <c r="B221" s="144"/>
      <c r="C221" s="144"/>
      <c r="D221" s="144"/>
      <c r="E221" s="145"/>
      <c r="F221" s="144"/>
      <c r="G221" s="144"/>
    </row>
    <row r="222" spans="1:7" x14ac:dyDescent="0.25">
      <c r="A222" s="101"/>
      <c r="B222" s="144"/>
      <c r="C222" s="144"/>
      <c r="D222" s="144"/>
      <c r="E222" s="145"/>
      <c r="F222" s="144"/>
      <c r="G222" s="144"/>
    </row>
    <row r="223" spans="1:7" x14ac:dyDescent="0.25">
      <c r="A223" s="101"/>
      <c r="B223" s="144"/>
      <c r="C223" s="144"/>
      <c r="D223" s="144"/>
      <c r="E223" s="145"/>
      <c r="F223" s="144"/>
      <c r="G223" s="144"/>
    </row>
    <row r="224" spans="1:7" x14ac:dyDescent="0.25">
      <c r="A224" s="101"/>
      <c r="B224" s="144"/>
      <c r="C224" s="144"/>
      <c r="D224" s="144"/>
      <c r="E224" s="145"/>
      <c r="F224" s="144"/>
      <c r="G224" s="144"/>
    </row>
    <row r="225" spans="1:7" x14ac:dyDescent="0.25">
      <c r="A225" s="101"/>
      <c r="B225" s="144"/>
      <c r="C225" s="144"/>
      <c r="D225" s="144"/>
      <c r="E225" s="145"/>
      <c r="F225" s="144"/>
      <c r="G225" s="144"/>
    </row>
    <row r="226" spans="1:7" x14ac:dyDescent="0.25">
      <c r="A226" s="101"/>
      <c r="B226" s="144"/>
      <c r="C226" s="144"/>
      <c r="D226" s="144"/>
      <c r="E226" s="145"/>
      <c r="F226" s="144"/>
      <c r="G226" s="144"/>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9"/>
  <sheetViews>
    <sheetView workbookViewId="0">
      <pane ySplit="6" topLeftCell="A195" activePane="bottomLeft" state="frozen"/>
      <selection pane="bottomLeft" activeCell="N233" sqref="N233"/>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3" t="s">
        <v>370</v>
      </c>
      <c r="B3" s="314"/>
      <c r="C3" s="314"/>
      <c r="D3" s="314"/>
      <c r="E3" s="314"/>
      <c r="F3" s="314"/>
      <c r="G3" s="315"/>
    </row>
    <row r="4" spans="1:7" x14ac:dyDescent="0.25">
      <c r="A4" s="317" t="s">
        <v>318</v>
      </c>
      <c r="B4" s="241" t="s">
        <v>371</v>
      </c>
      <c r="C4" s="241"/>
      <c r="D4" s="241"/>
      <c r="E4" s="241"/>
      <c r="F4" s="241"/>
      <c r="G4" s="241"/>
    </row>
    <row r="5" spans="1:7" x14ac:dyDescent="0.25">
      <c r="A5" s="318"/>
      <c r="B5" s="316" t="s">
        <v>372</v>
      </c>
      <c r="C5" s="316"/>
      <c r="D5" s="316"/>
      <c r="E5" s="316" t="s">
        <v>373</v>
      </c>
      <c r="F5" s="316"/>
      <c r="G5" s="316"/>
    </row>
    <row r="6" spans="1:7" x14ac:dyDescent="0.25">
      <c r="A6" s="241"/>
      <c r="B6" s="2" t="s">
        <v>374</v>
      </c>
      <c r="C6" s="2" t="s">
        <v>375</v>
      </c>
      <c r="D6" s="2" t="s">
        <v>376</v>
      </c>
      <c r="E6" s="2" t="s">
        <v>377</v>
      </c>
      <c r="F6" s="2" t="s">
        <v>378</v>
      </c>
      <c r="G6" s="2" t="s">
        <v>379</v>
      </c>
    </row>
    <row r="7" spans="1:7" x14ac:dyDescent="0.25">
      <c r="A7" s="49" t="str">
        <f>'Data Vlaue (Cr)'!C2</f>
        <v>360ONE</v>
      </c>
      <c r="B7" s="50">
        <f>VLOOKUP($A7,'Data shares'!$C:$FM,102)</f>
        <v>34.299999999999997</v>
      </c>
      <c r="C7" s="50">
        <f>VLOOKUP($A7,'Data shares'!$C:$FM,110)</f>
        <v>33.83</v>
      </c>
      <c r="D7" s="50">
        <f>VLOOKUP($A7,'Data shares'!$C:$FM,114)</f>
        <v>36.200000000000003</v>
      </c>
      <c r="E7" s="50">
        <f>VLOOKUP($A7,'Data shares'!$C:$FM,106)</f>
        <v>41.82</v>
      </c>
      <c r="F7" s="50">
        <f>VLOOKUP($A7,'Data shares'!$C:$FM,108)</f>
        <v>-7.52</v>
      </c>
      <c r="G7" s="50">
        <f t="shared" ref="G7:G38" si="0">B7/E7</f>
        <v>0.82018173122907689</v>
      </c>
    </row>
    <row r="8" spans="1:7" x14ac:dyDescent="0.25">
      <c r="A8" s="49" t="str">
        <f>'Data Vlaue (Cr)'!C3</f>
        <v>ABB</v>
      </c>
      <c r="B8" s="50">
        <f>VLOOKUP($A8,'Data shares'!$C:$FM,102)</f>
        <v>39.090000000000003</v>
      </c>
      <c r="C8" s="50">
        <f>VLOOKUP($A8,'Data shares'!$C:$FM,110)</f>
        <v>39.24</v>
      </c>
      <c r="D8" s="50">
        <f>VLOOKUP($A8,'Data shares'!$C:$FM,114)</f>
        <v>38.700000000000003</v>
      </c>
      <c r="E8" s="50">
        <f>VLOOKUP($A8,'Data shares'!$C:$FM,106)</f>
        <v>37.15</v>
      </c>
      <c r="F8" s="50">
        <f>VLOOKUP($A8,'Data shares'!$C:$FM,108)</f>
        <v>1.94</v>
      </c>
      <c r="G8" s="50">
        <f t="shared" si="0"/>
        <v>1.052220726783311</v>
      </c>
    </row>
    <row r="9" spans="1:7" x14ac:dyDescent="0.25">
      <c r="A9" s="49" t="str">
        <f>'Data Vlaue (Cr)'!C4</f>
        <v>ABCAPITAL</v>
      </c>
      <c r="B9" s="50">
        <f>VLOOKUP($A9,'Data shares'!$C:$FM,102)</f>
        <v>34.81</v>
      </c>
      <c r="C9" s="50">
        <f>VLOOKUP($A9,'Data shares'!$C:$FM,110)</f>
        <v>34.08</v>
      </c>
      <c r="D9" s="50">
        <f>VLOOKUP($A9,'Data shares'!$C:$FM,114)</f>
        <v>36.119999999999997</v>
      </c>
      <c r="E9" s="50">
        <f>VLOOKUP($A9,'Data shares'!$C:$FM,106)</f>
        <v>41.29</v>
      </c>
      <c r="F9" s="50">
        <f>VLOOKUP($A9,'Data shares'!$C:$FM,108)</f>
        <v>-6.48</v>
      </c>
      <c r="G9" s="50">
        <f t="shared" si="0"/>
        <v>0.84306127391620256</v>
      </c>
    </row>
    <row r="10" spans="1:7" x14ac:dyDescent="0.25">
      <c r="A10" s="49" t="str">
        <f>'Data Vlaue (Cr)'!C5</f>
        <v>ADANIENSOL</v>
      </c>
      <c r="B10" s="50">
        <f>VLOOKUP($A10,'Data shares'!$C:$FM,102)</f>
        <v>49.72</v>
      </c>
      <c r="C10" s="50">
        <f>VLOOKUP($A10,'Data shares'!$C:$FM,110)</f>
        <v>49.22</v>
      </c>
      <c r="D10" s="50">
        <f>VLOOKUP($A10,'Data shares'!$C:$FM,114)</f>
        <v>50.87</v>
      </c>
      <c r="E10" s="50">
        <f>VLOOKUP($A10,'Data shares'!$C:$FM,106)</f>
        <v>56.11</v>
      </c>
      <c r="F10" s="50">
        <f>VLOOKUP($A10,'Data shares'!$C:$FM,108)</f>
        <v>-6.39</v>
      </c>
      <c r="G10" s="50">
        <f t="shared" si="0"/>
        <v>0.88611655676350021</v>
      </c>
    </row>
    <row r="11" spans="1:7" x14ac:dyDescent="0.25">
      <c r="A11" s="49" t="str">
        <f>'Data Vlaue (Cr)'!C6</f>
        <v>ADANIENT</v>
      </c>
      <c r="B11" s="50">
        <f>VLOOKUP($A11,'Data shares'!$C:$FM,102)</f>
        <v>37.36</v>
      </c>
      <c r="C11" s="50">
        <f>VLOOKUP($A11,'Data shares'!$C:$FM,110)</f>
        <v>35.86</v>
      </c>
      <c r="D11" s="50">
        <f>VLOOKUP($A11,'Data shares'!$C:$FM,114)</f>
        <v>40</v>
      </c>
      <c r="E11" s="50">
        <f>VLOOKUP($A11,'Data shares'!$C:$FM,106)</f>
        <v>48.92</v>
      </c>
      <c r="F11" s="50">
        <f>VLOOKUP($A11,'Data shares'!$C:$FM,108)</f>
        <v>-11.56</v>
      </c>
      <c r="G11" s="50">
        <f t="shared" si="0"/>
        <v>0.76369582992641039</v>
      </c>
    </row>
    <row r="12" spans="1:7" x14ac:dyDescent="0.25">
      <c r="A12" s="49" t="str">
        <f>'Data Vlaue (Cr)'!C7</f>
        <v>ADANIGREEN</v>
      </c>
      <c r="B12" s="50">
        <f>VLOOKUP($A12,'Data shares'!$C:$FM,102)</f>
        <v>46.84</v>
      </c>
      <c r="C12" s="50">
        <f>VLOOKUP($A12,'Data shares'!$C:$FM,110)</f>
        <v>46.5</v>
      </c>
      <c r="D12" s="50">
        <f>VLOOKUP($A12,'Data shares'!$C:$FM,114)</f>
        <v>47.65</v>
      </c>
      <c r="E12" s="50">
        <f>VLOOKUP($A12,'Data shares'!$C:$FM,106)</f>
        <v>58.55</v>
      </c>
      <c r="F12" s="50">
        <f>VLOOKUP($A12,'Data shares'!$C:$FM,108)</f>
        <v>-11.71</v>
      </c>
      <c r="G12" s="50">
        <f t="shared" si="0"/>
        <v>0.8</v>
      </c>
    </row>
    <row r="13" spans="1:7" x14ac:dyDescent="0.25">
      <c r="A13" s="49" t="str">
        <f>'Data Vlaue (Cr)'!C8</f>
        <v>ADANIPORTS</v>
      </c>
      <c r="B13" s="50">
        <f>VLOOKUP($A13,'Data shares'!$C:$FM,102)</f>
        <v>31.12</v>
      </c>
      <c r="C13" s="50">
        <f>VLOOKUP($A13,'Data shares'!$C:$FM,110)</f>
        <v>30.25</v>
      </c>
      <c r="D13" s="50">
        <f>VLOOKUP($A13,'Data shares'!$C:$FM,114)</f>
        <v>32.630000000000003</v>
      </c>
      <c r="E13" s="50">
        <f>VLOOKUP($A13,'Data shares'!$C:$FM,106)</f>
        <v>40.03</v>
      </c>
      <c r="F13" s="50">
        <f>VLOOKUP($A13,'Data shares'!$C:$FM,108)</f>
        <v>-8.91</v>
      </c>
      <c r="G13" s="50">
        <f t="shared" si="0"/>
        <v>0.77741693729702721</v>
      </c>
    </row>
    <row r="14" spans="1:7" x14ac:dyDescent="0.25">
      <c r="A14" s="49" t="str">
        <f>'Data Vlaue (Cr)'!C9</f>
        <v>ADANIPOWER</v>
      </c>
      <c r="B14" s="50">
        <f>VLOOKUP($A14,'Data shares'!$C:$FM,102)</f>
        <v>52.03</v>
      </c>
      <c r="C14" s="50">
        <f>VLOOKUP($A14,'Data shares'!$C:$FM,110)</f>
        <v>51.66</v>
      </c>
      <c r="D14" s="50">
        <f>VLOOKUP($A14,'Data shares'!$C:$FM,114)</f>
        <v>52.92</v>
      </c>
      <c r="E14" s="50">
        <f>VLOOKUP($A14,'Data shares'!$C:$FM,106)</f>
        <v>52.19</v>
      </c>
      <c r="F14" s="50">
        <f>VLOOKUP($A14,'Data shares'!$C:$FM,108)</f>
        <v>-0.16</v>
      </c>
      <c r="G14" s="50">
        <f t="shared" si="0"/>
        <v>0.99693427859743255</v>
      </c>
    </row>
    <row r="15" spans="1:7" x14ac:dyDescent="0.25">
      <c r="A15" s="49" t="str">
        <f>'Data Vlaue (Cr)'!C10</f>
        <v>ALKEM</v>
      </c>
      <c r="B15" s="50">
        <f>VLOOKUP($A15,'Data shares'!$C:$FM,102)</f>
        <v>29.06</v>
      </c>
      <c r="C15" s="50">
        <f>VLOOKUP($A15,'Data shares'!$C:$FM,110)</f>
        <v>28.51</v>
      </c>
      <c r="D15" s="50">
        <f>VLOOKUP($A15,'Data shares'!$C:$FM,114)</f>
        <v>30.94</v>
      </c>
      <c r="E15" s="50">
        <f>VLOOKUP($A15,'Data shares'!$C:$FM,106)</f>
        <v>29.21</v>
      </c>
      <c r="F15" s="50">
        <f>VLOOKUP($A15,'Data shares'!$C:$FM,108)</f>
        <v>-0.15</v>
      </c>
      <c r="G15" s="50">
        <f t="shared" si="0"/>
        <v>0.99486477233824022</v>
      </c>
    </row>
    <row r="16" spans="1:7" x14ac:dyDescent="0.25">
      <c r="A16" s="49" t="str">
        <f>'Data Vlaue (Cr)'!C11</f>
        <v>AMBER</v>
      </c>
      <c r="B16" s="50">
        <f>VLOOKUP($A16,'Data shares'!$C:$FM,102)</f>
        <v>50.65</v>
      </c>
      <c r="C16" s="50">
        <f>VLOOKUP($A16,'Data shares'!$C:$FM,110)</f>
        <v>50.59</v>
      </c>
      <c r="D16" s="50">
        <f>VLOOKUP($A16,'Data shares'!$C:$FM,114)</f>
        <v>50.79</v>
      </c>
      <c r="E16" s="50">
        <f>VLOOKUP($A16,'Data shares'!$C:$FM,106)</f>
        <v>53.94</v>
      </c>
      <c r="F16" s="50">
        <f>VLOOKUP($A16,'Data shares'!$C:$FM,108)</f>
        <v>-3.29</v>
      </c>
      <c r="G16" s="50">
        <f t="shared" si="0"/>
        <v>0.93900630329996293</v>
      </c>
    </row>
    <row r="17" spans="1:7" x14ac:dyDescent="0.25">
      <c r="A17" s="49" t="str">
        <f>'Data Vlaue (Cr)'!C12</f>
        <v>AMBUJACEM</v>
      </c>
      <c r="B17" s="50">
        <f>VLOOKUP($A17,'Data shares'!$C:$FM,102)</f>
        <v>34.99</v>
      </c>
      <c r="C17" s="50">
        <f>VLOOKUP($A17,'Data shares'!$C:$FM,110)</f>
        <v>35.270000000000003</v>
      </c>
      <c r="D17" s="50">
        <f>VLOOKUP($A17,'Data shares'!$C:$FM,114)</f>
        <v>34.17</v>
      </c>
      <c r="E17" s="50">
        <f>VLOOKUP($A17,'Data shares'!$C:$FM,106)</f>
        <v>36.61</v>
      </c>
      <c r="F17" s="50">
        <f>VLOOKUP($A17,'Data shares'!$C:$FM,108)</f>
        <v>-1.62</v>
      </c>
      <c r="G17" s="50">
        <f t="shared" si="0"/>
        <v>0.95574979513794056</v>
      </c>
    </row>
    <row r="18" spans="1:7" x14ac:dyDescent="0.25">
      <c r="A18" s="49" t="str">
        <f>'Data Vlaue (Cr)'!C13</f>
        <v>ANGELONE</v>
      </c>
      <c r="B18" s="50">
        <f>VLOOKUP($A18,'Data shares'!$C:$FM,102)</f>
        <v>41.55</v>
      </c>
      <c r="C18" s="50">
        <f>VLOOKUP($A18,'Data shares'!$C:$FM,110)</f>
        <v>41.57</v>
      </c>
      <c r="D18" s="50">
        <f>VLOOKUP($A18,'Data shares'!$C:$FM,114)</f>
        <v>41.49</v>
      </c>
      <c r="E18" s="50">
        <f>VLOOKUP($A18,'Data shares'!$C:$FM,106)</f>
        <v>56.21</v>
      </c>
      <c r="F18" s="50">
        <f>VLOOKUP($A18,'Data shares'!$C:$FM,108)</f>
        <v>-14.66</v>
      </c>
      <c r="G18" s="50">
        <f t="shared" si="0"/>
        <v>0.73919231453478018</v>
      </c>
    </row>
    <row r="19" spans="1:7" x14ac:dyDescent="0.25">
      <c r="A19" s="49" t="str">
        <f>'Data Vlaue (Cr)'!C14</f>
        <v>APLAPOLLO</v>
      </c>
      <c r="B19" s="50">
        <f>VLOOKUP($A19,'Data shares'!$C:$FM,102)</f>
        <v>29.9</v>
      </c>
      <c r="C19" s="50">
        <f>VLOOKUP($A19,'Data shares'!$C:$FM,110)</f>
        <v>29.68</v>
      </c>
      <c r="D19" s="50">
        <f>VLOOKUP($A19,'Data shares'!$C:$FM,114)</f>
        <v>30.76</v>
      </c>
      <c r="E19" s="50">
        <f>VLOOKUP($A19,'Data shares'!$C:$FM,106)</f>
        <v>36.229999999999997</v>
      </c>
      <c r="F19" s="50">
        <f>VLOOKUP($A19,'Data shares'!$C:$FM,108)</f>
        <v>-6.33</v>
      </c>
      <c r="G19" s="50">
        <f t="shared" si="0"/>
        <v>0.82528291471156501</v>
      </c>
    </row>
    <row r="20" spans="1:7" x14ac:dyDescent="0.25">
      <c r="A20" s="49" t="str">
        <f>'Data Vlaue (Cr)'!C15</f>
        <v>APOLLOHOSP</v>
      </c>
      <c r="B20" s="50">
        <f>VLOOKUP($A20,'Data shares'!$C:$FM,102)</f>
        <v>25.58</v>
      </c>
      <c r="C20" s="50">
        <f>VLOOKUP($A20,'Data shares'!$C:$FM,110)</f>
        <v>25.65</v>
      </c>
      <c r="D20" s="50">
        <f>VLOOKUP($A20,'Data shares'!$C:$FM,114)</f>
        <v>25.41</v>
      </c>
      <c r="E20" s="50">
        <f>VLOOKUP($A20,'Data shares'!$C:$FM,106)</f>
        <v>24.87</v>
      </c>
      <c r="F20" s="50">
        <f>VLOOKUP($A20,'Data shares'!$C:$FM,108)</f>
        <v>0.71</v>
      </c>
      <c r="G20" s="50">
        <f t="shared" si="0"/>
        <v>1.0285484519501407</v>
      </c>
    </row>
    <row r="21" spans="1:7" x14ac:dyDescent="0.25">
      <c r="A21" s="49" t="str">
        <f>'Data Vlaue (Cr)'!C16</f>
        <v>ASHOKLEY</v>
      </c>
      <c r="B21" s="50">
        <f>VLOOKUP($A21,'Data shares'!$C:$FM,102)</f>
        <v>43.27</v>
      </c>
      <c r="C21" s="50">
        <f>VLOOKUP($A21,'Data shares'!$C:$FM,110)</f>
        <v>43.35</v>
      </c>
      <c r="D21" s="50">
        <f>VLOOKUP($A21,'Data shares'!$C:$FM,114)</f>
        <v>43.02</v>
      </c>
      <c r="E21" s="50">
        <f>VLOOKUP($A21,'Data shares'!$C:$FM,106)</f>
        <v>42.5</v>
      </c>
      <c r="F21" s="50">
        <f>VLOOKUP($A21,'Data shares'!$C:$FM,108)</f>
        <v>0.77</v>
      </c>
      <c r="G21" s="50">
        <f t="shared" si="0"/>
        <v>1.0181176470588236</v>
      </c>
    </row>
    <row r="22" spans="1:7" x14ac:dyDescent="0.25">
      <c r="A22" s="49" t="str">
        <f>'Data Vlaue (Cr)'!C17</f>
        <v>ASIANPAINT</v>
      </c>
      <c r="B22" s="50">
        <f>VLOOKUP($A22,'Data shares'!$C:$FM,102)</f>
        <v>27.6</v>
      </c>
      <c r="C22" s="50">
        <f>VLOOKUP($A22,'Data shares'!$C:$FM,110)</f>
        <v>25.96</v>
      </c>
      <c r="D22" s="50">
        <f>VLOOKUP($A22,'Data shares'!$C:$FM,114)</f>
        <v>30.33</v>
      </c>
      <c r="E22" s="50">
        <f>VLOOKUP($A22,'Data shares'!$C:$FM,106)</f>
        <v>29.12</v>
      </c>
      <c r="F22" s="50">
        <f>VLOOKUP($A22,'Data shares'!$C:$FM,108)</f>
        <v>-1.52</v>
      </c>
      <c r="G22" s="50">
        <f t="shared" si="0"/>
        <v>0.94780219780219777</v>
      </c>
    </row>
    <row r="23" spans="1:7" x14ac:dyDescent="0.25">
      <c r="A23" s="49" t="str">
        <f>'Data Vlaue (Cr)'!C18</f>
        <v>ASTRAL</v>
      </c>
      <c r="B23" s="50">
        <f>VLOOKUP($A23,'Data shares'!$C:$FM,102)</f>
        <v>33.57</v>
      </c>
      <c r="C23" s="50">
        <f>VLOOKUP($A23,'Data shares'!$C:$FM,110)</f>
        <v>33.409999999999997</v>
      </c>
      <c r="D23" s="50">
        <f>VLOOKUP($A23,'Data shares'!$C:$FM,114)</f>
        <v>34.090000000000003</v>
      </c>
      <c r="E23" s="50">
        <f>VLOOKUP($A23,'Data shares'!$C:$FM,106)</f>
        <v>35.56</v>
      </c>
      <c r="F23" s="50">
        <f>VLOOKUP($A23,'Data shares'!$C:$FM,108)</f>
        <v>-1.99</v>
      </c>
      <c r="G23" s="50">
        <f t="shared" si="0"/>
        <v>0.94403824521934754</v>
      </c>
    </row>
    <row r="24" spans="1:7" x14ac:dyDescent="0.25">
      <c r="A24" s="49" t="str">
        <f>'Data Vlaue (Cr)'!C19</f>
        <v>AUBANK</v>
      </c>
      <c r="B24" s="50">
        <f>VLOOKUP($A24,'Data shares'!$C:$FM,102)</f>
        <v>31.11</v>
      </c>
      <c r="C24" s="50">
        <f>VLOOKUP($A24,'Data shares'!$C:$FM,110)</f>
        <v>31.01</v>
      </c>
      <c r="D24" s="50">
        <f>VLOOKUP($A24,'Data shares'!$C:$FM,114)</f>
        <v>31.33</v>
      </c>
      <c r="E24" s="50">
        <f>VLOOKUP($A24,'Data shares'!$C:$FM,106)</f>
        <v>37.89</v>
      </c>
      <c r="F24" s="50">
        <f>VLOOKUP($A24,'Data shares'!$C:$FM,108)</f>
        <v>-6.78</v>
      </c>
      <c r="G24" s="50">
        <f t="shared" si="0"/>
        <v>0.82106096595407752</v>
      </c>
    </row>
    <row r="25" spans="1:7" x14ac:dyDescent="0.25">
      <c r="A25" s="49" t="str">
        <f>'Data Vlaue (Cr)'!C20</f>
        <v>AUROPHARMA</v>
      </c>
      <c r="B25" s="50">
        <f>VLOOKUP($A25,'Data shares'!$C:$FM,102)</f>
        <v>29.75</v>
      </c>
      <c r="C25" s="50">
        <f>VLOOKUP($A25,'Data shares'!$C:$FM,110)</f>
        <v>29.05</v>
      </c>
      <c r="D25" s="50">
        <f>VLOOKUP($A25,'Data shares'!$C:$FM,114)</f>
        <v>31.44</v>
      </c>
      <c r="E25" s="50">
        <f>VLOOKUP($A25,'Data shares'!$C:$FM,106)</f>
        <v>33.619999999999997</v>
      </c>
      <c r="F25" s="50">
        <f>VLOOKUP($A25,'Data shares'!$C:$FM,108)</f>
        <v>-3.87</v>
      </c>
      <c r="G25" s="50">
        <f t="shared" si="0"/>
        <v>0.88488994646044028</v>
      </c>
    </row>
    <row r="26" spans="1:7" x14ac:dyDescent="0.25">
      <c r="A26" s="49" t="str">
        <f>'Data Vlaue (Cr)'!C21</f>
        <v>AXISBANK</v>
      </c>
      <c r="B26" s="50">
        <f>VLOOKUP($A26,'Data shares'!$C:$FM,102)</f>
        <v>24.25</v>
      </c>
      <c r="C26" s="50">
        <f>VLOOKUP($A26,'Data shares'!$C:$FM,110)</f>
        <v>23.55</v>
      </c>
      <c r="D26" s="50">
        <f>VLOOKUP($A26,'Data shares'!$C:$FM,114)</f>
        <v>25.51</v>
      </c>
      <c r="E26" s="50">
        <f>VLOOKUP($A26,'Data shares'!$C:$FM,106)</f>
        <v>30.21</v>
      </c>
      <c r="F26" s="50">
        <f>VLOOKUP($A26,'Data shares'!$C:$FM,108)</f>
        <v>-5.96</v>
      </c>
      <c r="G26" s="50">
        <f t="shared" si="0"/>
        <v>0.80271433300231709</v>
      </c>
    </row>
    <row r="27" spans="1:7" x14ac:dyDescent="0.25">
      <c r="A27" s="49" t="str">
        <f>'Data Vlaue (Cr)'!C22</f>
        <v>BAJAJ-AUTO</v>
      </c>
      <c r="B27" s="50">
        <f>VLOOKUP($A27,'Data shares'!$C:$FM,102)</f>
        <v>32.1</v>
      </c>
      <c r="C27" s="50">
        <f>VLOOKUP($A27,'Data shares'!$C:$FM,110)</f>
        <v>31.85</v>
      </c>
      <c r="D27" s="50">
        <f>VLOOKUP($A27,'Data shares'!$C:$FM,114)</f>
        <v>32.67</v>
      </c>
      <c r="E27" s="50">
        <f>VLOOKUP($A27,'Data shares'!$C:$FM,106)</f>
        <v>30.05</v>
      </c>
      <c r="F27" s="50">
        <f>VLOOKUP($A27,'Data shares'!$C:$FM,108)</f>
        <v>2.0499999999999998</v>
      </c>
      <c r="G27" s="50">
        <f t="shared" si="0"/>
        <v>1.0682196339434276</v>
      </c>
    </row>
    <row r="28" spans="1:7" x14ac:dyDescent="0.25">
      <c r="A28" s="49" t="str">
        <f>'Data Vlaue (Cr)'!C23</f>
        <v>BAJAJFINSV</v>
      </c>
      <c r="B28" s="50">
        <f>VLOOKUP($A28,'Data shares'!$C:$FM,102)</f>
        <v>26.4</v>
      </c>
      <c r="C28" s="50">
        <f>VLOOKUP($A28,'Data shares'!$C:$FM,110)</f>
        <v>25.27</v>
      </c>
      <c r="D28" s="50">
        <f>VLOOKUP($A28,'Data shares'!$C:$FM,114)</f>
        <v>28.66</v>
      </c>
      <c r="E28" s="50">
        <f>VLOOKUP($A28,'Data shares'!$C:$FM,106)</f>
        <v>30.45</v>
      </c>
      <c r="F28" s="50">
        <f>VLOOKUP($A28,'Data shares'!$C:$FM,108)</f>
        <v>-4.05</v>
      </c>
      <c r="G28" s="50">
        <f t="shared" si="0"/>
        <v>0.86699507389162556</v>
      </c>
    </row>
    <row r="29" spans="1:7" x14ac:dyDescent="0.25">
      <c r="A29" s="49" t="str">
        <f>'Data Vlaue (Cr)'!C24</f>
        <v>BAJAJHLDNG</v>
      </c>
      <c r="B29" s="50">
        <f>VLOOKUP($A29,'Data shares'!$C:$FM,102)</f>
        <v>36.57</v>
      </c>
      <c r="C29" s="50">
        <f>VLOOKUP($A29,'Data shares'!$C:$FM,110)</f>
        <v>36.4</v>
      </c>
      <c r="D29" s="50">
        <f>VLOOKUP($A29,'Data shares'!$C:$FM,114)</f>
        <v>38.03</v>
      </c>
      <c r="E29" s="50">
        <f>VLOOKUP($A29,'Data shares'!$C:$FM,106)</f>
        <v>38.01</v>
      </c>
      <c r="F29" s="50">
        <f>VLOOKUP($A29,'Data shares'!$C:$FM,108)</f>
        <v>-1.44</v>
      </c>
      <c r="G29" s="50">
        <f t="shared" si="0"/>
        <v>0.9621152328334649</v>
      </c>
    </row>
    <row r="30" spans="1:7" x14ac:dyDescent="0.25">
      <c r="A30" s="49" t="str">
        <f>'Data Vlaue (Cr)'!C25</f>
        <v>BAJFINANCE</v>
      </c>
      <c r="B30" s="50">
        <f>VLOOKUP($A30,'Data shares'!$C:$FM,102)</f>
        <v>28.86</v>
      </c>
      <c r="C30" s="50">
        <f>VLOOKUP($A30,'Data shares'!$C:$FM,110)</f>
        <v>28.03</v>
      </c>
      <c r="D30" s="50">
        <f>VLOOKUP($A30,'Data shares'!$C:$FM,114)</f>
        <v>30.48</v>
      </c>
      <c r="E30" s="50">
        <f>VLOOKUP($A30,'Data shares'!$C:$FM,106)</f>
        <v>35.409999999999997</v>
      </c>
      <c r="F30" s="50">
        <f>VLOOKUP($A30,'Data shares'!$C:$FM,108)</f>
        <v>-6.55</v>
      </c>
      <c r="G30" s="50">
        <f t="shared" si="0"/>
        <v>0.81502400451849766</v>
      </c>
    </row>
    <row r="31" spans="1:7" x14ac:dyDescent="0.25">
      <c r="A31" s="49" t="str">
        <f>'Data Vlaue (Cr)'!C26</f>
        <v>BANDHANBNK</v>
      </c>
      <c r="B31" s="50">
        <f>VLOOKUP($A31,'Data shares'!$C:$FM,102)</f>
        <v>40.46</v>
      </c>
      <c r="C31" s="50">
        <f>VLOOKUP($A31,'Data shares'!$C:$FM,110)</f>
        <v>40.15</v>
      </c>
      <c r="D31" s="50">
        <f>VLOOKUP($A31,'Data shares'!$C:$FM,114)</f>
        <v>40.96</v>
      </c>
      <c r="E31" s="50">
        <f>VLOOKUP($A31,'Data shares'!$C:$FM,106)</f>
        <v>47.48</v>
      </c>
      <c r="F31" s="50">
        <f>VLOOKUP($A31,'Data shares'!$C:$FM,108)</f>
        <v>-7.02</v>
      </c>
      <c r="G31" s="50">
        <f t="shared" si="0"/>
        <v>0.85214827295703466</v>
      </c>
    </row>
    <row r="32" spans="1:7" x14ac:dyDescent="0.25">
      <c r="A32" s="49" t="str">
        <f>'Data Vlaue (Cr)'!C27</f>
        <v>BANKBARODA</v>
      </c>
      <c r="B32" s="50">
        <f>VLOOKUP($A32,'Data shares'!$C:$FM,102)</f>
        <v>36.090000000000003</v>
      </c>
      <c r="C32" s="50">
        <f>VLOOKUP($A32,'Data shares'!$C:$FM,110)</f>
        <v>35.9</v>
      </c>
      <c r="D32" s="50">
        <f>VLOOKUP($A32,'Data shares'!$C:$FM,114)</f>
        <v>36.65</v>
      </c>
      <c r="E32" s="50">
        <f>VLOOKUP($A32,'Data shares'!$C:$FM,106)</f>
        <v>36.49</v>
      </c>
      <c r="F32" s="50">
        <f>VLOOKUP($A32,'Data shares'!$C:$FM,108)</f>
        <v>-0.4</v>
      </c>
      <c r="G32" s="50">
        <f t="shared" si="0"/>
        <v>0.98903809262811737</v>
      </c>
    </row>
    <row r="33" spans="1:7" x14ac:dyDescent="0.25">
      <c r="A33" s="49" t="str">
        <f>'Data Vlaue (Cr)'!C28</f>
        <v>BANKINDIA</v>
      </c>
      <c r="B33" s="50">
        <f>VLOOKUP($A33,'Data shares'!$C:$FM,102)</f>
        <v>42.72</v>
      </c>
      <c r="C33" s="50">
        <f>VLOOKUP($A33,'Data shares'!$C:$FM,110)</f>
        <v>42.64</v>
      </c>
      <c r="D33" s="50">
        <f>VLOOKUP($A33,'Data shares'!$C:$FM,114)</f>
        <v>42.88</v>
      </c>
      <c r="E33" s="50">
        <f>VLOOKUP($A33,'Data shares'!$C:$FM,106)</f>
        <v>42.4</v>
      </c>
      <c r="F33" s="50">
        <f>VLOOKUP($A33,'Data shares'!$C:$FM,108)</f>
        <v>0.32</v>
      </c>
      <c r="G33" s="50">
        <f t="shared" si="0"/>
        <v>1.0075471698113208</v>
      </c>
    </row>
    <row r="34" spans="1:7" x14ac:dyDescent="0.25">
      <c r="A34" s="49" t="str">
        <f>'Data Vlaue (Cr)'!C29</f>
        <v>BANKNIFTY</v>
      </c>
      <c r="B34" s="50">
        <f>VLOOKUP($A34,'Data shares'!$C:$FM,102)</f>
        <v>19.32</v>
      </c>
      <c r="C34" s="50">
        <f>VLOOKUP($A34,'Data shares'!$C:$FM,110)</f>
        <v>17.89</v>
      </c>
      <c r="D34" s="50">
        <f>VLOOKUP($A34,'Data shares'!$C:$FM,114)</f>
        <v>20.99</v>
      </c>
      <c r="E34" s="50">
        <f>VLOOKUP($A34,'Data shares'!$C:$FM,106)</f>
        <v>21.37</v>
      </c>
      <c r="F34" s="50">
        <f>VLOOKUP($A34,'Data shares'!$C:$FM,108)</f>
        <v>-2.0499999999999998</v>
      </c>
      <c r="G34" s="50">
        <f t="shared" si="0"/>
        <v>0.90407112774918108</v>
      </c>
    </row>
    <row r="35" spans="1:7" x14ac:dyDescent="0.25">
      <c r="A35" s="49" t="str">
        <f>'Data Vlaue (Cr)'!C30</f>
        <v>BDL</v>
      </c>
      <c r="B35" s="50">
        <f>VLOOKUP($A35,'Data shares'!$C:$FM,102)</f>
        <v>42.78</v>
      </c>
      <c r="C35" s="50">
        <f>VLOOKUP($A35,'Data shares'!$C:$FM,110)</f>
        <v>42.7</v>
      </c>
      <c r="D35" s="50">
        <f>VLOOKUP($A35,'Data shares'!$C:$FM,114)</f>
        <v>43.08</v>
      </c>
      <c r="E35" s="50">
        <f>VLOOKUP($A35,'Data shares'!$C:$FM,106)</f>
        <v>52.25</v>
      </c>
      <c r="F35" s="50">
        <f>VLOOKUP($A35,'Data shares'!$C:$FM,108)</f>
        <v>-9.4700000000000006</v>
      </c>
      <c r="G35" s="50">
        <f t="shared" si="0"/>
        <v>0.81875598086124401</v>
      </c>
    </row>
    <row r="36" spans="1:7" x14ac:dyDescent="0.25">
      <c r="A36" s="49" t="str">
        <f>'Data Vlaue (Cr)'!C31</f>
        <v>BEL</v>
      </c>
      <c r="B36" s="50">
        <f>VLOOKUP($A36,'Data shares'!$C:$FM,102)</f>
        <v>33.409999999999997</v>
      </c>
      <c r="C36" s="50">
        <f>VLOOKUP($A36,'Data shares'!$C:$FM,110)</f>
        <v>33.659999999999997</v>
      </c>
      <c r="D36" s="50">
        <f>VLOOKUP($A36,'Data shares'!$C:$FM,114)</f>
        <v>32.83</v>
      </c>
      <c r="E36" s="50">
        <f>VLOOKUP($A36,'Data shares'!$C:$FM,106)</f>
        <v>36.43</v>
      </c>
      <c r="F36" s="50">
        <f>VLOOKUP($A36,'Data shares'!$C:$FM,108)</f>
        <v>-3.02</v>
      </c>
      <c r="G36" s="50">
        <f t="shared" si="0"/>
        <v>0.91710129014548436</v>
      </c>
    </row>
    <row r="37" spans="1:7" x14ac:dyDescent="0.25">
      <c r="A37" s="49" t="str">
        <f>'Data Vlaue (Cr)'!C32</f>
        <v>BHARATFORG</v>
      </c>
      <c r="B37" s="50">
        <f>VLOOKUP($A37,'Data shares'!$C:$FM,102)</f>
        <v>41.46</v>
      </c>
      <c r="C37" s="50">
        <f>VLOOKUP($A37,'Data shares'!$C:$FM,110)</f>
        <v>41.34</v>
      </c>
      <c r="D37" s="50">
        <f>VLOOKUP($A37,'Data shares'!$C:$FM,114)</f>
        <v>41.67</v>
      </c>
      <c r="E37" s="50">
        <f>VLOOKUP($A37,'Data shares'!$C:$FM,106)</f>
        <v>39.15</v>
      </c>
      <c r="F37" s="50">
        <f>VLOOKUP($A37,'Data shares'!$C:$FM,108)</f>
        <v>2.31</v>
      </c>
      <c r="G37" s="50">
        <f t="shared" si="0"/>
        <v>1.0590038314176247</v>
      </c>
    </row>
    <row r="38" spans="1:7" x14ac:dyDescent="0.25">
      <c r="A38" s="49" t="str">
        <f>'Data Vlaue (Cr)'!C33</f>
        <v>BHARTIARTL</v>
      </c>
      <c r="B38" s="50">
        <f>VLOOKUP($A38,'Data shares'!$C:$FM,102)</f>
        <v>22.15</v>
      </c>
      <c r="C38" s="50">
        <f>VLOOKUP($A38,'Data shares'!$C:$FM,110)</f>
        <v>22.53</v>
      </c>
      <c r="D38" s="50">
        <f>VLOOKUP($A38,'Data shares'!$C:$FM,114)</f>
        <v>21.43</v>
      </c>
      <c r="E38" s="50">
        <f>VLOOKUP($A38,'Data shares'!$C:$FM,106)</f>
        <v>24.47</v>
      </c>
      <c r="F38" s="50">
        <f>VLOOKUP($A38,'Data shares'!$C:$FM,108)</f>
        <v>-2.3199999999999998</v>
      </c>
      <c r="G38" s="50">
        <f t="shared" si="0"/>
        <v>0.90519002860645692</v>
      </c>
    </row>
    <row r="39" spans="1:7" x14ac:dyDescent="0.25">
      <c r="A39" s="49" t="str">
        <f>'Data Vlaue (Cr)'!C34</f>
        <v>BHEL</v>
      </c>
      <c r="B39" s="50">
        <f>VLOOKUP($A39,'Data shares'!$C:$FM,102)</f>
        <v>39.880000000000003</v>
      </c>
      <c r="C39" s="50">
        <f>VLOOKUP($A39,'Data shares'!$C:$FM,110)</f>
        <v>38.57</v>
      </c>
      <c r="D39" s="50">
        <f>VLOOKUP($A39,'Data shares'!$C:$FM,114)</f>
        <v>41.97</v>
      </c>
      <c r="E39" s="50">
        <f>VLOOKUP($A39,'Data shares'!$C:$FM,106)</f>
        <v>47.77</v>
      </c>
      <c r="F39" s="50">
        <f>VLOOKUP($A39,'Data shares'!$C:$FM,108)</f>
        <v>-7.89</v>
      </c>
      <c r="G39" s="50">
        <f t="shared" ref="G39:G70" si="1">B39/E39</f>
        <v>0.83483357755913756</v>
      </c>
    </row>
    <row r="40" spans="1:7" x14ac:dyDescent="0.25">
      <c r="A40" s="49" t="str">
        <f>'Data Vlaue (Cr)'!C35</f>
        <v>BIOCON</v>
      </c>
      <c r="B40" s="50">
        <f>VLOOKUP($A40,'Data shares'!$C:$FM,102)</f>
        <v>33.6</v>
      </c>
      <c r="C40" s="50">
        <f>VLOOKUP($A40,'Data shares'!$C:$FM,110)</f>
        <v>33.15</v>
      </c>
      <c r="D40" s="50">
        <f>VLOOKUP($A40,'Data shares'!$C:$FM,114)</f>
        <v>34.770000000000003</v>
      </c>
      <c r="E40" s="50">
        <f>VLOOKUP($A40,'Data shares'!$C:$FM,106)</f>
        <v>36.11</v>
      </c>
      <c r="F40" s="50">
        <f>VLOOKUP($A40,'Data shares'!$C:$FM,108)</f>
        <v>-2.5099999999999998</v>
      </c>
      <c r="G40" s="50">
        <f t="shared" si="1"/>
        <v>0.93049016892827474</v>
      </c>
    </row>
    <row r="41" spans="1:7" x14ac:dyDescent="0.25">
      <c r="A41" s="49" t="str">
        <f>'Data Vlaue (Cr)'!C36</f>
        <v>BLUESTARCO</v>
      </c>
      <c r="B41" s="50">
        <f>VLOOKUP($A41,'Data shares'!$C:$FM,102)</f>
        <v>44.8</v>
      </c>
      <c r="C41" s="50">
        <f>VLOOKUP($A41,'Data shares'!$C:$FM,110)</f>
        <v>44.52</v>
      </c>
      <c r="D41" s="50">
        <f>VLOOKUP($A41,'Data shares'!$C:$FM,114)</f>
        <v>45.62</v>
      </c>
      <c r="E41" s="50">
        <f>VLOOKUP($A41,'Data shares'!$C:$FM,106)</f>
        <v>42.81</v>
      </c>
      <c r="F41" s="50">
        <f>VLOOKUP($A41,'Data shares'!$C:$FM,108)</f>
        <v>1.99</v>
      </c>
      <c r="G41" s="50">
        <f t="shared" si="1"/>
        <v>1.0464844662462041</v>
      </c>
    </row>
    <row r="42" spans="1:7" x14ac:dyDescent="0.25">
      <c r="A42" s="49" t="str">
        <f>'Data Vlaue (Cr)'!C37</f>
        <v>BOSCHLTD</v>
      </c>
      <c r="B42" s="50">
        <f>VLOOKUP($A42,'Data shares'!$C:$FM,102)</f>
        <v>33.6</v>
      </c>
      <c r="C42" s="50">
        <f>VLOOKUP($A42,'Data shares'!$C:$FM,110)</f>
        <v>33.520000000000003</v>
      </c>
      <c r="D42" s="50">
        <f>VLOOKUP($A42,'Data shares'!$C:$FM,114)</f>
        <v>33.840000000000003</v>
      </c>
      <c r="E42" s="50">
        <f>VLOOKUP($A42,'Data shares'!$C:$FM,106)</f>
        <v>34.57</v>
      </c>
      <c r="F42" s="50">
        <f>VLOOKUP($A42,'Data shares'!$C:$FM,108)</f>
        <v>-0.97</v>
      </c>
      <c r="G42" s="50">
        <f t="shared" si="1"/>
        <v>0.97194098929707839</v>
      </c>
    </row>
    <row r="43" spans="1:7" x14ac:dyDescent="0.25">
      <c r="A43" s="49" t="str">
        <f>'Data Vlaue (Cr)'!C38</f>
        <v>BPCL</v>
      </c>
      <c r="B43" s="50">
        <f>VLOOKUP($A43,'Data shares'!$C:$FM,102)</f>
        <v>42.24</v>
      </c>
      <c r="C43" s="50">
        <f>VLOOKUP($A43,'Data shares'!$C:$FM,110)</f>
        <v>42.23</v>
      </c>
      <c r="D43" s="50">
        <f>VLOOKUP($A43,'Data shares'!$C:$FM,114)</f>
        <v>42.26</v>
      </c>
      <c r="E43" s="50">
        <f>VLOOKUP($A43,'Data shares'!$C:$FM,106)</f>
        <v>37.229999999999997</v>
      </c>
      <c r="F43" s="50">
        <f>VLOOKUP($A43,'Data shares'!$C:$FM,108)</f>
        <v>5.01</v>
      </c>
      <c r="G43" s="50">
        <f t="shared" si="1"/>
        <v>1.1345688960515714</v>
      </c>
    </row>
    <row r="44" spans="1:7" x14ac:dyDescent="0.25">
      <c r="A44" s="49" t="str">
        <f>'Data Vlaue (Cr)'!C39</f>
        <v>BRITANNIA</v>
      </c>
      <c r="B44" s="50">
        <f>VLOOKUP($A44,'Data shares'!$C:$FM,102)</f>
        <v>29.78</v>
      </c>
      <c r="C44" s="50">
        <f>VLOOKUP($A44,'Data shares'!$C:$FM,110)</f>
        <v>29.28</v>
      </c>
      <c r="D44" s="50">
        <f>VLOOKUP($A44,'Data shares'!$C:$FM,114)</f>
        <v>30.45</v>
      </c>
      <c r="E44" s="50">
        <f>VLOOKUP($A44,'Data shares'!$C:$FM,106)</f>
        <v>24.64</v>
      </c>
      <c r="F44" s="50">
        <f>VLOOKUP($A44,'Data shares'!$C:$FM,108)</f>
        <v>5.14</v>
      </c>
      <c r="G44" s="50">
        <f t="shared" si="1"/>
        <v>1.2086038961038961</v>
      </c>
    </row>
    <row r="45" spans="1:7" x14ac:dyDescent="0.25">
      <c r="A45" s="49" t="str">
        <f>'Data Vlaue (Cr)'!C40</f>
        <v>BSE</v>
      </c>
      <c r="B45" s="50">
        <f>VLOOKUP($A45,'Data shares'!$C:$FM,102)</f>
        <v>42.99</v>
      </c>
      <c r="C45" s="50">
        <f>VLOOKUP($A45,'Data shares'!$C:$FM,110)</f>
        <v>41.81</v>
      </c>
      <c r="D45" s="50">
        <f>VLOOKUP($A45,'Data shares'!$C:$FM,114)</f>
        <v>44.81</v>
      </c>
      <c r="E45" s="50">
        <f>VLOOKUP($A45,'Data shares'!$C:$FM,106)</f>
        <v>57.99</v>
      </c>
      <c r="F45" s="50">
        <f>VLOOKUP($A45,'Data shares'!$C:$FM,108)</f>
        <v>-15</v>
      </c>
      <c r="G45" s="50">
        <f t="shared" si="1"/>
        <v>0.7413347128815313</v>
      </c>
    </row>
    <row r="46" spans="1:7" x14ac:dyDescent="0.25">
      <c r="A46" s="49" t="str">
        <f>'Data Vlaue (Cr)'!C41</f>
        <v>CAMS</v>
      </c>
      <c r="B46" s="50">
        <f>VLOOKUP($A46,'Data shares'!$C:$FM,102)</f>
        <v>32.58</v>
      </c>
      <c r="C46" s="50">
        <f>VLOOKUP($A46,'Data shares'!$C:$FM,110)</f>
        <v>31.74</v>
      </c>
      <c r="D46" s="50">
        <f>VLOOKUP($A46,'Data shares'!$C:$FM,114)</f>
        <v>34.090000000000003</v>
      </c>
      <c r="E46" s="50">
        <f>VLOOKUP($A46,'Data shares'!$C:$FM,106)</f>
        <v>42.49</v>
      </c>
      <c r="F46" s="50">
        <f>VLOOKUP($A46,'Data shares'!$C:$FM,108)</f>
        <v>-9.91</v>
      </c>
      <c r="G46" s="50">
        <f t="shared" si="1"/>
        <v>0.76676865144739936</v>
      </c>
    </row>
    <row r="47" spans="1:7" x14ac:dyDescent="0.25">
      <c r="A47" s="49" t="str">
        <f>'Data Vlaue (Cr)'!C42</f>
        <v>CANBK</v>
      </c>
      <c r="B47" s="50">
        <f>VLOOKUP($A47,'Data shares'!$C:$FM,102)</f>
        <v>37.5</v>
      </c>
      <c r="C47" s="50">
        <f>VLOOKUP($A47,'Data shares'!$C:$FM,110)</f>
        <v>36.869999999999997</v>
      </c>
      <c r="D47" s="50">
        <f>VLOOKUP($A47,'Data shares'!$C:$FM,114)</f>
        <v>38.909999999999997</v>
      </c>
      <c r="E47" s="50">
        <f>VLOOKUP($A47,'Data shares'!$C:$FM,106)</f>
        <v>38.67</v>
      </c>
      <c r="F47" s="50">
        <f>VLOOKUP($A47,'Data shares'!$C:$FM,108)</f>
        <v>-1.17</v>
      </c>
      <c r="G47" s="50">
        <f t="shared" si="1"/>
        <v>0.96974398758727687</v>
      </c>
    </row>
    <row r="48" spans="1:7" x14ac:dyDescent="0.25">
      <c r="A48" s="49" t="str">
        <f>'Data Vlaue (Cr)'!C43</f>
        <v>CDSL</v>
      </c>
      <c r="B48" s="50">
        <f>VLOOKUP($A48,'Data shares'!$C:$FM,102)</f>
        <v>34.01</v>
      </c>
      <c r="C48" s="50">
        <f>VLOOKUP($A48,'Data shares'!$C:$FM,110)</f>
        <v>33.68</v>
      </c>
      <c r="D48" s="50">
        <f>VLOOKUP($A48,'Data shares'!$C:$FM,114)</f>
        <v>34.950000000000003</v>
      </c>
      <c r="E48" s="50">
        <f>VLOOKUP($A48,'Data shares'!$C:$FM,106)</f>
        <v>46.14</v>
      </c>
      <c r="F48" s="50">
        <f>VLOOKUP($A48,'Data shares'!$C:$FM,108)</f>
        <v>-12.13</v>
      </c>
      <c r="G48" s="50">
        <f t="shared" si="1"/>
        <v>0.73710446467273505</v>
      </c>
    </row>
    <row r="49" spans="1:7" x14ac:dyDescent="0.25">
      <c r="A49" s="49" t="str">
        <f>'Data Vlaue (Cr)'!C44</f>
        <v>CGPOWER</v>
      </c>
      <c r="B49" s="50">
        <f>VLOOKUP($A49,'Data shares'!$C:$FM,102)</f>
        <v>41.6</v>
      </c>
      <c r="C49" s="50">
        <f>VLOOKUP($A49,'Data shares'!$C:$FM,110)</f>
        <v>41.67</v>
      </c>
      <c r="D49" s="50">
        <f>VLOOKUP($A49,'Data shares'!$C:$FM,114)</f>
        <v>41.4</v>
      </c>
      <c r="E49" s="50">
        <f>VLOOKUP($A49,'Data shares'!$C:$FM,106)</f>
        <v>41.91</v>
      </c>
      <c r="F49" s="50">
        <f>VLOOKUP($A49,'Data shares'!$C:$FM,108)</f>
        <v>-0.31</v>
      </c>
      <c r="G49" s="50">
        <f t="shared" si="1"/>
        <v>0.99260319732760693</v>
      </c>
    </row>
    <row r="50" spans="1:7" x14ac:dyDescent="0.25">
      <c r="A50" s="49" t="str">
        <f>'Data Vlaue (Cr)'!C45</f>
        <v>CHOLAFIN</v>
      </c>
      <c r="B50" s="50">
        <f>VLOOKUP($A50,'Data shares'!$C:$FM,102)</f>
        <v>32.840000000000003</v>
      </c>
      <c r="C50" s="50">
        <f>VLOOKUP($A50,'Data shares'!$C:$FM,110)</f>
        <v>31.04</v>
      </c>
      <c r="D50" s="50">
        <f>VLOOKUP($A50,'Data shares'!$C:$FM,114)</f>
        <v>35.43</v>
      </c>
      <c r="E50" s="50">
        <f>VLOOKUP($A50,'Data shares'!$C:$FM,106)</f>
        <v>40.869999999999997</v>
      </c>
      <c r="F50" s="50">
        <f>VLOOKUP($A50,'Data shares'!$C:$FM,108)</f>
        <v>-8.0299999999999994</v>
      </c>
      <c r="G50" s="50">
        <f t="shared" si="1"/>
        <v>0.80352336677269409</v>
      </c>
    </row>
    <row r="51" spans="1:7" x14ac:dyDescent="0.25">
      <c r="A51" s="49" t="str">
        <f>'Data Vlaue (Cr)'!C46</f>
        <v>CIPLA</v>
      </c>
      <c r="B51" s="50">
        <f>VLOOKUP($A51,'Data shares'!$C:$FM,102)</f>
        <v>24.93</v>
      </c>
      <c r="C51" s="50">
        <f>VLOOKUP($A51,'Data shares'!$C:$FM,110)</f>
        <v>24.3</v>
      </c>
      <c r="D51" s="50">
        <f>VLOOKUP($A51,'Data shares'!$C:$FM,114)</f>
        <v>26.73</v>
      </c>
      <c r="E51" s="50">
        <f>VLOOKUP($A51,'Data shares'!$C:$FM,106)</f>
        <v>25.86</v>
      </c>
      <c r="F51" s="50">
        <f>VLOOKUP($A51,'Data shares'!$C:$FM,108)</f>
        <v>-0.93</v>
      </c>
      <c r="G51" s="50">
        <f t="shared" si="1"/>
        <v>0.96403712296983757</v>
      </c>
    </row>
    <row r="52" spans="1:7" x14ac:dyDescent="0.25">
      <c r="A52" s="49" t="str">
        <f>'Data Vlaue (Cr)'!C47</f>
        <v>COALINDIA</v>
      </c>
      <c r="B52" s="50">
        <f>VLOOKUP($A52,'Data shares'!$C:$FM,102)</f>
        <v>26.73</v>
      </c>
      <c r="C52" s="50">
        <f>VLOOKUP($A52,'Data shares'!$C:$FM,110)</f>
        <v>26.67</v>
      </c>
      <c r="D52" s="50">
        <f>VLOOKUP($A52,'Data shares'!$C:$FM,114)</f>
        <v>26.83</v>
      </c>
      <c r="E52" s="50">
        <f>VLOOKUP($A52,'Data shares'!$C:$FM,106)</f>
        <v>31.03</v>
      </c>
      <c r="F52" s="50">
        <f>VLOOKUP($A52,'Data shares'!$C:$FM,108)</f>
        <v>-4.3</v>
      </c>
      <c r="G52" s="50">
        <f t="shared" si="1"/>
        <v>0.8614244279729294</v>
      </c>
    </row>
    <row r="53" spans="1:7" x14ac:dyDescent="0.25">
      <c r="A53" s="49" t="str">
        <f>'Data Vlaue (Cr)'!C48</f>
        <v>COCHINSHIP</v>
      </c>
      <c r="B53" s="50">
        <f>VLOOKUP($A53,'Data shares'!$C:$FM,102)</f>
        <v>49.4</v>
      </c>
      <c r="C53" s="50">
        <f>VLOOKUP($A53,'Data shares'!$C:$FM,110)</f>
        <v>49.44</v>
      </c>
      <c r="D53" s="50">
        <f>VLOOKUP($A53,'Data shares'!$C:$FM,114)</f>
        <v>49.24</v>
      </c>
      <c r="E53" s="50">
        <f>VLOOKUP($A53,'Data shares'!$C:$FM,106)</f>
        <v>54.25</v>
      </c>
      <c r="F53" s="50">
        <f>VLOOKUP($A53,'Data shares'!$C:$FM,108)</f>
        <v>-4.8499999999999996</v>
      </c>
      <c r="G53" s="50">
        <f t="shared" si="1"/>
        <v>0.91059907834101383</v>
      </c>
    </row>
    <row r="54" spans="1:7" x14ac:dyDescent="0.25">
      <c r="A54" s="49" t="str">
        <f>'Data Vlaue (Cr)'!C49</f>
        <v>COFORGE</v>
      </c>
      <c r="B54" s="50">
        <f>VLOOKUP($A54,'Data shares'!$C:$FM,102)</f>
        <v>34.86</v>
      </c>
      <c r="C54" s="50">
        <f>VLOOKUP($A54,'Data shares'!$C:$FM,110)</f>
        <v>34.44</v>
      </c>
      <c r="D54" s="50">
        <f>VLOOKUP($A54,'Data shares'!$C:$FM,114)</f>
        <v>35.64</v>
      </c>
      <c r="E54" s="50">
        <f>VLOOKUP($A54,'Data shares'!$C:$FM,106)</f>
        <v>45.62</v>
      </c>
      <c r="F54" s="50">
        <f>VLOOKUP($A54,'Data shares'!$C:$FM,108)</f>
        <v>-10.76</v>
      </c>
      <c r="G54" s="50">
        <f t="shared" si="1"/>
        <v>0.76413853572994306</v>
      </c>
    </row>
    <row r="55" spans="1:7" x14ac:dyDescent="0.25">
      <c r="A55" s="49" t="str">
        <f>'Data Vlaue (Cr)'!C50</f>
        <v>COLPAL</v>
      </c>
      <c r="B55" s="50">
        <f>VLOOKUP($A55,'Data shares'!$C:$FM,102)</f>
        <v>28.87</v>
      </c>
      <c r="C55" s="50">
        <f>VLOOKUP($A55,'Data shares'!$C:$FM,110)</f>
        <v>28.82</v>
      </c>
      <c r="D55" s="50">
        <f>VLOOKUP($A55,'Data shares'!$C:$FM,114)</f>
        <v>29.02</v>
      </c>
      <c r="E55" s="50">
        <f>VLOOKUP($A55,'Data shares'!$C:$FM,106)</f>
        <v>30.53</v>
      </c>
      <c r="F55" s="50">
        <f>VLOOKUP($A55,'Data shares'!$C:$FM,108)</f>
        <v>-1.66</v>
      </c>
      <c r="G55" s="50">
        <f t="shared" si="1"/>
        <v>0.94562725188339336</v>
      </c>
    </row>
    <row r="56" spans="1:7" x14ac:dyDescent="0.25">
      <c r="A56" s="49" t="str">
        <f>'Data Vlaue (Cr)'!C51</f>
        <v>CONCOR</v>
      </c>
      <c r="B56" s="50">
        <f>VLOOKUP($A56,'Data shares'!$C:$FM,102)</f>
        <v>32.31</v>
      </c>
      <c r="C56" s="50">
        <f>VLOOKUP($A56,'Data shares'!$C:$FM,110)</f>
        <v>32.25</v>
      </c>
      <c r="D56" s="50">
        <f>VLOOKUP($A56,'Data shares'!$C:$FM,114)</f>
        <v>32.51</v>
      </c>
      <c r="E56" s="50">
        <f>VLOOKUP($A56,'Data shares'!$C:$FM,106)</f>
        <v>34.54</v>
      </c>
      <c r="F56" s="50">
        <f>VLOOKUP($A56,'Data shares'!$C:$FM,108)</f>
        <v>-2.23</v>
      </c>
      <c r="G56" s="50">
        <f t="shared" si="1"/>
        <v>0.93543717429067752</v>
      </c>
    </row>
    <row r="57" spans="1:7" x14ac:dyDescent="0.25">
      <c r="A57" s="49" t="str">
        <f>'Data Vlaue (Cr)'!C52</f>
        <v>CROMPTON</v>
      </c>
      <c r="B57" s="50">
        <f>VLOOKUP($A57,'Data shares'!$C:$FM,102)</f>
        <v>40.98</v>
      </c>
      <c r="C57" s="50">
        <f>VLOOKUP($A57,'Data shares'!$C:$FM,110)</f>
        <v>40.76</v>
      </c>
      <c r="D57" s="50">
        <f>VLOOKUP($A57,'Data shares'!$C:$FM,114)</f>
        <v>41.84</v>
      </c>
      <c r="E57" s="50">
        <f>VLOOKUP($A57,'Data shares'!$C:$FM,106)</f>
        <v>35.92</v>
      </c>
      <c r="F57" s="50">
        <f>VLOOKUP($A57,'Data shares'!$C:$FM,108)</f>
        <v>5.0599999999999996</v>
      </c>
      <c r="G57" s="50">
        <f t="shared" si="1"/>
        <v>1.1408685968819599</v>
      </c>
    </row>
    <row r="58" spans="1:7" x14ac:dyDescent="0.25">
      <c r="A58" s="49" t="str">
        <f>'Data Vlaue (Cr)'!C53</f>
        <v>CUMMINSIND</v>
      </c>
      <c r="B58" s="50">
        <f>VLOOKUP($A58,'Data shares'!$C:$FM,102)</f>
        <v>30.19</v>
      </c>
      <c r="C58" s="50">
        <f>VLOOKUP($A58,'Data shares'!$C:$FM,110)</f>
        <v>29.78</v>
      </c>
      <c r="D58" s="50">
        <f>VLOOKUP($A58,'Data shares'!$C:$FM,114)</f>
        <v>30.97</v>
      </c>
      <c r="E58" s="50">
        <f>VLOOKUP($A58,'Data shares'!$C:$FM,106)</f>
        <v>35.409999999999997</v>
      </c>
      <c r="F58" s="50">
        <f>VLOOKUP($A58,'Data shares'!$C:$FM,108)</f>
        <v>-5.22</v>
      </c>
      <c r="G58" s="50">
        <f t="shared" si="1"/>
        <v>0.85258401581474175</v>
      </c>
    </row>
    <row r="59" spans="1:7" x14ac:dyDescent="0.25">
      <c r="A59" s="49" t="str">
        <f>'Data Vlaue (Cr)'!C54</f>
        <v>DABUR</v>
      </c>
      <c r="B59" s="50">
        <f>VLOOKUP($A59,'Data shares'!$C:$FM,102)</f>
        <v>31.66</v>
      </c>
      <c r="C59" s="50">
        <f>VLOOKUP($A59,'Data shares'!$C:$FM,110)</f>
        <v>31.65</v>
      </c>
      <c r="D59" s="50">
        <f>VLOOKUP($A59,'Data shares'!$C:$FM,114)</f>
        <v>31.72</v>
      </c>
      <c r="E59" s="50">
        <f>VLOOKUP($A59,'Data shares'!$C:$FM,106)</f>
        <v>27.62</v>
      </c>
      <c r="F59" s="50">
        <f>VLOOKUP($A59,'Data shares'!$C:$FM,108)</f>
        <v>4.04</v>
      </c>
      <c r="G59" s="50">
        <f t="shared" si="1"/>
        <v>1.1462708182476467</v>
      </c>
    </row>
    <row r="60" spans="1:7" x14ac:dyDescent="0.25">
      <c r="A60" s="49" t="str">
        <f>'Data Vlaue (Cr)'!C55</f>
        <v>DALBHARAT</v>
      </c>
      <c r="B60" s="50">
        <f>VLOOKUP($A60,'Data shares'!$C:$FM,102)</f>
        <v>29.56</v>
      </c>
      <c r="C60" s="50">
        <f>VLOOKUP($A60,'Data shares'!$C:$FM,110)</f>
        <v>29.17</v>
      </c>
      <c r="D60" s="50">
        <f>VLOOKUP($A60,'Data shares'!$C:$FM,114)</f>
        <v>31.32</v>
      </c>
      <c r="E60" s="50">
        <f>VLOOKUP($A60,'Data shares'!$C:$FM,106)</f>
        <v>33.99</v>
      </c>
      <c r="F60" s="50">
        <f>VLOOKUP($A60,'Data shares'!$C:$FM,108)</f>
        <v>-4.43</v>
      </c>
      <c r="G60" s="50">
        <f t="shared" si="1"/>
        <v>0.86966754927919965</v>
      </c>
    </row>
    <row r="61" spans="1:7" x14ac:dyDescent="0.25">
      <c r="A61" s="49" t="str">
        <f>'Data Vlaue (Cr)'!C56</f>
        <v>DELHIVERY</v>
      </c>
      <c r="B61" s="50">
        <f>VLOOKUP($A61,'Data shares'!$C:$FM,102)</f>
        <v>35.340000000000003</v>
      </c>
      <c r="C61" s="50">
        <f>VLOOKUP($A61,'Data shares'!$C:$FM,110)</f>
        <v>34.85</v>
      </c>
      <c r="D61" s="50">
        <f>VLOOKUP($A61,'Data shares'!$C:$FM,114)</f>
        <v>36.229999999999997</v>
      </c>
      <c r="E61" s="50">
        <f>VLOOKUP($A61,'Data shares'!$C:$FM,106)</f>
        <v>38.99</v>
      </c>
      <c r="F61" s="50">
        <f>VLOOKUP($A61,'Data shares'!$C:$FM,108)</f>
        <v>-3.65</v>
      </c>
      <c r="G61" s="50">
        <f t="shared" si="1"/>
        <v>0.90638625288535524</v>
      </c>
    </row>
    <row r="62" spans="1:7" x14ac:dyDescent="0.25">
      <c r="A62" s="49" t="str">
        <f>'Data Vlaue (Cr)'!C57</f>
        <v>DIVISLAB</v>
      </c>
      <c r="B62" s="50">
        <f>VLOOKUP($A62,'Data shares'!$C:$FM,102)</f>
        <v>27.36</v>
      </c>
      <c r="C62" s="50">
        <f>VLOOKUP($A62,'Data shares'!$C:$FM,110)</f>
        <v>27.21</v>
      </c>
      <c r="D62" s="50">
        <f>VLOOKUP($A62,'Data shares'!$C:$FM,114)</f>
        <v>27.72</v>
      </c>
      <c r="E62" s="50">
        <f>VLOOKUP($A62,'Data shares'!$C:$FM,106)</f>
        <v>29.27</v>
      </c>
      <c r="F62" s="50">
        <f>VLOOKUP($A62,'Data shares'!$C:$FM,108)</f>
        <v>-1.91</v>
      </c>
      <c r="G62" s="50">
        <f t="shared" si="1"/>
        <v>0.93474547318073109</v>
      </c>
    </row>
    <row r="63" spans="1:7" x14ac:dyDescent="0.25">
      <c r="A63" s="49" t="str">
        <f>'Data Vlaue (Cr)'!C58</f>
        <v>DIXON</v>
      </c>
      <c r="B63" s="50">
        <f>VLOOKUP($A63,'Data shares'!$C:$FM,102)</f>
        <v>47.48</v>
      </c>
      <c r="C63" s="50">
        <f>VLOOKUP($A63,'Data shares'!$C:$FM,110)</f>
        <v>47.29</v>
      </c>
      <c r="D63" s="50">
        <f>VLOOKUP($A63,'Data shares'!$C:$FM,114)</f>
        <v>47.91</v>
      </c>
      <c r="E63" s="50">
        <f>VLOOKUP($A63,'Data shares'!$C:$FM,106)</f>
        <v>48.71</v>
      </c>
      <c r="F63" s="50">
        <f>VLOOKUP($A63,'Data shares'!$C:$FM,108)</f>
        <v>-1.23</v>
      </c>
      <c r="G63" s="50">
        <f t="shared" si="1"/>
        <v>0.9747485115992609</v>
      </c>
    </row>
    <row r="64" spans="1:7" x14ac:dyDescent="0.25">
      <c r="A64" s="49" t="str">
        <f>'Data Vlaue (Cr)'!C59</f>
        <v>DLF</v>
      </c>
      <c r="B64" s="50">
        <f>VLOOKUP($A64,'Data shares'!$C:$FM,102)</f>
        <v>35.44</v>
      </c>
      <c r="C64" s="50">
        <f>VLOOKUP($A64,'Data shares'!$C:$FM,110)</f>
        <v>35.04</v>
      </c>
      <c r="D64" s="50">
        <f>VLOOKUP($A64,'Data shares'!$C:$FM,114)</f>
        <v>36.369999999999997</v>
      </c>
      <c r="E64" s="50">
        <f>VLOOKUP($A64,'Data shares'!$C:$FM,106)</f>
        <v>37.799999999999997</v>
      </c>
      <c r="F64" s="50">
        <f>VLOOKUP($A64,'Data shares'!$C:$FM,108)</f>
        <v>-2.36</v>
      </c>
      <c r="G64" s="50">
        <f t="shared" si="1"/>
        <v>0.9375661375661376</v>
      </c>
    </row>
    <row r="65" spans="1:7" x14ac:dyDescent="0.25">
      <c r="A65" s="49" t="str">
        <f>'Data Vlaue (Cr)'!C60</f>
        <v>DMART</v>
      </c>
      <c r="B65" s="50">
        <f>VLOOKUP($A65,'Data shares'!$C:$FM,102)</f>
        <v>27.64</v>
      </c>
      <c r="C65" s="50">
        <f>VLOOKUP($A65,'Data shares'!$C:$FM,110)</f>
        <v>27.76</v>
      </c>
      <c r="D65" s="50">
        <f>VLOOKUP($A65,'Data shares'!$C:$FM,114)</f>
        <v>27.3</v>
      </c>
      <c r="E65" s="50">
        <f>VLOOKUP($A65,'Data shares'!$C:$FM,106)</f>
        <v>33.42</v>
      </c>
      <c r="F65" s="50">
        <f>VLOOKUP($A65,'Data shares'!$C:$FM,108)</f>
        <v>-5.78</v>
      </c>
      <c r="G65" s="50">
        <f t="shared" si="1"/>
        <v>0.82704967085577497</v>
      </c>
    </row>
    <row r="66" spans="1:7" x14ac:dyDescent="0.25">
      <c r="A66" s="49" t="str">
        <f>'Data Vlaue (Cr)'!C61</f>
        <v>DRREDDY</v>
      </c>
      <c r="B66" s="50">
        <f>VLOOKUP($A66,'Data shares'!$C:$FM,102)</f>
        <v>31.17</v>
      </c>
      <c r="C66" s="50">
        <f>VLOOKUP($A66,'Data shares'!$C:$FM,110)</f>
        <v>31.41</v>
      </c>
      <c r="D66" s="50">
        <f>VLOOKUP($A66,'Data shares'!$C:$FM,114)</f>
        <v>30.57</v>
      </c>
      <c r="E66" s="50">
        <f>VLOOKUP($A66,'Data shares'!$C:$FM,106)</f>
        <v>28.82</v>
      </c>
      <c r="F66" s="50">
        <f>VLOOKUP($A66,'Data shares'!$C:$FM,108)</f>
        <v>2.35</v>
      </c>
      <c r="G66" s="50">
        <f t="shared" si="1"/>
        <v>1.0815405968077725</v>
      </c>
    </row>
    <row r="67" spans="1:7" x14ac:dyDescent="0.25">
      <c r="A67" s="49" t="str">
        <f>'Data Vlaue (Cr)'!C62</f>
        <v>EICHERMOT</v>
      </c>
      <c r="B67" s="50">
        <f>VLOOKUP($A67,'Data shares'!$C:$FM,102)</f>
        <v>32.4</v>
      </c>
      <c r="C67" s="50">
        <f>VLOOKUP($A67,'Data shares'!$C:$FM,110)</f>
        <v>31.94</v>
      </c>
      <c r="D67" s="50">
        <f>VLOOKUP($A67,'Data shares'!$C:$FM,114)</f>
        <v>33.31</v>
      </c>
      <c r="E67" s="50">
        <f>VLOOKUP($A67,'Data shares'!$C:$FM,106)</f>
        <v>33.409999999999997</v>
      </c>
      <c r="F67" s="50">
        <f>VLOOKUP($A67,'Data shares'!$C:$FM,108)</f>
        <v>-1.01</v>
      </c>
      <c r="G67" s="50">
        <f t="shared" si="1"/>
        <v>0.96976953008081423</v>
      </c>
    </row>
    <row r="68" spans="1:7" x14ac:dyDescent="0.25">
      <c r="A68" s="49" t="str">
        <f>'Data Vlaue (Cr)'!C63</f>
        <v>ETERNAL</v>
      </c>
      <c r="B68" s="50">
        <f>VLOOKUP($A68,'Data shares'!$C:$FM,102)</f>
        <v>37.04</v>
      </c>
      <c r="C68" s="50">
        <f>VLOOKUP($A68,'Data shares'!$C:$FM,110)</f>
        <v>36.94</v>
      </c>
      <c r="D68" s="50">
        <f>VLOOKUP($A68,'Data shares'!$C:$FM,114)</f>
        <v>37.200000000000003</v>
      </c>
      <c r="E68" s="50">
        <f>VLOOKUP($A68,'Data shares'!$C:$FM,106)</f>
        <v>45.52</v>
      </c>
      <c r="F68" s="50">
        <f>VLOOKUP($A68,'Data shares'!$C:$FM,108)</f>
        <v>-8.48</v>
      </c>
      <c r="G68" s="50">
        <f t="shared" si="1"/>
        <v>0.81370826010544806</v>
      </c>
    </row>
    <row r="69" spans="1:7" x14ac:dyDescent="0.25">
      <c r="A69" s="49" t="str">
        <f>'Data Vlaue (Cr)'!C64</f>
        <v>EXIDEIND</v>
      </c>
      <c r="B69" s="50">
        <f>VLOOKUP($A69,'Data shares'!$C:$FM,102)</f>
        <v>33.85</v>
      </c>
      <c r="C69" s="50">
        <f>VLOOKUP($A69,'Data shares'!$C:$FM,110)</f>
        <v>33.82</v>
      </c>
      <c r="D69" s="50">
        <f>VLOOKUP($A69,'Data shares'!$C:$FM,114)</f>
        <v>33.880000000000003</v>
      </c>
      <c r="E69" s="50">
        <f>VLOOKUP($A69,'Data shares'!$C:$FM,106)</f>
        <v>36.06</v>
      </c>
      <c r="F69" s="50">
        <f>VLOOKUP($A69,'Data shares'!$C:$FM,108)</f>
        <v>-2.21</v>
      </c>
      <c r="G69" s="50">
        <f t="shared" si="1"/>
        <v>0.93871325568496944</v>
      </c>
    </row>
    <row r="70" spans="1:7" x14ac:dyDescent="0.25">
      <c r="A70" s="49" t="str">
        <f>'Data Vlaue (Cr)'!C65</f>
        <v>FEDERALBNK</v>
      </c>
      <c r="B70" s="50">
        <f>VLOOKUP($A70,'Data shares'!$C:$FM,102)</f>
        <v>28.37</v>
      </c>
      <c r="C70" s="50">
        <f>VLOOKUP($A70,'Data shares'!$C:$FM,110)</f>
        <v>28.57</v>
      </c>
      <c r="D70" s="50">
        <f>VLOOKUP($A70,'Data shares'!$C:$FM,114)</f>
        <v>27.94</v>
      </c>
      <c r="E70" s="50">
        <f>VLOOKUP($A70,'Data shares'!$C:$FM,106)</f>
        <v>31.71</v>
      </c>
      <c r="F70" s="50">
        <f>VLOOKUP($A70,'Data shares'!$C:$FM,108)</f>
        <v>-3.34</v>
      </c>
      <c r="G70" s="50">
        <f t="shared" si="1"/>
        <v>0.89467045096184172</v>
      </c>
    </row>
    <row r="71" spans="1:7" x14ac:dyDescent="0.25">
      <c r="A71" s="49" t="str">
        <f>'Data Vlaue (Cr)'!C66</f>
        <v>FINNIFTY</v>
      </c>
      <c r="B71" s="50">
        <f>VLOOKUP($A71,'Data shares'!$C:$FM,102)</f>
        <v>20.170000000000002</v>
      </c>
      <c r="C71" s="50">
        <f>VLOOKUP($A71,'Data shares'!$C:$FM,110)</f>
        <v>18.420000000000002</v>
      </c>
      <c r="D71" s="50">
        <f>VLOOKUP($A71,'Data shares'!$C:$FM,114)</f>
        <v>22.26</v>
      </c>
      <c r="E71" s="50">
        <f>VLOOKUP($A71,'Data shares'!$C:$FM,106)</f>
        <v>21.67</v>
      </c>
      <c r="F71" s="50">
        <f>VLOOKUP($A71,'Data shares'!$C:$FM,108)</f>
        <v>-1.5</v>
      </c>
      <c r="G71" s="50">
        <f t="shared" ref="G71:G102" si="2">B71/E71</f>
        <v>0.93077988001845868</v>
      </c>
    </row>
    <row r="72" spans="1:7" x14ac:dyDescent="0.25">
      <c r="A72" s="49" t="str">
        <f>'Data Vlaue (Cr)'!C67</f>
        <v>FORCEMOT</v>
      </c>
      <c r="B72" s="50">
        <f>VLOOKUP($A72,'Data shares'!$C:$FM,102)</f>
        <v>52.81</v>
      </c>
      <c r="C72" s="50">
        <f>VLOOKUP($A72,'Data shares'!$C:$FM,110)</f>
        <v>52.74</v>
      </c>
      <c r="D72" s="50">
        <f>VLOOKUP($A72,'Data shares'!$C:$FM,114)</f>
        <v>53.05</v>
      </c>
      <c r="E72" s="50">
        <f>VLOOKUP($A72,'Data shares'!$C:$FM,106)</f>
        <v>65.739999999999995</v>
      </c>
      <c r="F72" s="50">
        <f>VLOOKUP($A72,'Data shares'!$C:$FM,108)</f>
        <v>-12.93</v>
      </c>
      <c r="G72" s="50">
        <f t="shared" si="2"/>
        <v>0.80331609370246437</v>
      </c>
    </row>
    <row r="73" spans="1:7" x14ac:dyDescent="0.25">
      <c r="A73" s="49" t="str">
        <f>'Data Vlaue (Cr)'!C68</f>
        <v>FORTIS</v>
      </c>
      <c r="B73" s="50">
        <f>VLOOKUP($A73,'Data shares'!$C:$FM,102)</f>
        <v>28.89</v>
      </c>
      <c r="C73" s="50">
        <f>VLOOKUP($A73,'Data shares'!$C:$FM,110)</f>
        <v>28.36</v>
      </c>
      <c r="D73" s="50">
        <f>VLOOKUP($A73,'Data shares'!$C:$FM,114)</f>
        <v>30.59</v>
      </c>
      <c r="E73" s="50">
        <f>VLOOKUP($A73,'Data shares'!$C:$FM,106)</f>
        <v>35.15</v>
      </c>
      <c r="F73" s="50">
        <f>VLOOKUP($A73,'Data shares'!$C:$FM,108)</f>
        <v>-6.26</v>
      </c>
      <c r="G73" s="50">
        <f t="shared" si="2"/>
        <v>0.82190611664295876</v>
      </c>
    </row>
    <row r="74" spans="1:7" x14ac:dyDescent="0.25">
      <c r="A74" s="49" t="str">
        <f>'Data Vlaue (Cr)'!C69</f>
        <v>GAIL</v>
      </c>
      <c r="B74" s="50">
        <f>VLOOKUP($A74,'Data shares'!$C:$FM,102)</f>
        <v>30.33</v>
      </c>
      <c r="C74" s="50">
        <f>VLOOKUP($A74,'Data shares'!$C:$FM,110)</f>
        <v>29.85</v>
      </c>
      <c r="D74" s="50">
        <f>VLOOKUP($A74,'Data shares'!$C:$FM,114)</f>
        <v>31.34</v>
      </c>
      <c r="E74" s="50">
        <f>VLOOKUP($A74,'Data shares'!$C:$FM,106)</f>
        <v>35.03</v>
      </c>
      <c r="F74" s="50">
        <f>VLOOKUP($A74,'Data shares'!$C:$FM,108)</f>
        <v>-4.7</v>
      </c>
      <c r="G74" s="50">
        <f t="shared" si="2"/>
        <v>0.86582928918070223</v>
      </c>
    </row>
    <row r="75" spans="1:7" x14ac:dyDescent="0.25">
      <c r="A75" s="49" t="str">
        <f>'Data Vlaue (Cr)'!C70</f>
        <v>GLENMARK</v>
      </c>
      <c r="B75" s="50">
        <f>VLOOKUP($A75,'Data shares'!$C:$FM,102)</f>
        <v>37.25</v>
      </c>
      <c r="C75" s="50">
        <f>VLOOKUP($A75,'Data shares'!$C:$FM,110)</f>
        <v>37.1</v>
      </c>
      <c r="D75" s="50">
        <f>VLOOKUP($A75,'Data shares'!$C:$FM,114)</f>
        <v>37.590000000000003</v>
      </c>
      <c r="E75" s="50">
        <f>VLOOKUP($A75,'Data shares'!$C:$FM,106)</f>
        <v>35.94</v>
      </c>
      <c r="F75" s="50">
        <f>VLOOKUP($A75,'Data shares'!$C:$FM,108)</f>
        <v>1.31</v>
      </c>
      <c r="G75" s="50">
        <f t="shared" si="2"/>
        <v>1.0364496382860324</v>
      </c>
    </row>
    <row r="76" spans="1:7" x14ac:dyDescent="0.25">
      <c r="A76" s="49" t="str">
        <f>'Data Vlaue (Cr)'!C71</f>
        <v>GMRAIRPORT</v>
      </c>
      <c r="B76" s="50">
        <f>VLOOKUP($A76,'Data shares'!$C:$FM,102)</f>
        <v>38.89</v>
      </c>
      <c r="C76" s="50">
        <f>VLOOKUP($A76,'Data shares'!$C:$FM,110)</f>
        <v>38.97</v>
      </c>
      <c r="D76" s="50">
        <f>VLOOKUP($A76,'Data shares'!$C:$FM,114)</f>
        <v>38.630000000000003</v>
      </c>
      <c r="E76" s="50">
        <f>VLOOKUP($A76,'Data shares'!$C:$FM,106)</f>
        <v>40.89</v>
      </c>
      <c r="F76" s="50">
        <f>VLOOKUP($A76,'Data shares'!$C:$FM,108)</f>
        <v>-2</v>
      </c>
      <c r="G76" s="50">
        <f t="shared" si="2"/>
        <v>0.95108828564441183</v>
      </c>
    </row>
    <row r="77" spans="1:7" x14ac:dyDescent="0.25">
      <c r="A77" s="49" t="str">
        <f>'Data Vlaue (Cr)'!C72</f>
        <v>GODFRYPHLP</v>
      </c>
      <c r="B77" s="50">
        <f>VLOOKUP($A77,'Data shares'!$C:$FM,102)</f>
        <v>47.34</v>
      </c>
      <c r="C77" s="50">
        <f>VLOOKUP($A77,'Data shares'!$C:$FM,110)</f>
        <v>47.31</v>
      </c>
      <c r="D77" s="50">
        <f>VLOOKUP($A77,'Data shares'!$C:$FM,114)</f>
        <v>47.42</v>
      </c>
      <c r="E77" s="50">
        <f>VLOOKUP($A77,'Data shares'!$C:$FM,106)</f>
        <v>70.3</v>
      </c>
      <c r="F77" s="50">
        <f>VLOOKUP($A77,'Data shares'!$C:$FM,108)</f>
        <v>-22.96</v>
      </c>
      <c r="G77" s="50">
        <f t="shared" si="2"/>
        <v>0.67339971550497879</v>
      </c>
    </row>
    <row r="78" spans="1:7" x14ac:dyDescent="0.25">
      <c r="A78" s="49" t="str">
        <f>'Data Vlaue (Cr)'!C73</f>
        <v>GODREJCP</v>
      </c>
      <c r="B78" s="50">
        <f>VLOOKUP($A78,'Data shares'!$C:$FM,102)</f>
        <v>34.58</v>
      </c>
      <c r="C78" s="50">
        <f>VLOOKUP($A78,'Data shares'!$C:$FM,110)</f>
        <v>34.74</v>
      </c>
      <c r="D78" s="50">
        <f>VLOOKUP($A78,'Data shares'!$C:$FM,114)</f>
        <v>34.200000000000003</v>
      </c>
      <c r="E78" s="50">
        <f>VLOOKUP($A78,'Data shares'!$C:$FM,106)</f>
        <v>30.69</v>
      </c>
      <c r="F78" s="50">
        <f>VLOOKUP($A78,'Data shares'!$C:$FM,108)</f>
        <v>3.89</v>
      </c>
      <c r="G78" s="50">
        <f t="shared" si="2"/>
        <v>1.1267513848159008</v>
      </c>
    </row>
    <row r="79" spans="1:7" x14ac:dyDescent="0.25">
      <c r="A79" s="49" t="str">
        <f>'Data Vlaue (Cr)'!C74</f>
        <v>GODREJPROP</v>
      </c>
      <c r="B79" s="50">
        <f>VLOOKUP($A79,'Data shares'!$C:$FM,102)</f>
        <v>36.32</v>
      </c>
      <c r="C79" s="50">
        <f>VLOOKUP($A79,'Data shares'!$C:$FM,110)</f>
        <v>35.450000000000003</v>
      </c>
      <c r="D79" s="50">
        <f>VLOOKUP($A79,'Data shares'!$C:$FM,114)</f>
        <v>38.6</v>
      </c>
      <c r="E79" s="50">
        <f>VLOOKUP($A79,'Data shares'!$C:$FM,106)</f>
        <v>45.96</v>
      </c>
      <c r="F79" s="50">
        <f>VLOOKUP($A79,'Data shares'!$C:$FM,108)</f>
        <v>-9.64</v>
      </c>
      <c r="G79" s="50">
        <f t="shared" si="2"/>
        <v>0.79025239338555264</v>
      </c>
    </row>
    <row r="80" spans="1:7" x14ac:dyDescent="0.25">
      <c r="A80" s="49" t="str">
        <f>'Data Vlaue (Cr)'!C75</f>
        <v>GRASIM</v>
      </c>
      <c r="B80" s="50">
        <f>VLOOKUP($A80,'Data shares'!$C:$FM,102)</f>
        <v>26.94</v>
      </c>
      <c r="C80" s="50">
        <f>VLOOKUP($A80,'Data shares'!$C:$FM,110)</f>
        <v>23.55</v>
      </c>
      <c r="D80" s="50">
        <f>VLOOKUP($A80,'Data shares'!$C:$FM,114)</f>
        <v>30.63</v>
      </c>
      <c r="E80" s="50">
        <f>VLOOKUP($A80,'Data shares'!$C:$FM,106)</f>
        <v>28.07</v>
      </c>
      <c r="F80" s="50">
        <f>VLOOKUP($A80,'Data shares'!$C:$FM,108)</f>
        <v>-1.1299999999999999</v>
      </c>
      <c r="G80" s="50">
        <f t="shared" si="2"/>
        <v>0.95974349839686501</v>
      </c>
    </row>
    <row r="81" spans="1:7" x14ac:dyDescent="0.25">
      <c r="A81" s="49" t="str">
        <f>'Data Vlaue (Cr)'!C76</f>
        <v>HAL</v>
      </c>
      <c r="B81" s="50">
        <f>VLOOKUP($A81,'Data shares'!$C:$FM,102)</f>
        <v>32.86</v>
      </c>
      <c r="C81" s="50">
        <f>VLOOKUP($A81,'Data shares'!$C:$FM,110)</f>
        <v>32.25</v>
      </c>
      <c r="D81" s="50">
        <f>VLOOKUP($A81,'Data shares'!$C:$FM,114)</f>
        <v>33.97</v>
      </c>
      <c r="E81" s="50">
        <f>VLOOKUP($A81,'Data shares'!$C:$FM,106)</f>
        <v>38.81</v>
      </c>
      <c r="F81" s="50">
        <f>VLOOKUP($A81,'Data shares'!$C:$FM,108)</f>
        <v>-5.95</v>
      </c>
      <c r="G81" s="50">
        <f t="shared" si="2"/>
        <v>0.84668899768101002</v>
      </c>
    </row>
    <row r="82" spans="1:7" x14ac:dyDescent="0.25">
      <c r="A82" s="49" t="str">
        <f>'Data Vlaue (Cr)'!C77</f>
        <v>HAVELLS</v>
      </c>
      <c r="B82" s="50">
        <f>VLOOKUP($A82,'Data shares'!$C:$FM,102)</f>
        <v>29.43</v>
      </c>
      <c r="C82" s="50">
        <f>VLOOKUP($A82,'Data shares'!$C:$FM,110)</f>
        <v>29.61</v>
      </c>
      <c r="D82" s="50">
        <f>VLOOKUP($A82,'Data shares'!$C:$FM,114)</f>
        <v>28.98</v>
      </c>
      <c r="E82" s="50">
        <f>VLOOKUP($A82,'Data shares'!$C:$FM,106)</f>
        <v>31.16</v>
      </c>
      <c r="F82" s="50">
        <f>VLOOKUP($A82,'Data shares'!$C:$FM,108)</f>
        <v>-1.73</v>
      </c>
      <c r="G82" s="50">
        <f t="shared" si="2"/>
        <v>0.94448010269576377</v>
      </c>
    </row>
    <row r="83" spans="1:7" x14ac:dyDescent="0.25">
      <c r="A83" s="49" t="str">
        <f>'Data Vlaue (Cr)'!C78</f>
        <v>HCLTECH</v>
      </c>
      <c r="B83" s="50">
        <f>VLOOKUP($A83,'Data shares'!$C:$FM,102)</f>
        <v>29.45</v>
      </c>
      <c r="C83" s="50">
        <f>VLOOKUP($A83,'Data shares'!$C:$FM,110)</f>
        <v>30.2</v>
      </c>
      <c r="D83" s="50">
        <f>VLOOKUP($A83,'Data shares'!$C:$FM,114)</f>
        <v>27.59</v>
      </c>
      <c r="E83" s="50">
        <f>VLOOKUP($A83,'Data shares'!$C:$FM,106)</f>
        <v>33.08</v>
      </c>
      <c r="F83" s="50">
        <f>VLOOKUP($A83,'Data shares'!$C:$FM,108)</f>
        <v>-3.63</v>
      </c>
      <c r="G83" s="50">
        <f t="shared" si="2"/>
        <v>0.89026602176541725</v>
      </c>
    </row>
    <row r="84" spans="1:7" x14ac:dyDescent="0.25">
      <c r="A84" s="49" t="str">
        <f>'Data Vlaue (Cr)'!C79</f>
        <v>HDFCAMC</v>
      </c>
      <c r="B84" s="50">
        <f>VLOOKUP($A84,'Data shares'!$C:$FM,102)</f>
        <v>30.85</v>
      </c>
      <c r="C84" s="50">
        <f>VLOOKUP($A84,'Data shares'!$C:$FM,110)</f>
        <v>30.56</v>
      </c>
      <c r="D84" s="50">
        <f>VLOOKUP($A84,'Data shares'!$C:$FM,114)</f>
        <v>31.53</v>
      </c>
      <c r="E84" s="50">
        <f>VLOOKUP($A84,'Data shares'!$C:$FM,106)</f>
        <v>38.79</v>
      </c>
      <c r="F84" s="50">
        <f>VLOOKUP($A84,'Data shares'!$C:$FM,108)</f>
        <v>-7.94</v>
      </c>
      <c r="G84" s="50">
        <f t="shared" si="2"/>
        <v>0.79530806908997165</v>
      </c>
    </row>
    <row r="85" spans="1:7" x14ac:dyDescent="0.25">
      <c r="A85" s="49" t="str">
        <f>'Data Vlaue (Cr)'!C80</f>
        <v>HDFCBANK</v>
      </c>
      <c r="B85" s="50">
        <f>VLOOKUP($A85,'Data shares'!$C:$FM,102)</f>
        <v>24.27</v>
      </c>
      <c r="C85" s="50">
        <f>VLOOKUP($A85,'Data shares'!$C:$FM,110)</f>
        <v>24.31</v>
      </c>
      <c r="D85" s="50">
        <f>VLOOKUP($A85,'Data shares'!$C:$FM,114)</f>
        <v>24.19</v>
      </c>
      <c r="E85" s="50">
        <f>VLOOKUP($A85,'Data shares'!$C:$FM,106)</f>
        <v>25.46</v>
      </c>
      <c r="F85" s="50">
        <f>VLOOKUP($A85,'Data shares'!$C:$FM,108)</f>
        <v>-1.19</v>
      </c>
      <c r="G85" s="50">
        <f t="shared" si="2"/>
        <v>0.95326001571091901</v>
      </c>
    </row>
    <row r="86" spans="1:7" x14ac:dyDescent="0.25">
      <c r="A86" s="49" t="str">
        <f>'Data Vlaue (Cr)'!C81</f>
        <v>HDFCLIFE</v>
      </c>
      <c r="B86" s="50">
        <f>VLOOKUP($A86,'Data shares'!$C:$FM,102)</f>
        <v>24.83</v>
      </c>
      <c r="C86" s="50">
        <f>VLOOKUP($A86,'Data shares'!$C:$FM,110)</f>
        <v>24.41</v>
      </c>
      <c r="D86" s="50">
        <f>VLOOKUP($A86,'Data shares'!$C:$FM,114)</f>
        <v>26.02</v>
      </c>
      <c r="E86" s="50">
        <f>VLOOKUP($A86,'Data shares'!$C:$FM,106)</f>
        <v>27.6</v>
      </c>
      <c r="F86" s="50">
        <f>VLOOKUP($A86,'Data shares'!$C:$FM,108)</f>
        <v>-2.77</v>
      </c>
      <c r="G86" s="50">
        <f t="shared" si="2"/>
        <v>0.89963768115942022</v>
      </c>
    </row>
    <row r="87" spans="1:7" x14ac:dyDescent="0.25">
      <c r="A87" s="49" t="str">
        <f>'Data Vlaue (Cr)'!C82</f>
        <v>HEROMOTOCO</v>
      </c>
      <c r="B87" s="50">
        <f>VLOOKUP($A87,'Data shares'!$C:$FM,102)</f>
        <v>30.02</v>
      </c>
      <c r="C87" s="50">
        <f>VLOOKUP($A87,'Data shares'!$C:$FM,110)</f>
        <v>29.44</v>
      </c>
      <c r="D87" s="50">
        <f>VLOOKUP($A87,'Data shares'!$C:$FM,114)</f>
        <v>31.26</v>
      </c>
      <c r="E87" s="50">
        <f>VLOOKUP($A87,'Data shares'!$C:$FM,106)</f>
        <v>33.159999999999997</v>
      </c>
      <c r="F87" s="50">
        <f>VLOOKUP($A87,'Data shares'!$C:$FM,108)</f>
        <v>-3.14</v>
      </c>
      <c r="G87" s="50">
        <f t="shared" si="2"/>
        <v>0.90530759951749107</v>
      </c>
    </row>
    <row r="88" spans="1:7" x14ac:dyDescent="0.25">
      <c r="A88" s="49" t="str">
        <f>'Data Vlaue (Cr)'!C83</f>
        <v>HINDALCO</v>
      </c>
      <c r="B88" s="50">
        <f>VLOOKUP($A88,'Data shares'!$C:$FM,102)</f>
        <v>33</v>
      </c>
      <c r="C88" s="50">
        <f>VLOOKUP($A88,'Data shares'!$C:$FM,110)</f>
        <v>32.72</v>
      </c>
      <c r="D88" s="50">
        <f>VLOOKUP($A88,'Data shares'!$C:$FM,114)</f>
        <v>33.49</v>
      </c>
      <c r="E88" s="50">
        <f>VLOOKUP($A88,'Data shares'!$C:$FM,106)</f>
        <v>36.06</v>
      </c>
      <c r="F88" s="50">
        <f>VLOOKUP($A88,'Data shares'!$C:$FM,108)</f>
        <v>-3.06</v>
      </c>
      <c r="G88" s="50">
        <f t="shared" si="2"/>
        <v>0.91514143094841927</v>
      </c>
    </row>
    <row r="89" spans="1:7" x14ac:dyDescent="0.25">
      <c r="A89" s="49" t="str">
        <f>'Data Vlaue (Cr)'!C84</f>
        <v>HINDPETRO</v>
      </c>
      <c r="B89" s="50">
        <f>VLOOKUP($A89,'Data shares'!$C:$FM,102)</f>
        <v>45.86</v>
      </c>
      <c r="C89" s="50">
        <f>VLOOKUP($A89,'Data shares'!$C:$FM,110)</f>
        <v>44.69</v>
      </c>
      <c r="D89" s="50">
        <f>VLOOKUP($A89,'Data shares'!$C:$FM,114)</f>
        <v>48.02</v>
      </c>
      <c r="E89" s="50">
        <f>VLOOKUP($A89,'Data shares'!$C:$FM,106)</f>
        <v>44.21</v>
      </c>
      <c r="F89" s="50">
        <f>VLOOKUP($A89,'Data shares'!$C:$FM,108)</f>
        <v>1.65</v>
      </c>
      <c r="G89" s="50">
        <f t="shared" si="2"/>
        <v>1.0373218728794391</v>
      </c>
    </row>
    <row r="90" spans="1:7" x14ac:dyDescent="0.25">
      <c r="A90" s="49" t="str">
        <f>'Data Vlaue (Cr)'!C85</f>
        <v>HINDUNILVR</v>
      </c>
      <c r="B90" s="50">
        <f>VLOOKUP($A90,'Data shares'!$C:$FM,102)</f>
        <v>21.81</v>
      </c>
      <c r="C90" s="50">
        <f>VLOOKUP($A90,'Data shares'!$C:$FM,110)</f>
        <v>21.56</v>
      </c>
      <c r="D90" s="50">
        <f>VLOOKUP($A90,'Data shares'!$C:$FM,114)</f>
        <v>22.26</v>
      </c>
      <c r="E90" s="50">
        <f>VLOOKUP($A90,'Data shares'!$C:$FM,106)</f>
        <v>24.71</v>
      </c>
      <c r="F90" s="50">
        <f>VLOOKUP($A90,'Data shares'!$C:$FM,108)</f>
        <v>-2.9</v>
      </c>
      <c r="G90" s="50">
        <f t="shared" si="2"/>
        <v>0.8826386078510724</v>
      </c>
    </row>
    <row r="91" spans="1:7" x14ac:dyDescent="0.25">
      <c r="A91" s="49" t="str">
        <f>'Data Vlaue (Cr)'!C86</f>
        <v>HINDZINC</v>
      </c>
      <c r="B91" s="50">
        <f>VLOOKUP($A91,'Data shares'!$C:$FM,102)</f>
        <v>34.19</v>
      </c>
      <c r="C91" s="50">
        <f>VLOOKUP($A91,'Data shares'!$C:$FM,110)</f>
        <v>33.75</v>
      </c>
      <c r="D91" s="50">
        <f>VLOOKUP($A91,'Data shares'!$C:$FM,114)</f>
        <v>35.11</v>
      </c>
      <c r="E91" s="50">
        <f>VLOOKUP($A91,'Data shares'!$C:$FM,106)</f>
        <v>50.4</v>
      </c>
      <c r="F91" s="50">
        <f>VLOOKUP($A91,'Data shares'!$C:$FM,108)</f>
        <v>-16.21</v>
      </c>
      <c r="G91" s="50">
        <f t="shared" si="2"/>
        <v>0.67837301587301579</v>
      </c>
    </row>
    <row r="92" spans="1:7" x14ac:dyDescent="0.25">
      <c r="A92" s="49" t="str">
        <f>'Data Vlaue (Cr)'!C87</f>
        <v>HYUNDAI</v>
      </c>
      <c r="B92" s="50">
        <f>VLOOKUP($A92,'Data shares'!$C:$FM,102)</f>
        <v>39.61</v>
      </c>
      <c r="C92" s="50">
        <f>VLOOKUP($A92,'Data shares'!$C:$FM,110)</f>
        <v>39.659999999999997</v>
      </c>
      <c r="D92" s="50">
        <f>VLOOKUP($A92,'Data shares'!$C:$FM,114)</f>
        <v>39.46</v>
      </c>
      <c r="E92" s="50">
        <f>VLOOKUP($A92,'Data shares'!$C:$FM,106)</f>
        <v>33.67</v>
      </c>
      <c r="F92" s="50">
        <f>VLOOKUP($A92,'Data shares'!$C:$FM,108)</f>
        <v>5.94</v>
      </c>
      <c r="G92" s="50">
        <f t="shared" si="2"/>
        <v>1.1764181764181763</v>
      </c>
    </row>
    <row r="93" spans="1:7" x14ac:dyDescent="0.25">
      <c r="A93" s="49" t="str">
        <f>'Data Vlaue (Cr)'!C88</f>
        <v>ICICIBANK</v>
      </c>
      <c r="B93" s="50">
        <f>VLOOKUP($A93,'Data shares'!$C:$FM,102)</f>
        <v>21.19</v>
      </c>
      <c r="C93" s="50">
        <f>VLOOKUP($A93,'Data shares'!$C:$FM,110)</f>
        <v>21.24</v>
      </c>
      <c r="D93" s="50">
        <f>VLOOKUP($A93,'Data shares'!$C:$FM,114)</f>
        <v>21.11</v>
      </c>
      <c r="E93" s="50">
        <f>VLOOKUP($A93,'Data shares'!$C:$FM,106)</f>
        <v>24.19</v>
      </c>
      <c r="F93" s="50">
        <f>VLOOKUP($A93,'Data shares'!$C:$FM,108)</f>
        <v>-3</v>
      </c>
      <c r="G93" s="50">
        <f t="shared" si="2"/>
        <v>0.87598181066556424</v>
      </c>
    </row>
    <row r="94" spans="1:7" x14ac:dyDescent="0.25">
      <c r="A94" s="49" t="str">
        <f>'Data Vlaue (Cr)'!C89</f>
        <v>ICICIGI</v>
      </c>
      <c r="B94" s="50">
        <f>VLOOKUP($A94,'Data shares'!$C:$FM,102)</f>
        <v>23.33</v>
      </c>
      <c r="C94" s="50">
        <f>VLOOKUP($A94,'Data shares'!$C:$FM,110)</f>
        <v>23.26</v>
      </c>
      <c r="D94" s="50">
        <f>VLOOKUP($A94,'Data shares'!$C:$FM,114)</f>
        <v>23.51</v>
      </c>
      <c r="E94" s="50">
        <f>VLOOKUP($A94,'Data shares'!$C:$FM,106)</f>
        <v>26.88</v>
      </c>
      <c r="F94" s="50">
        <f>VLOOKUP($A94,'Data shares'!$C:$FM,108)</f>
        <v>-3.55</v>
      </c>
      <c r="G94" s="50">
        <f t="shared" si="2"/>
        <v>0.86793154761904756</v>
      </c>
    </row>
    <row r="95" spans="1:7" x14ac:dyDescent="0.25">
      <c r="A95" s="49" t="str">
        <f>'Data Vlaue (Cr)'!C90</f>
        <v>ICICIPRULI</v>
      </c>
      <c r="B95" s="50">
        <f>VLOOKUP($A95,'Data shares'!$C:$FM,102)</f>
        <v>27.91</v>
      </c>
      <c r="C95" s="50">
        <f>VLOOKUP($A95,'Data shares'!$C:$FM,110)</f>
        <v>27.18</v>
      </c>
      <c r="D95" s="50">
        <f>VLOOKUP($A95,'Data shares'!$C:$FM,114)</f>
        <v>29.02</v>
      </c>
      <c r="E95" s="50">
        <f>VLOOKUP($A95,'Data shares'!$C:$FM,106)</f>
        <v>29.69</v>
      </c>
      <c r="F95" s="50">
        <f>VLOOKUP($A95,'Data shares'!$C:$FM,108)</f>
        <v>-1.78</v>
      </c>
      <c r="G95" s="50">
        <f t="shared" si="2"/>
        <v>0.94004715392388005</v>
      </c>
    </row>
    <row r="96" spans="1:7" x14ac:dyDescent="0.25">
      <c r="A96" s="49" t="str">
        <f>'Data Vlaue (Cr)'!C91</f>
        <v>IDEA</v>
      </c>
      <c r="B96" s="50">
        <f>VLOOKUP($A96,'Data shares'!$C:$FM,102)</f>
        <v>49.28</v>
      </c>
      <c r="C96" s="50">
        <f>VLOOKUP($A96,'Data shares'!$C:$FM,110)</f>
        <v>50.47</v>
      </c>
      <c r="D96" s="50">
        <f>VLOOKUP($A96,'Data shares'!$C:$FM,114)</f>
        <v>46.01</v>
      </c>
      <c r="E96" s="50">
        <f>VLOOKUP($A96,'Data shares'!$C:$FM,106)</f>
        <v>63.62</v>
      </c>
      <c r="F96" s="50">
        <f>VLOOKUP($A96,'Data shares'!$C:$FM,108)</f>
        <v>-14.34</v>
      </c>
      <c r="G96" s="50">
        <f t="shared" si="2"/>
        <v>0.77459918264696637</v>
      </c>
    </row>
    <row r="97" spans="1:7" x14ac:dyDescent="0.25">
      <c r="A97" s="49" t="str">
        <f>'Data Vlaue (Cr)'!C92</f>
        <v>IDFCFIRSTB</v>
      </c>
      <c r="B97" s="50">
        <f>VLOOKUP($A97,'Data shares'!$C:$FM,102)</f>
        <v>31.83</v>
      </c>
      <c r="C97" s="50">
        <f>VLOOKUP($A97,'Data shares'!$C:$FM,110)</f>
        <v>31.46</v>
      </c>
      <c r="D97" s="50">
        <f>VLOOKUP($A97,'Data shares'!$C:$FM,114)</f>
        <v>32.409999999999997</v>
      </c>
      <c r="E97" s="50">
        <f>VLOOKUP($A97,'Data shares'!$C:$FM,106)</f>
        <v>41.12</v>
      </c>
      <c r="F97" s="50">
        <f>VLOOKUP($A97,'Data shares'!$C:$FM,108)</f>
        <v>-9.2899999999999991</v>
      </c>
      <c r="G97" s="50">
        <f t="shared" si="2"/>
        <v>0.77407587548638135</v>
      </c>
    </row>
    <row r="98" spans="1:7" x14ac:dyDescent="0.25">
      <c r="A98" s="49" t="str">
        <f>'Data Vlaue (Cr)'!C93</f>
        <v>IEX</v>
      </c>
      <c r="B98" s="50">
        <f>VLOOKUP($A98,'Data shares'!$C:$FM,102)</f>
        <v>35.97</v>
      </c>
      <c r="C98" s="50">
        <f>VLOOKUP($A98,'Data shares'!$C:$FM,110)</f>
        <v>36.1</v>
      </c>
      <c r="D98" s="50">
        <f>VLOOKUP($A98,'Data shares'!$C:$FM,114)</f>
        <v>35.72</v>
      </c>
      <c r="E98" s="50">
        <f>VLOOKUP($A98,'Data shares'!$C:$FM,106)</f>
        <v>51.76</v>
      </c>
      <c r="F98" s="50">
        <f>VLOOKUP($A98,'Data shares'!$C:$FM,108)</f>
        <v>-15.79</v>
      </c>
      <c r="G98" s="50">
        <f t="shared" si="2"/>
        <v>0.69493817619783615</v>
      </c>
    </row>
    <row r="99" spans="1:7" x14ac:dyDescent="0.25">
      <c r="A99" s="49" t="str">
        <f>'Data Vlaue (Cr)'!C94</f>
        <v>INDHOTEL</v>
      </c>
      <c r="B99" s="50">
        <f>VLOOKUP($A99,'Data shares'!$C:$FM,102)</f>
        <v>30.73</v>
      </c>
      <c r="C99" s="50">
        <f>VLOOKUP($A99,'Data shares'!$C:$FM,110)</f>
        <v>29.69</v>
      </c>
      <c r="D99" s="50">
        <f>VLOOKUP($A99,'Data shares'!$C:$FM,114)</f>
        <v>32.81</v>
      </c>
      <c r="E99" s="50">
        <f>VLOOKUP($A99,'Data shares'!$C:$FM,106)</f>
        <v>34.89</v>
      </c>
      <c r="F99" s="50">
        <f>VLOOKUP($A99,'Data shares'!$C:$FM,108)</f>
        <v>-4.16</v>
      </c>
      <c r="G99" s="50">
        <f t="shared" si="2"/>
        <v>0.88076812840355401</v>
      </c>
    </row>
    <row r="100" spans="1:7" x14ac:dyDescent="0.25">
      <c r="A100" s="49" t="str">
        <f>'Data Vlaue (Cr)'!C95</f>
        <v>INDIANB</v>
      </c>
      <c r="B100" s="50">
        <f>VLOOKUP($A100,'Data shares'!$C:$FM,102)</f>
        <v>34.67</v>
      </c>
      <c r="C100" s="50">
        <f>VLOOKUP($A100,'Data shares'!$C:$FM,110)</f>
        <v>34.44</v>
      </c>
      <c r="D100" s="50">
        <f>VLOOKUP($A100,'Data shares'!$C:$FM,114)</f>
        <v>35.15</v>
      </c>
      <c r="E100" s="50">
        <f>VLOOKUP($A100,'Data shares'!$C:$FM,106)</f>
        <v>41.35</v>
      </c>
      <c r="F100" s="50">
        <f>VLOOKUP($A100,'Data shares'!$C:$FM,108)</f>
        <v>-6.68</v>
      </c>
      <c r="G100" s="50">
        <f t="shared" si="2"/>
        <v>0.83845223700120919</v>
      </c>
    </row>
    <row r="101" spans="1:7" x14ac:dyDescent="0.25">
      <c r="A101" s="49" t="str">
        <f>'Data Vlaue (Cr)'!C96</f>
        <v>INDIAVIX</v>
      </c>
      <c r="B101" s="50">
        <f>VLOOKUP($A101,'Data shares'!$C:$FM,102)</f>
        <v>0</v>
      </c>
      <c r="C101" s="50">
        <f>VLOOKUP($A101,'Data shares'!$C:$FM,110)</f>
        <v>0</v>
      </c>
      <c r="D101" s="50">
        <f>VLOOKUP($A101,'Data shares'!$C:$FM,114)</f>
        <v>0</v>
      </c>
      <c r="E101" s="50">
        <f>VLOOKUP($A101,'Data shares'!$C:$FM,106)</f>
        <v>0</v>
      </c>
      <c r="F101" s="50">
        <f>VLOOKUP($A101,'Data shares'!$C:$FM,108)</f>
        <v>0</v>
      </c>
      <c r="G101" s="50" t="e">
        <f t="shared" si="2"/>
        <v>#DIV/0!</v>
      </c>
    </row>
    <row r="102" spans="1:7" x14ac:dyDescent="0.25">
      <c r="A102" s="49" t="str">
        <f>'Data Vlaue (Cr)'!C97</f>
        <v>INDIGO</v>
      </c>
      <c r="B102" s="50">
        <f>VLOOKUP($A102,'Data shares'!$C:$FM,102)</f>
        <v>36.47</v>
      </c>
      <c r="C102" s="50">
        <f>VLOOKUP($A102,'Data shares'!$C:$FM,110)</f>
        <v>35.61</v>
      </c>
      <c r="D102" s="50">
        <f>VLOOKUP($A102,'Data shares'!$C:$FM,114)</f>
        <v>38.450000000000003</v>
      </c>
      <c r="E102" s="50">
        <f>VLOOKUP($A102,'Data shares'!$C:$FM,106)</f>
        <v>40.47</v>
      </c>
      <c r="F102" s="50">
        <f>VLOOKUP($A102,'Data shares'!$C:$FM,108)</f>
        <v>-4</v>
      </c>
      <c r="G102" s="50">
        <f t="shared" si="2"/>
        <v>0.90116135408944897</v>
      </c>
    </row>
    <row r="103" spans="1:7" x14ac:dyDescent="0.25">
      <c r="A103" s="49" t="str">
        <f>'Data Vlaue (Cr)'!C98</f>
        <v>INDUSINDBK</v>
      </c>
      <c r="B103" s="50">
        <f>VLOOKUP($A103,'Data shares'!$C:$FM,102)</f>
        <v>32.06</v>
      </c>
      <c r="C103" s="50">
        <f>VLOOKUP($A103,'Data shares'!$C:$FM,110)</f>
        <v>31.02</v>
      </c>
      <c r="D103" s="50">
        <f>VLOOKUP($A103,'Data shares'!$C:$FM,114)</f>
        <v>33.35</v>
      </c>
      <c r="E103" s="50">
        <f>VLOOKUP($A103,'Data shares'!$C:$FM,106)</f>
        <v>43.54</v>
      </c>
      <c r="F103" s="50">
        <f>VLOOKUP($A103,'Data shares'!$C:$FM,108)</f>
        <v>-11.48</v>
      </c>
      <c r="G103" s="50">
        <f t="shared" ref="G103:G134" si="3">B103/E103</f>
        <v>0.73633440514469461</v>
      </c>
    </row>
    <row r="104" spans="1:7" x14ac:dyDescent="0.25">
      <c r="A104" s="49" t="str">
        <f>'Data Vlaue (Cr)'!C99</f>
        <v>INDUSTOWER</v>
      </c>
      <c r="B104" s="50">
        <f>VLOOKUP($A104,'Data shares'!$C:$FM,102)</f>
        <v>29</v>
      </c>
      <c r="C104" s="50">
        <f>VLOOKUP($A104,'Data shares'!$C:$FM,110)</f>
        <v>28.99</v>
      </c>
      <c r="D104" s="50">
        <f>VLOOKUP($A104,'Data shares'!$C:$FM,114)</f>
        <v>29.05</v>
      </c>
      <c r="E104" s="50">
        <f>VLOOKUP($A104,'Data shares'!$C:$FM,106)</f>
        <v>37.299999999999997</v>
      </c>
      <c r="F104" s="50">
        <f>VLOOKUP($A104,'Data shares'!$C:$FM,108)</f>
        <v>-8.3000000000000007</v>
      </c>
      <c r="G104" s="50">
        <f t="shared" si="3"/>
        <v>0.77747989276139418</v>
      </c>
    </row>
    <row r="105" spans="1:7" x14ac:dyDescent="0.25">
      <c r="A105" s="49" t="str">
        <f>'Data Vlaue (Cr)'!C100</f>
        <v>INFY</v>
      </c>
      <c r="B105" s="50">
        <f>VLOOKUP($A105,'Data shares'!$C:$FM,102)</f>
        <v>30.09</v>
      </c>
      <c r="C105" s="50">
        <f>VLOOKUP($A105,'Data shares'!$C:$FM,110)</f>
        <v>30.55</v>
      </c>
      <c r="D105" s="50">
        <f>VLOOKUP($A105,'Data shares'!$C:$FM,114)</f>
        <v>29.18</v>
      </c>
      <c r="E105" s="50">
        <f>VLOOKUP($A105,'Data shares'!$C:$FM,106)</f>
        <v>32.28</v>
      </c>
      <c r="F105" s="50">
        <f>VLOOKUP($A105,'Data shares'!$C:$FM,108)</f>
        <v>-2.19</v>
      </c>
      <c r="G105" s="50">
        <f t="shared" si="3"/>
        <v>0.9321561338289962</v>
      </c>
    </row>
    <row r="106" spans="1:7" x14ac:dyDescent="0.25">
      <c r="A106" s="49" t="str">
        <f>'Data Vlaue (Cr)'!C101</f>
        <v>INOXWIND</v>
      </c>
      <c r="B106" s="50">
        <f>VLOOKUP($A106,'Data shares'!$C:$FM,102)</f>
        <v>50.75</v>
      </c>
      <c r="C106" s="50">
        <f>VLOOKUP($A106,'Data shares'!$C:$FM,110)</f>
        <v>50.66</v>
      </c>
      <c r="D106" s="50">
        <f>VLOOKUP($A106,'Data shares'!$C:$FM,114)</f>
        <v>51.18</v>
      </c>
      <c r="E106" s="50">
        <f>VLOOKUP($A106,'Data shares'!$C:$FM,106)</f>
        <v>53.68</v>
      </c>
      <c r="F106" s="50">
        <f>VLOOKUP($A106,'Data shares'!$C:$FM,108)</f>
        <v>-2.93</v>
      </c>
      <c r="G106" s="50">
        <f t="shared" si="3"/>
        <v>0.94541728763040234</v>
      </c>
    </row>
    <row r="107" spans="1:7" x14ac:dyDescent="0.25">
      <c r="A107" s="49" t="str">
        <f>'Data Vlaue (Cr)'!C102</f>
        <v>IOC</v>
      </c>
      <c r="B107" s="50">
        <f>VLOOKUP($A107,'Data shares'!$C:$FM,102)</f>
        <v>36.549999999999997</v>
      </c>
      <c r="C107" s="50">
        <f>VLOOKUP($A107,'Data shares'!$C:$FM,110)</f>
        <v>36.43</v>
      </c>
      <c r="D107" s="50">
        <f>VLOOKUP($A107,'Data shares'!$C:$FM,114)</f>
        <v>36.86</v>
      </c>
      <c r="E107" s="50">
        <f>VLOOKUP($A107,'Data shares'!$C:$FM,106)</f>
        <v>33.880000000000003</v>
      </c>
      <c r="F107" s="50">
        <f>VLOOKUP($A107,'Data shares'!$C:$FM,108)</f>
        <v>2.67</v>
      </c>
      <c r="G107" s="50">
        <f t="shared" si="3"/>
        <v>1.0788075560802832</v>
      </c>
    </row>
    <row r="108" spans="1:7" x14ac:dyDescent="0.25">
      <c r="A108" s="49" t="str">
        <f>'Data Vlaue (Cr)'!C103</f>
        <v>IREDA</v>
      </c>
      <c r="B108" s="50">
        <f>VLOOKUP($A108,'Data shares'!$C:$FM,102)</f>
        <v>39.46</v>
      </c>
      <c r="C108" s="50">
        <f>VLOOKUP($A108,'Data shares'!$C:$FM,110)</f>
        <v>39.15</v>
      </c>
      <c r="D108" s="50">
        <f>VLOOKUP($A108,'Data shares'!$C:$FM,114)</f>
        <v>40.22</v>
      </c>
      <c r="E108" s="50">
        <f>VLOOKUP($A108,'Data shares'!$C:$FM,106)</f>
        <v>48.96</v>
      </c>
      <c r="F108" s="50">
        <f>VLOOKUP($A108,'Data shares'!$C:$FM,108)</f>
        <v>-9.5</v>
      </c>
      <c r="G108" s="50">
        <f t="shared" si="3"/>
        <v>0.80596405228758172</v>
      </c>
    </row>
    <row r="109" spans="1:7" x14ac:dyDescent="0.25">
      <c r="A109" s="49" t="str">
        <f>'Data Vlaue (Cr)'!C104</f>
        <v>IRFC</v>
      </c>
      <c r="B109" s="50">
        <f>VLOOKUP($A109,'Data shares'!$C:$FM,102)</f>
        <v>37.270000000000003</v>
      </c>
      <c r="C109" s="50">
        <f>VLOOKUP($A109,'Data shares'!$C:$FM,110)</f>
        <v>37.020000000000003</v>
      </c>
      <c r="D109" s="50">
        <f>VLOOKUP($A109,'Data shares'!$C:$FM,114)</f>
        <v>38.049999999999997</v>
      </c>
      <c r="E109" s="50">
        <f>VLOOKUP($A109,'Data shares'!$C:$FM,106)</f>
        <v>44.78</v>
      </c>
      <c r="F109" s="50">
        <f>VLOOKUP($A109,'Data shares'!$C:$FM,108)</f>
        <v>-7.51</v>
      </c>
      <c r="G109" s="50">
        <f t="shared" si="3"/>
        <v>0.83229120142920954</v>
      </c>
    </row>
    <row r="110" spans="1:7" x14ac:dyDescent="0.25">
      <c r="A110" s="49" t="str">
        <f>'Data Vlaue (Cr)'!C105</f>
        <v>ITC</v>
      </c>
      <c r="B110" s="50">
        <f>VLOOKUP($A110,'Data shares'!$C:$FM,102)</f>
        <v>20.02</v>
      </c>
      <c r="C110" s="50">
        <f>VLOOKUP($A110,'Data shares'!$C:$FM,110)</f>
        <v>20.010000000000002</v>
      </c>
      <c r="D110" s="50">
        <f>VLOOKUP($A110,'Data shares'!$C:$FM,114)</f>
        <v>20.04</v>
      </c>
      <c r="E110" s="50">
        <f>VLOOKUP($A110,'Data shares'!$C:$FM,106)</f>
        <v>24.58</v>
      </c>
      <c r="F110" s="50">
        <f>VLOOKUP($A110,'Data shares'!$C:$FM,108)</f>
        <v>-4.5599999999999996</v>
      </c>
      <c r="G110" s="50">
        <f t="shared" si="3"/>
        <v>0.81448331977217259</v>
      </c>
    </row>
    <row r="111" spans="1:7" x14ac:dyDescent="0.25">
      <c r="A111" s="49" t="str">
        <f>'Data Vlaue (Cr)'!C106</f>
        <v>JINDALSTEL</v>
      </c>
      <c r="B111" s="50">
        <f>VLOOKUP($A111,'Data shares'!$C:$FM,102)</f>
        <v>28.75</v>
      </c>
      <c r="C111" s="50">
        <f>VLOOKUP($A111,'Data shares'!$C:$FM,110)</f>
        <v>28.48</v>
      </c>
      <c r="D111" s="50">
        <f>VLOOKUP($A111,'Data shares'!$C:$FM,114)</f>
        <v>29.26</v>
      </c>
      <c r="E111" s="50">
        <f>VLOOKUP($A111,'Data shares'!$C:$FM,106)</f>
        <v>37.64</v>
      </c>
      <c r="F111" s="50">
        <f>VLOOKUP($A111,'Data shares'!$C:$FM,108)</f>
        <v>-8.89</v>
      </c>
      <c r="G111" s="50">
        <f t="shared" si="3"/>
        <v>0.76381509032943673</v>
      </c>
    </row>
    <row r="112" spans="1:7" x14ac:dyDescent="0.25">
      <c r="A112" s="49" t="str">
        <f>'Data Vlaue (Cr)'!C107</f>
        <v>JIOFIN</v>
      </c>
      <c r="B112" s="50">
        <f>VLOOKUP($A112,'Data shares'!$C:$FM,102)</f>
        <v>35.19</v>
      </c>
      <c r="C112" s="50">
        <f>VLOOKUP($A112,'Data shares'!$C:$FM,110)</f>
        <v>35.22</v>
      </c>
      <c r="D112" s="50">
        <f>VLOOKUP($A112,'Data shares'!$C:$FM,114)</f>
        <v>35.130000000000003</v>
      </c>
      <c r="E112" s="50">
        <f>VLOOKUP($A112,'Data shares'!$C:$FM,106)</f>
        <v>37.83</v>
      </c>
      <c r="F112" s="50">
        <f>VLOOKUP($A112,'Data shares'!$C:$FM,108)</f>
        <v>-2.64</v>
      </c>
      <c r="G112" s="50">
        <f t="shared" si="3"/>
        <v>0.93021411578112612</v>
      </c>
    </row>
    <row r="113" spans="1:7" x14ac:dyDescent="0.25">
      <c r="A113" s="49" t="str">
        <f>'Data Vlaue (Cr)'!C108</f>
        <v>JSWENERGY</v>
      </c>
      <c r="B113" s="50">
        <f>VLOOKUP($A113,'Data shares'!$C:$FM,102)</f>
        <v>38.51</v>
      </c>
      <c r="C113" s="50">
        <f>VLOOKUP($A113,'Data shares'!$C:$FM,110)</f>
        <v>38.590000000000003</v>
      </c>
      <c r="D113" s="50">
        <f>VLOOKUP($A113,'Data shares'!$C:$FM,114)</f>
        <v>38.31</v>
      </c>
      <c r="E113" s="50">
        <f>VLOOKUP($A113,'Data shares'!$C:$FM,106)</f>
        <v>42.78</v>
      </c>
      <c r="F113" s="50">
        <f>VLOOKUP($A113,'Data shares'!$C:$FM,108)</f>
        <v>-4.2699999999999996</v>
      </c>
      <c r="G113" s="50">
        <f t="shared" si="3"/>
        <v>0.90018700327255718</v>
      </c>
    </row>
    <row r="114" spans="1:7" x14ac:dyDescent="0.25">
      <c r="A114" s="49" t="str">
        <f>'Data Vlaue (Cr)'!C109</f>
        <v>JSWSTEEL</v>
      </c>
      <c r="B114" s="50">
        <f>VLOOKUP($A114,'Data shares'!$C:$FM,102)</f>
        <v>28.25</v>
      </c>
      <c r="C114" s="50">
        <f>VLOOKUP($A114,'Data shares'!$C:$FM,110)</f>
        <v>28.09</v>
      </c>
      <c r="D114" s="50">
        <f>VLOOKUP($A114,'Data shares'!$C:$FM,114)</f>
        <v>28.52</v>
      </c>
      <c r="E114" s="50">
        <f>VLOOKUP($A114,'Data shares'!$C:$FM,106)</f>
        <v>31.68</v>
      </c>
      <c r="F114" s="50">
        <f>VLOOKUP($A114,'Data shares'!$C:$FM,108)</f>
        <v>-3.43</v>
      </c>
      <c r="G114" s="50">
        <f t="shared" si="3"/>
        <v>0.89172979797979801</v>
      </c>
    </row>
    <row r="115" spans="1:7" x14ac:dyDescent="0.25">
      <c r="A115" s="49" t="str">
        <f>'Data Vlaue (Cr)'!C110</f>
        <v>JUBLFOOD</v>
      </c>
      <c r="B115" s="50">
        <f>VLOOKUP($A115,'Data shares'!$C:$FM,102)</f>
        <v>37.729999999999997</v>
      </c>
      <c r="C115" s="50">
        <f>VLOOKUP($A115,'Data shares'!$C:$FM,110)</f>
        <v>37.020000000000003</v>
      </c>
      <c r="D115" s="50">
        <f>VLOOKUP($A115,'Data shares'!$C:$FM,114)</f>
        <v>40.19</v>
      </c>
      <c r="E115" s="50">
        <f>VLOOKUP($A115,'Data shares'!$C:$FM,106)</f>
        <v>38</v>
      </c>
      <c r="F115" s="50">
        <f>VLOOKUP($A115,'Data shares'!$C:$FM,108)</f>
        <v>-0.27</v>
      </c>
      <c r="G115" s="50">
        <f t="shared" si="3"/>
        <v>0.99289473684210516</v>
      </c>
    </row>
    <row r="116" spans="1:7" x14ac:dyDescent="0.25">
      <c r="A116" s="49" t="str">
        <f>'Data Vlaue (Cr)'!C111</f>
        <v>KALYANKJIL</v>
      </c>
      <c r="B116" s="50">
        <f>VLOOKUP($A116,'Data shares'!$C:$FM,102)</f>
        <v>43.34</v>
      </c>
      <c r="C116" s="50">
        <f>VLOOKUP($A116,'Data shares'!$C:$FM,110)</f>
        <v>43.34</v>
      </c>
      <c r="D116" s="50">
        <f>VLOOKUP($A116,'Data shares'!$C:$FM,114)</f>
        <v>43.33</v>
      </c>
      <c r="E116" s="50">
        <f>VLOOKUP($A116,'Data shares'!$C:$FM,106)</f>
        <v>51.26</v>
      </c>
      <c r="F116" s="50">
        <f>VLOOKUP($A116,'Data shares'!$C:$FM,108)</f>
        <v>-7.92</v>
      </c>
      <c r="G116" s="50">
        <f t="shared" si="3"/>
        <v>0.84549356223175975</v>
      </c>
    </row>
    <row r="117" spans="1:7" x14ac:dyDescent="0.25">
      <c r="A117" s="49" t="str">
        <f>'Data Vlaue (Cr)'!C112</f>
        <v>KAYNES</v>
      </c>
      <c r="B117" s="50">
        <f>VLOOKUP($A117,'Data shares'!$C:$FM,102)</f>
        <v>50.8</v>
      </c>
      <c r="C117" s="50">
        <f>VLOOKUP($A117,'Data shares'!$C:$FM,110)</f>
        <v>50.33</v>
      </c>
      <c r="D117" s="50">
        <f>VLOOKUP($A117,'Data shares'!$C:$FM,114)</f>
        <v>52.01</v>
      </c>
      <c r="E117" s="50">
        <f>VLOOKUP($A117,'Data shares'!$C:$FM,106)</f>
        <v>60.21</v>
      </c>
      <c r="F117" s="50">
        <f>VLOOKUP($A117,'Data shares'!$C:$FM,108)</f>
        <v>-9.41</v>
      </c>
      <c r="G117" s="50">
        <f t="shared" si="3"/>
        <v>0.84371366882577636</v>
      </c>
    </row>
    <row r="118" spans="1:7" x14ac:dyDescent="0.25">
      <c r="A118" s="49" t="str">
        <f>'Data Vlaue (Cr)'!C113</f>
        <v>KEI</v>
      </c>
      <c r="B118" s="50">
        <f>VLOOKUP($A118,'Data shares'!$C:$FM,102)</f>
        <v>36.19</v>
      </c>
      <c r="C118" s="50">
        <f>VLOOKUP($A118,'Data shares'!$C:$FM,110)</f>
        <v>35</v>
      </c>
      <c r="D118" s="50">
        <f>VLOOKUP($A118,'Data shares'!$C:$FM,114)</f>
        <v>38.82</v>
      </c>
      <c r="E118" s="50">
        <f>VLOOKUP($A118,'Data shares'!$C:$FM,106)</f>
        <v>45.96</v>
      </c>
      <c r="F118" s="50">
        <f>VLOOKUP($A118,'Data shares'!$C:$FM,108)</f>
        <v>-9.77</v>
      </c>
      <c r="G118" s="50">
        <f t="shared" si="3"/>
        <v>0.78742384682332456</v>
      </c>
    </row>
    <row r="119" spans="1:7" x14ac:dyDescent="0.25">
      <c r="A119" s="49" t="str">
        <f>'Data Vlaue (Cr)'!C114</f>
        <v>KFINTECH</v>
      </c>
      <c r="B119" s="50">
        <f>VLOOKUP($A119,'Data shares'!$C:$FM,102)</f>
        <v>37.5</v>
      </c>
      <c r="C119" s="50">
        <f>VLOOKUP($A119,'Data shares'!$C:$FM,110)</f>
        <v>37.14</v>
      </c>
      <c r="D119" s="50">
        <f>VLOOKUP($A119,'Data shares'!$C:$FM,114)</f>
        <v>38.35</v>
      </c>
      <c r="E119" s="50">
        <f>VLOOKUP($A119,'Data shares'!$C:$FM,106)</f>
        <v>51.46</v>
      </c>
      <c r="F119" s="50">
        <f>VLOOKUP($A119,'Data shares'!$C:$FM,108)</f>
        <v>-13.96</v>
      </c>
      <c r="G119" s="50">
        <f t="shared" si="3"/>
        <v>0.72872133696074615</v>
      </c>
    </row>
    <row r="120" spans="1:7" x14ac:dyDescent="0.25">
      <c r="A120" s="49" t="str">
        <f>'Data Vlaue (Cr)'!C115</f>
        <v>KOTAKBANK</v>
      </c>
      <c r="B120" s="50">
        <f>VLOOKUP($A120,'Data shares'!$C:$FM,102)</f>
        <v>24.39</v>
      </c>
      <c r="C120" s="50">
        <f>VLOOKUP($A120,'Data shares'!$C:$FM,110)</f>
        <v>24.2</v>
      </c>
      <c r="D120" s="50">
        <f>VLOOKUP($A120,'Data shares'!$C:$FM,114)</f>
        <v>24.78</v>
      </c>
      <c r="E120" s="50">
        <f>VLOOKUP($A120,'Data shares'!$C:$FM,106)</f>
        <v>27.27</v>
      </c>
      <c r="F120" s="50">
        <f>VLOOKUP($A120,'Data shares'!$C:$FM,108)</f>
        <v>-2.88</v>
      </c>
      <c r="G120" s="50">
        <f t="shared" si="3"/>
        <v>0.89438943894389444</v>
      </c>
    </row>
    <row r="121" spans="1:7" x14ac:dyDescent="0.25">
      <c r="A121" s="49" t="str">
        <f>'Data Vlaue (Cr)'!C116</f>
        <v>KPITTECH</v>
      </c>
      <c r="B121" s="50">
        <f>VLOOKUP($A121,'Data shares'!$C:$FM,102)</f>
        <v>40.72</v>
      </c>
      <c r="C121" s="50">
        <f>VLOOKUP($A121,'Data shares'!$C:$FM,110)</f>
        <v>40.17</v>
      </c>
      <c r="D121" s="50">
        <f>VLOOKUP($A121,'Data shares'!$C:$FM,114)</f>
        <v>41.71</v>
      </c>
      <c r="E121" s="50">
        <f>VLOOKUP($A121,'Data shares'!$C:$FM,106)</f>
        <v>44.75</v>
      </c>
      <c r="F121" s="50">
        <f>VLOOKUP($A121,'Data shares'!$C:$FM,108)</f>
        <v>-4.03</v>
      </c>
      <c r="G121" s="50">
        <f t="shared" si="3"/>
        <v>0.90994413407821229</v>
      </c>
    </row>
    <row r="122" spans="1:7" x14ac:dyDescent="0.25">
      <c r="A122" s="49" t="str">
        <f>'Data Vlaue (Cr)'!C117</f>
        <v>LAURUSLABS</v>
      </c>
      <c r="B122" s="50">
        <f>VLOOKUP($A122,'Data shares'!$C:$FM,102)</f>
        <v>29.91</v>
      </c>
      <c r="C122" s="50">
        <f>VLOOKUP($A122,'Data shares'!$C:$FM,110)</f>
        <v>29.31</v>
      </c>
      <c r="D122" s="50">
        <f>VLOOKUP($A122,'Data shares'!$C:$FM,114)</f>
        <v>31.05</v>
      </c>
      <c r="E122" s="50">
        <f>VLOOKUP($A122,'Data shares'!$C:$FM,106)</f>
        <v>39.72</v>
      </c>
      <c r="F122" s="50">
        <f>VLOOKUP($A122,'Data shares'!$C:$FM,108)</f>
        <v>-9.81</v>
      </c>
      <c r="G122" s="50">
        <f t="shared" si="3"/>
        <v>0.75302114803625375</v>
      </c>
    </row>
    <row r="123" spans="1:7" x14ac:dyDescent="0.25">
      <c r="A123" s="49" t="str">
        <f>'Data Vlaue (Cr)'!C118</f>
        <v>LICHSGFIN</v>
      </c>
      <c r="B123" s="50">
        <f>VLOOKUP($A123,'Data shares'!$C:$FM,102)</f>
        <v>29.91</v>
      </c>
      <c r="C123" s="50">
        <f>VLOOKUP($A123,'Data shares'!$C:$FM,110)</f>
        <v>29.52</v>
      </c>
      <c r="D123" s="50">
        <f>VLOOKUP($A123,'Data shares'!$C:$FM,114)</f>
        <v>31.16</v>
      </c>
      <c r="E123" s="50">
        <f>VLOOKUP($A123,'Data shares'!$C:$FM,106)</f>
        <v>33.799999999999997</v>
      </c>
      <c r="F123" s="50">
        <f>VLOOKUP($A123,'Data shares'!$C:$FM,108)</f>
        <v>-3.89</v>
      </c>
      <c r="G123" s="50">
        <f t="shared" si="3"/>
        <v>0.88491124260355036</v>
      </c>
    </row>
    <row r="124" spans="1:7" x14ac:dyDescent="0.25">
      <c r="A124" s="49" t="str">
        <f>'Data Vlaue (Cr)'!C119</f>
        <v>LICI</v>
      </c>
      <c r="B124" s="50">
        <f>VLOOKUP($A124,'Data shares'!$C:$FM,102)</f>
        <v>27.56</v>
      </c>
      <c r="C124" s="50">
        <f>VLOOKUP($A124,'Data shares'!$C:$FM,110)</f>
        <v>27.6</v>
      </c>
      <c r="D124" s="50">
        <f>VLOOKUP($A124,'Data shares'!$C:$FM,114)</f>
        <v>27.47</v>
      </c>
      <c r="E124" s="50">
        <f>VLOOKUP($A124,'Data shares'!$C:$FM,106)</f>
        <v>32.76</v>
      </c>
      <c r="F124" s="50">
        <f>VLOOKUP($A124,'Data shares'!$C:$FM,108)</f>
        <v>-5.2</v>
      </c>
      <c r="G124" s="50">
        <f t="shared" si="3"/>
        <v>0.84126984126984128</v>
      </c>
    </row>
    <row r="125" spans="1:7" x14ac:dyDescent="0.25">
      <c r="A125" s="49" t="str">
        <f>'Data Vlaue (Cr)'!C120</f>
        <v>LODHA</v>
      </c>
      <c r="B125" s="50">
        <f>VLOOKUP($A125,'Data shares'!$C:$FM,102)</f>
        <v>38.29</v>
      </c>
      <c r="C125" s="50">
        <f>VLOOKUP($A125,'Data shares'!$C:$FM,110)</f>
        <v>37.49</v>
      </c>
      <c r="D125" s="50">
        <f>VLOOKUP($A125,'Data shares'!$C:$FM,114)</f>
        <v>40.64</v>
      </c>
      <c r="E125" s="50">
        <f>VLOOKUP($A125,'Data shares'!$C:$FM,106)</f>
        <v>48.04</v>
      </c>
      <c r="F125" s="50">
        <f>VLOOKUP($A125,'Data shares'!$C:$FM,108)</f>
        <v>-9.75</v>
      </c>
      <c r="G125" s="50">
        <f t="shared" si="3"/>
        <v>0.79704412989175688</v>
      </c>
    </row>
    <row r="126" spans="1:7" x14ac:dyDescent="0.25">
      <c r="A126" s="49" t="str">
        <f>'Data Vlaue (Cr)'!C121</f>
        <v>LT</v>
      </c>
      <c r="B126" s="50">
        <f>VLOOKUP($A126,'Data shares'!$C:$FM,102)</f>
        <v>26.93</v>
      </c>
      <c r="C126" s="50">
        <f>VLOOKUP($A126,'Data shares'!$C:$FM,110)</f>
        <v>27.01</v>
      </c>
      <c r="D126" s="50">
        <f>VLOOKUP($A126,'Data shares'!$C:$FM,114)</f>
        <v>26.74</v>
      </c>
      <c r="E126" s="50">
        <f>VLOOKUP($A126,'Data shares'!$C:$FM,106)</f>
        <v>33.53</v>
      </c>
      <c r="F126" s="50">
        <f>VLOOKUP($A126,'Data shares'!$C:$FM,108)</f>
        <v>-6.6</v>
      </c>
      <c r="G126" s="50">
        <f t="shared" si="3"/>
        <v>0.8031613480465255</v>
      </c>
    </row>
    <row r="127" spans="1:7" x14ac:dyDescent="0.25">
      <c r="A127" s="49" t="str">
        <f>'Data Vlaue (Cr)'!C122</f>
        <v>LTF</v>
      </c>
      <c r="B127" s="50">
        <f>VLOOKUP($A127,'Data shares'!$C:$FM,102)</f>
        <v>33.32</v>
      </c>
      <c r="C127" s="50">
        <f>VLOOKUP($A127,'Data shares'!$C:$FM,110)</f>
        <v>32.83</v>
      </c>
      <c r="D127" s="50">
        <f>VLOOKUP($A127,'Data shares'!$C:$FM,114)</f>
        <v>34.75</v>
      </c>
      <c r="E127" s="50">
        <f>VLOOKUP($A127,'Data shares'!$C:$FM,106)</f>
        <v>40.94</v>
      </c>
      <c r="F127" s="50">
        <f>VLOOKUP($A127,'Data shares'!$C:$FM,108)</f>
        <v>-7.62</v>
      </c>
      <c r="G127" s="50">
        <f t="shared" si="3"/>
        <v>0.8138739618954568</v>
      </c>
    </row>
    <row r="128" spans="1:7" x14ac:dyDescent="0.25">
      <c r="A128" s="49" t="str">
        <f>'Data Vlaue (Cr)'!C123</f>
        <v>LTM</v>
      </c>
      <c r="B128" s="50">
        <f>VLOOKUP($A128,'Data shares'!$C:$FM,102)</f>
        <v>31.72</v>
      </c>
      <c r="C128" s="50">
        <f>VLOOKUP($A128,'Data shares'!$C:$FM,110)</f>
        <v>31.59</v>
      </c>
      <c r="D128" s="50">
        <f>VLOOKUP($A128,'Data shares'!$C:$FM,114)</f>
        <v>32.11</v>
      </c>
      <c r="E128" s="50">
        <f>VLOOKUP($A128,'Data shares'!$C:$FM,106)</f>
        <v>36.33</v>
      </c>
      <c r="F128" s="50">
        <f>VLOOKUP($A128,'Data shares'!$C:$FM,108)</f>
        <v>-4.6100000000000003</v>
      </c>
      <c r="G128" s="50">
        <f t="shared" si="3"/>
        <v>0.87310762455271129</v>
      </c>
    </row>
    <row r="129" spans="1:7" x14ac:dyDescent="0.25">
      <c r="A129" s="49" t="str">
        <f>'Data Vlaue (Cr)'!C124</f>
        <v>LUPIN</v>
      </c>
      <c r="B129" s="50">
        <f>VLOOKUP($A129,'Data shares'!$C:$FM,102)</f>
        <v>30.32</v>
      </c>
      <c r="C129" s="50">
        <f>VLOOKUP($A129,'Data shares'!$C:$FM,110)</f>
        <v>30.17</v>
      </c>
      <c r="D129" s="50">
        <f>VLOOKUP($A129,'Data shares'!$C:$FM,114)</f>
        <v>30.74</v>
      </c>
      <c r="E129" s="50">
        <f>VLOOKUP($A129,'Data shares'!$C:$FM,106)</f>
        <v>28.17</v>
      </c>
      <c r="F129" s="50">
        <f>VLOOKUP($A129,'Data shares'!$C:$FM,108)</f>
        <v>2.15</v>
      </c>
      <c r="G129" s="50">
        <f t="shared" si="3"/>
        <v>1.0763223287184949</v>
      </c>
    </row>
    <row r="130" spans="1:7" x14ac:dyDescent="0.25">
      <c r="A130" s="49" t="str">
        <f>'Data Vlaue (Cr)'!C125</f>
        <v>M&amp;M</v>
      </c>
      <c r="B130" s="50">
        <f>VLOOKUP($A130,'Data shares'!$C:$FM,102)</f>
        <v>29</v>
      </c>
      <c r="C130" s="50">
        <f>VLOOKUP($A130,'Data shares'!$C:$FM,110)</f>
        <v>28.25</v>
      </c>
      <c r="D130" s="50">
        <f>VLOOKUP($A130,'Data shares'!$C:$FM,114)</f>
        <v>30.5</v>
      </c>
      <c r="E130" s="50">
        <f>VLOOKUP($A130,'Data shares'!$C:$FM,106)</f>
        <v>35.89</v>
      </c>
      <c r="F130" s="50">
        <f>VLOOKUP($A130,'Data shares'!$C:$FM,108)</f>
        <v>-6.89</v>
      </c>
      <c r="G130" s="50">
        <f t="shared" si="3"/>
        <v>0.80802451936472552</v>
      </c>
    </row>
    <row r="131" spans="1:7" x14ac:dyDescent="0.25">
      <c r="A131" s="49" t="str">
        <f>'Data Vlaue (Cr)'!C126</f>
        <v>MANAPPURAM</v>
      </c>
      <c r="B131" s="50">
        <f>VLOOKUP($A131,'Data shares'!$C:$FM,102)</f>
        <v>34.82</v>
      </c>
      <c r="C131" s="50">
        <f>VLOOKUP($A131,'Data shares'!$C:$FM,110)</f>
        <v>34.49</v>
      </c>
      <c r="D131" s="50">
        <f>VLOOKUP($A131,'Data shares'!$C:$FM,114)</f>
        <v>35.4</v>
      </c>
      <c r="E131" s="50">
        <f>VLOOKUP($A131,'Data shares'!$C:$FM,106)</f>
        <v>42.64</v>
      </c>
      <c r="F131" s="50">
        <f>VLOOKUP($A131,'Data shares'!$C:$FM,108)</f>
        <v>-7.82</v>
      </c>
      <c r="G131" s="50">
        <f t="shared" si="3"/>
        <v>0.81660412757973733</v>
      </c>
    </row>
    <row r="132" spans="1:7" x14ac:dyDescent="0.25">
      <c r="A132" s="49" t="str">
        <f>'Data Vlaue (Cr)'!C127</f>
        <v>MANKIND</v>
      </c>
      <c r="B132" s="50">
        <f>VLOOKUP($A132,'Data shares'!$C:$FM,102)</f>
        <v>36.729999999999997</v>
      </c>
      <c r="C132" s="50">
        <f>VLOOKUP($A132,'Data shares'!$C:$FM,110)</f>
        <v>36.68</v>
      </c>
      <c r="D132" s="50">
        <f>VLOOKUP($A132,'Data shares'!$C:$FM,114)</f>
        <v>37.06</v>
      </c>
      <c r="E132" s="50">
        <f>VLOOKUP($A132,'Data shares'!$C:$FM,106)</f>
        <v>33.56</v>
      </c>
      <c r="F132" s="50">
        <f>VLOOKUP($A132,'Data shares'!$C:$FM,108)</f>
        <v>3.17</v>
      </c>
      <c r="G132" s="50">
        <f t="shared" si="3"/>
        <v>1.0944576877234802</v>
      </c>
    </row>
    <row r="133" spans="1:7" x14ac:dyDescent="0.25">
      <c r="A133" s="49" t="str">
        <f>'Data Vlaue (Cr)'!C128</f>
        <v>MARICO</v>
      </c>
      <c r="B133" s="50">
        <f>VLOOKUP($A133,'Data shares'!$C:$FM,102)</f>
        <v>21.71</v>
      </c>
      <c r="C133" s="50">
        <f>VLOOKUP($A133,'Data shares'!$C:$FM,110)</f>
        <v>21.86</v>
      </c>
      <c r="D133" s="50">
        <f>VLOOKUP($A133,'Data shares'!$C:$FM,114)</f>
        <v>21.47</v>
      </c>
      <c r="E133" s="50">
        <f>VLOOKUP($A133,'Data shares'!$C:$FM,106)</f>
        <v>24.6</v>
      </c>
      <c r="F133" s="50">
        <f>VLOOKUP($A133,'Data shares'!$C:$FM,108)</f>
        <v>-2.89</v>
      </c>
      <c r="G133" s="50">
        <f t="shared" si="3"/>
        <v>0.88252032520325197</v>
      </c>
    </row>
    <row r="134" spans="1:7" x14ac:dyDescent="0.25">
      <c r="A134" s="49" t="str">
        <f>'Data Vlaue (Cr)'!C129</f>
        <v>MARUTI</v>
      </c>
      <c r="B134" s="50">
        <f>VLOOKUP($A134,'Data shares'!$C:$FM,102)</f>
        <v>25.49</v>
      </c>
      <c r="C134" s="50">
        <f>VLOOKUP($A134,'Data shares'!$C:$FM,110)</f>
        <v>24.38</v>
      </c>
      <c r="D134" s="50">
        <f>VLOOKUP($A134,'Data shares'!$C:$FM,114)</f>
        <v>27.9</v>
      </c>
      <c r="E134" s="50">
        <f>VLOOKUP($A134,'Data shares'!$C:$FM,106)</f>
        <v>29.05</v>
      </c>
      <c r="F134" s="50">
        <f>VLOOKUP($A134,'Data shares'!$C:$FM,108)</f>
        <v>-3.56</v>
      </c>
      <c r="G134" s="50">
        <f t="shared" si="3"/>
        <v>0.87745266781411357</v>
      </c>
    </row>
    <row r="135" spans="1:7" x14ac:dyDescent="0.25">
      <c r="A135" s="49" t="str">
        <f>'Data Vlaue (Cr)'!C130</f>
        <v>MAXHEALTH</v>
      </c>
      <c r="B135" s="50">
        <f>VLOOKUP($A135,'Data shares'!$C:$FM,102)</f>
        <v>29.34</v>
      </c>
      <c r="C135" s="50">
        <f>VLOOKUP($A135,'Data shares'!$C:$FM,110)</f>
        <v>29.52</v>
      </c>
      <c r="D135" s="50">
        <f>VLOOKUP($A135,'Data shares'!$C:$FM,114)</f>
        <v>28.92</v>
      </c>
      <c r="E135" s="50">
        <f>VLOOKUP($A135,'Data shares'!$C:$FM,106)</f>
        <v>35.58</v>
      </c>
      <c r="F135" s="50">
        <f>VLOOKUP($A135,'Data shares'!$C:$FM,108)</f>
        <v>-6.24</v>
      </c>
      <c r="G135" s="50">
        <f t="shared" ref="G135:G166" si="4">B135/E135</f>
        <v>0.82462057335581795</v>
      </c>
    </row>
    <row r="136" spans="1:7" x14ac:dyDescent="0.25">
      <c r="A136" s="49" t="str">
        <f>'Data Vlaue (Cr)'!C131</f>
        <v>MAZDOCK</v>
      </c>
      <c r="B136" s="50">
        <f>VLOOKUP($A136,'Data shares'!$C:$FM,102)</f>
        <v>39.04</v>
      </c>
      <c r="C136" s="50">
        <f>VLOOKUP($A136,'Data shares'!$C:$FM,110)</f>
        <v>39.369999999999997</v>
      </c>
      <c r="D136" s="50">
        <f>VLOOKUP($A136,'Data shares'!$C:$FM,114)</f>
        <v>37.93</v>
      </c>
      <c r="E136" s="50">
        <f>VLOOKUP($A136,'Data shares'!$C:$FM,106)</f>
        <v>55.09</v>
      </c>
      <c r="F136" s="50">
        <f>VLOOKUP($A136,'Data shares'!$C:$FM,108)</f>
        <v>-16.05</v>
      </c>
      <c r="G136" s="50">
        <f t="shared" si="4"/>
        <v>0.70865855872209105</v>
      </c>
    </row>
    <row r="137" spans="1:7" x14ac:dyDescent="0.25">
      <c r="A137" s="49" t="str">
        <f>'Data Vlaue (Cr)'!C132</f>
        <v>MCX</v>
      </c>
      <c r="B137" s="50">
        <f>VLOOKUP($A137,'Data shares'!$C:$FM,102)</f>
        <v>44.13</v>
      </c>
      <c r="C137" s="50">
        <f>VLOOKUP($A137,'Data shares'!$C:$FM,110)</f>
        <v>42.81</v>
      </c>
      <c r="D137" s="50">
        <f>VLOOKUP($A137,'Data shares'!$C:$FM,114)</f>
        <v>46.22</v>
      </c>
      <c r="E137" s="50">
        <f>VLOOKUP($A137,'Data shares'!$C:$FM,106)</f>
        <v>49.04</v>
      </c>
      <c r="F137" s="50">
        <f>VLOOKUP($A137,'Data shares'!$C:$FM,108)</f>
        <v>-4.91</v>
      </c>
      <c r="G137" s="50">
        <f t="shared" si="4"/>
        <v>0.89987765089722682</v>
      </c>
    </row>
    <row r="138" spans="1:7" x14ac:dyDescent="0.25">
      <c r="A138" s="49" t="str">
        <f>'Data Vlaue (Cr)'!C133</f>
        <v>MFSL</v>
      </c>
      <c r="B138" s="50">
        <f>VLOOKUP($A138,'Data shares'!$C:$FM,102)</f>
        <v>33.72</v>
      </c>
      <c r="C138" s="50">
        <f>VLOOKUP($A138,'Data shares'!$C:$FM,110)</f>
        <v>33.47</v>
      </c>
      <c r="D138" s="50">
        <f>VLOOKUP($A138,'Data shares'!$C:$FM,114)</f>
        <v>34.71</v>
      </c>
      <c r="E138" s="50">
        <f>VLOOKUP($A138,'Data shares'!$C:$FM,106)</f>
        <v>31.84</v>
      </c>
      <c r="F138" s="50">
        <f>VLOOKUP($A138,'Data shares'!$C:$FM,108)</f>
        <v>1.88</v>
      </c>
      <c r="G138" s="50">
        <f t="shared" si="4"/>
        <v>1.0590452261306533</v>
      </c>
    </row>
    <row r="139" spans="1:7" x14ac:dyDescent="0.25">
      <c r="A139" s="49" t="str">
        <f>'Data Vlaue (Cr)'!C134</f>
        <v>MIDCPNIFTY</v>
      </c>
      <c r="B139" s="50">
        <f>VLOOKUP($A139,'Data shares'!$C:$FM,102)</f>
        <v>21.06</v>
      </c>
      <c r="C139" s="50">
        <f>VLOOKUP($A139,'Data shares'!$C:$FM,110)</f>
        <v>18.29</v>
      </c>
      <c r="D139" s="50">
        <f>VLOOKUP($A139,'Data shares'!$C:$FM,114)</f>
        <v>23.11</v>
      </c>
      <c r="E139" s="50">
        <f>VLOOKUP($A139,'Data shares'!$C:$FM,106)</f>
        <v>25.01</v>
      </c>
      <c r="F139" s="50">
        <f>VLOOKUP($A139,'Data shares'!$C:$FM,108)</f>
        <v>-3.95</v>
      </c>
      <c r="G139" s="50">
        <f t="shared" si="4"/>
        <v>0.84206317473010783</v>
      </c>
    </row>
    <row r="140" spans="1:7" x14ac:dyDescent="0.25">
      <c r="A140" s="49" t="str">
        <f>'Data Vlaue (Cr)'!C135</f>
        <v>MOTHERSON</v>
      </c>
      <c r="B140" s="50">
        <f>VLOOKUP($A140,'Data shares'!$C:$FM,102)</f>
        <v>42.37</v>
      </c>
      <c r="C140" s="50">
        <f>VLOOKUP($A140,'Data shares'!$C:$FM,110)</f>
        <v>41.87</v>
      </c>
      <c r="D140" s="50">
        <f>VLOOKUP($A140,'Data shares'!$C:$FM,114)</f>
        <v>43.82</v>
      </c>
      <c r="E140" s="50">
        <f>VLOOKUP($A140,'Data shares'!$C:$FM,106)</f>
        <v>43.89</v>
      </c>
      <c r="F140" s="50">
        <f>VLOOKUP($A140,'Data shares'!$C:$FM,108)</f>
        <v>-1.52</v>
      </c>
      <c r="G140" s="50">
        <f t="shared" si="4"/>
        <v>0.96536796536796532</v>
      </c>
    </row>
    <row r="141" spans="1:7" x14ac:dyDescent="0.25">
      <c r="A141" s="49" t="str">
        <f>'Data Vlaue (Cr)'!C136</f>
        <v>MOTILALOFS</v>
      </c>
      <c r="B141" s="50">
        <f>VLOOKUP($A141,'Data shares'!$C:$FM,102)</f>
        <v>35.61</v>
      </c>
      <c r="C141" s="50">
        <f>VLOOKUP($A141,'Data shares'!$C:$FM,110)</f>
        <v>33.76</v>
      </c>
      <c r="D141" s="50">
        <f>VLOOKUP($A141,'Data shares'!$C:$FM,114)</f>
        <v>39.31</v>
      </c>
      <c r="E141" s="50">
        <f>VLOOKUP($A141,'Data shares'!$C:$FM,106)</f>
        <v>54.27</v>
      </c>
      <c r="F141" s="50">
        <f>VLOOKUP($A141,'Data shares'!$C:$FM,108)</f>
        <v>-18.66</v>
      </c>
      <c r="G141" s="50">
        <f t="shared" si="4"/>
        <v>0.65616362631287994</v>
      </c>
    </row>
    <row r="142" spans="1:7" x14ac:dyDescent="0.25">
      <c r="A142" s="49" t="str">
        <f>'Data Vlaue (Cr)'!C137</f>
        <v>MPHASIS</v>
      </c>
      <c r="B142" s="50">
        <f>VLOOKUP($A142,'Data shares'!$C:$FM,102)</f>
        <v>35.25</v>
      </c>
      <c r="C142" s="50">
        <f>VLOOKUP($A142,'Data shares'!$C:$FM,110)</f>
        <v>35.1</v>
      </c>
      <c r="D142" s="50">
        <f>VLOOKUP($A142,'Data shares'!$C:$FM,114)</f>
        <v>35.75</v>
      </c>
      <c r="E142" s="50">
        <f>VLOOKUP($A142,'Data shares'!$C:$FM,106)</f>
        <v>37.090000000000003</v>
      </c>
      <c r="F142" s="50">
        <f>VLOOKUP($A142,'Data shares'!$C:$FM,108)</f>
        <v>-1.84</v>
      </c>
      <c r="G142" s="50">
        <f t="shared" si="4"/>
        <v>0.9503909409544351</v>
      </c>
    </row>
    <row r="143" spans="1:7" x14ac:dyDescent="0.25">
      <c r="A143" s="49" t="str">
        <f>'Data Vlaue (Cr)'!C138</f>
        <v>MUTHOOTFIN</v>
      </c>
      <c r="B143" s="50">
        <f>VLOOKUP($A143,'Data shares'!$C:$FM,102)</f>
        <v>40.18</v>
      </c>
      <c r="C143" s="50">
        <f>VLOOKUP($A143,'Data shares'!$C:$FM,110)</f>
        <v>39.549999999999997</v>
      </c>
      <c r="D143" s="50">
        <f>VLOOKUP($A143,'Data shares'!$C:$FM,114)</f>
        <v>41.42</v>
      </c>
      <c r="E143" s="50">
        <f>VLOOKUP($A143,'Data shares'!$C:$FM,106)</f>
        <v>43.43</v>
      </c>
      <c r="F143" s="50">
        <f>VLOOKUP($A143,'Data shares'!$C:$FM,108)</f>
        <v>-3.25</v>
      </c>
      <c r="G143" s="50">
        <f t="shared" si="4"/>
        <v>0.92516693529818095</v>
      </c>
    </row>
    <row r="144" spans="1:7" x14ac:dyDescent="0.25">
      <c r="A144" s="49" t="str">
        <f>'Data Vlaue (Cr)'!C139</f>
        <v>NAM-INDIA</v>
      </c>
      <c r="B144" s="233">
        <f>VLOOKUP($A144,'Data shares'!$C:$FM,102)</f>
        <v>36.76</v>
      </c>
      <c r="C144" s="233">
        <f>VLOOKUP($A144,'Data shares'!$C:$FM,110)</f>
        <v>35.97</v>
      </c>
      <c r="D144" s="233">
        <f>VLOOKUP($A144,'Data shares'!$C:$FM,114)</f>
        <v>40.880000000000003</v>
      </c>
      <c r="E144" s="233">
        <f>VLOOKUP($A144,'Data shares'!$C:$FM,106)</f>
        <v>50.38</v>
      </c>
      <c r="F144" s="233">
        <f>VLOOKUP($A144,'Data shares'!$C:$FM,108)</f>
        <v>-13.62</v>
      </c>
      <c r="G144" s="233">
        <f t="shared" si="4"/>
        <v>0.72965462485113131</v>
      </c>
    </row>
    <row r="145" spans="1:7" x14ac:dyDescent="0.25">
      <c r="A145" s="49" t="str">
        <f>'Data Vlaue (Cr)'!C140</f>
        <v>NATIONALUM</v>
      </c>
      <c r="B145" s="50">
        <f>VLOOKUP($A145,'Data shares'!$C:$FM,102)</f>
        <v>38.630000000000003</v>
      </c>
      <c r="C145" s="50">
        <f>VLOOKUP($A145,'Data shares'!$C:$FM,110)</f>
        <v>38.67</v>
      </c>
      <c r="D145" s="50">
        <f>VLOOKUP($A145,'Data shares'!$C:$FM,114)</f>
        <v>38.54</v>
      </c>
      <c r="E145" s="50">
        <f>VLOOKUP($A145,'Data shares'!$C:$FM,106)</f>
        <v>51.89</v>
      </c>
      <c r="F145" s="50">
        <f>VLOOKUP($A145,'Data shares'!$C:$FM,108)</f>
        <v>-13.26</v>
      </c>
      <c r="G145" s="50">
        <f t="shared" si="4"/>
        <v>0.7444594334168434</v>
      </c>
    </row>
    <row r="146" spans="1:7" x14ac:dyDescent="0.25">
      <c r="A146" s="49" t="str">
        <f>'Data Vlaue (Cr)'!C141</f>
        <v>NAUKRI</v>
      </c>
      <c r="B146" s="50">
        <f>VLOOKUP($A146,'Data shares'!$C:$FM,102)</f>
        <v>33.99</v>
      </c>
      <c r="C146" s="50">
        <f>VLOOKUP($A146,'Data shares'!$C:$FM,110)</f>
        <v>33.64</v>
      </c>
      <c r="D146" s="50">
        <f>VLOOKUP($A146,'Data shares'!$C:$FM,114)</f>
        <v>35.049999999999997</v>
      </c>
      <c r="E146" s="50">
        <f>VLOOKUP($A146,'Data shares'!$C:$FM,106)</f>
        <v>36.56</v>
      </c>
      <c r="F146" s="50">
        <f>VLOOKUP($A146,'Data shares'!$C:$FM,108)</f>
        <v>-2.57</v>
      </c>
      <c r="G146" s="50">
        <f t="shared" si="4"/>
        <v>0.92970459518599557</v>
      </c>
    </row>
    <row r="147" spans="1:7" x14ac:dyDescent="0.25">
      <c r="A147" s="49" t="str">
        <f>'Data Vlaue (Cr)'!C142</f>
        <v>NBCC</v>
      </c>
      <c r="B147" s="50">
        <f>VLOOKUP($A147,'Data shares'!$C:$FM,102)</f>
        <v>39.700000000000003</v>
      </c>
      <c r="C147" s="50">
        <f>VLOOKUP($A147,'Data shares'!$C:$FM,110)</f>
        <v>39.72</v>
      </c>
      <c r="D147" s="50">
        <f>VLOOKUP($A147,'Data shares'!$C:$FM,114)</f>
        <v>39.64</v>
      </c>
      <c r="E147" s="50">
        <f>VLOOKUP($A147,'Data shares'!$C:$FM,106)</f>
        <v>50.7</v>
      </c>
      <c r="F147" s="50">
        <f>VLOOKUP($A147,'Data shares'!$C:$FM,108)</f>
        <v>-11</v>
      </c>
      <c r="G147" s="50">
        <f t="shared" si="4"/>
        <v>0.78303747534516766</v>
      </c>
    </row>
    <row r="148" spans="1:7" x14ac:dyDescent="0.25">
      <c r="A148" s="49" t="str">
        <f>'Data Vlaue (Cr)'!C143</f>
        <v>NESTLEIND</v>
      </c>
      <c r="B148" s="50">
        <f>VLOOKUP($A148,'Data shares'!$C:$FM,102)</f>
        <v>22.25</v>
      </c>
      <c r="C148" s="50">
        <f>VLOOKUP($A148,'Data shares'!$C:$FM,110)</f>
        <v>20.420000000000002</v>
      </c>
      <c r="D148" s="50">
        <f>VLOOKUP($A148,'Data shares'!$C:$FM,114)</f>
        <v>24.17</v>
      </c>
      <c r="E148" s="50">
        <f>VLOOKUP($A148,'Data shares'!$C:$FM,106)</f>
        <v>25.07</v>
      </c>
      <c r="F148" s="50">
        <f>VLOOKUP($A148,'Data shares'!$C:$FM,108)</f>
        <v>-2.82</v>
      </c>
      <c r="G148" s="50">
        <f t="shared" si="4"/>
        <v>0.88751495811727166</v>
      </c>
    </row>
    <row r="149" spans="1:7" x14ac:dyDescent="0.25">
      <c r="A149" s="49" t="str">
        <f>'Data Vlaue (Cr)'!C144</f>
        <v>NHPC</v>
      </c>
      <c r="B149" s="50">
        <f>VLOOKUP($A149,'Data shares'!$C:$FM,102)</f>
        <v>31.79</v>
      </c>
      <c r="C149" s="50">
        <f>VLOOKUP($A149,'Data shares'!$C:$FM,110)</f>
        <v>32.049999999999997</v>
      </c>
      <c r="D149" s="50">
        <f>VLOOKUP($A149,'Data shares'!$C:$FM,114)</f>
        <v>30.75</v>
      </c>
      <c r="E149" s="50">
        <f>VLOOKUP($A149,'Data shares'!$C:$FM,106)</f>
        <v>34.71</v>
      </c>
      <c r="F149" s="50">
        <f>VLOOKUP($A149,'Data shares'!$C:$FM,108)</f>
        <v>-2.92</v>
      </c>
      <c r="G149" s="50">
        <f t="shared" si="4"/>
        <v>0.91587438778450014</v>
      </c>
    </row>
    <row r="150" spans="1:7" x14ac:dyDescent="0.25">
      <c r="A150" s="49" t="str">
        <f>'Data Vlaue (Cr)'!C145</f>
        <v>NIFTY</v>
      </c>
      <c r="B150" s="50">
        <f>VLOOKUP($A150,'Data shares'!$C:$FM,102)</f>
        <v>16.79</v>
      </c>
      <c r="C150" s="50">
        <f>VLOOKUP($A150,'Data shares'!$C:$FM,110)</f>
        <v>15.79</v>
      </c>
      <c r="D150" s="50">
        <f>VLOOKUP($A150,'Data shares'!$C:$FM,114)</f>
        <v>17.77</v>
      </c>
      <c r="E150" s="50">
        <f>VLOOKUP($A150,'Data shares'!$C:$FM,106)</f>
        <v>17.579999999999998</v>
      </c>
      <c r="F150" s="50">
        <f>VLOOKUP($A150,'Data shares'!$C:$FM,108)</f>
        <v>-0.79</v>
      </c>
      <c r="G150" s="50">
        <f t="shared" si="4"/>
        <v>0.95506257110352677</v>
      </c>
    </row>
    <row r="151" spans="1:7" x14ac:dyDescent="0.25">
      <c r="A151" s="49" t="str">
        <f>'Data Vlaue (Cr)'!C146</f>
        <v>NIFTYNXT50</v>
      </c>
      <c r="B151" s="50">
        <f>VLOOKUP($A151,'Data shares'!$C:$FM,102)</f>
        <v>17.05</v>
      </c>
      <c r="C151" s="50">
        <f>VLOOKUP($A151,'Data shares'!$C:$FM,110)</f>
        <v>16.66</v>
      </c>
      <c r="D151" s="50">
        <f>VLOOKUP($A151,'Data shares'!$C:$FM,114)</f>
        <v>23.37</v>
      </c>
      <c r="E151" s="50">
        <f>VLOOKUP($A151,'Data shares'!$C:$FM,106)</f>
        <v>22.99</v>
      </c>
      <c r="F151" s="50">
        <f>VLOOKUP($A151,'Data shares'!$C:$FM,108)</f>
        <v>-5.94</v>
      </c>
      <c r="G151" s="50">
        <f t="shared" si="4"/>
        <v>0.7416267942583733</v>
      </c>
    </row>
    <row r="152" spans="1:7" x14ac:dyDescent="0.25">
      <c r="A152" s="49" t="str">
        <f>'Data Vlaue (Cr)'!C147</f>
        <v>NMDC</v>
      </c>
      <c r="B152" s="50">
        <f>VLOOKUP($A152,'Data shares'!$C:$FM,102)</f>
        <v>33.6</v>
      </c>
      <c r="C152" s="50">
        <f>VLOOKUP($A152,'Data shares'!$C:$FM,110)</f>
        <v>33.79</v>
      </c>
      <c r="D152" s="50">
        <f>VLOOKUP($A152,'Data shares'!$C:$FM,114)</f>
        <v>33.020000000000003</v>
      </c>
      <c r="E152" s="50">
        <f>VLOOKUP($A152,'Data shares'!$C:$FM,106)</f>
        <v>38.299999999999997</v>
      </c>
      <c r="F152" s="50">
        <f>VLOOKUP($A152,'Data shares'!$C:$FM,108)</f>
        <v>-4.7</v>
      </c>
      <c r="G152" s="50">
        <f t="shared" si="4"/>
        <v>0.87728459530026115</v>
      </c>
    </row>
    <row r="153" spans="1:7" x14ac:dyDescent="0.25">
      <c r="A153" s="49" t="str">
        <f>'Data Vlaue (Cr)'!C148</f>
        <v>NTPC</v>
      </c>
      <c r="B153" s="50">
        <f>VLOOKUP($A153,'Data shares'!$C:$FM,102)</f>
        <v>21.51</v>
      </c>
      <c r="C153" s="50">
        <f>VLOOKUP($A153,'Data shares'!$C:$FM,110)</f>
        <v>21.44</v>
      </c>
      <c r="D153" s="50">
        <f>VLOOKUP($A153,'Data shares'!$C:$FM,114)</f>
        <v>21.69</v>
      </c>
      <c r="E153" s="50">
        <f>VLOOKUP($A153,'Data shares'!$C:$FM,106)</f>
        <v>27.12</v>
      </c>
      <c r="F153" s="50">
        <f>VLOOKUP($A153,'Data shares'!$C:$FM,108)</f>
        <v>-5.61</v>
      </c>
      <c r="G153" s="50">
        <f t="shared" si="4"/>
        <v>0.79314159292035402</v>
      </c>
    </row>
    <row r="154" spans="1:7" x14ac:dyDescent="0.25">
      <c r="A154" s="49" t="str">
        <f>'Data Vlaue (Cr)'!C149</f>
        <v>NUVAMA</v>
      </c>
      <c r="B154" s="50">
        <f>VLOOKUP($A154,'Data shares'!$C:$FM,102)</f>
        <v>38.74</v>
      </c>
      <c r="C154" s="50">
        <f>VLOOKUP($A154,'Data shares'!$C:$FM,110)</f>
        <v>38.380000000000003</v>
      </c>
      <c r="D154" s="50">
        <f>VLOOKUP($A154,'Data shares'!$C:$FM,114)</f>
        <v>39.61</v>
      </c>
      <c r="E154" s="50">
        <f>VLOOKUP($A154,'Data shares'!$C:$FM,106)</f>
        <v>50.32</v>
      </c>
      <c r="F154" s="50">
        <f>VLOOKUP($A154,'Data shares'!$C:$FM,108)</f>
        <v>-11.58</v>
      </c>
      <c r="G154" s="50">
        <f t="shared" si="4"/>
        <v>0.76987281399046104</v>
      </c>
    </row>
    <row r="155" spans="1:7" x14ac:dyDescent="0.25">
      <c r="A155" s="49" t="str">
        <f>'Data Vlaue (Cr)'!C150</f>
        <v>NYKAA</v>
      </c>
      <c r="B155" s="50">
        <f>VLOOKUP($A155,'Data shares'!$C:$FM,102)</f>
        <v>31.91</v>
      </c>
      <c r="C155" s="50">
        <f>VLOOKUP($A155,'Data shares'!$C:$FM,110)</f>
        <v>31.71</v>
      </c>
      <c r="D155" s="50">
        <f>VLOOKUP($A155,'Data shares'!$C:$FM,114)</f>
        <v>32.85</v>
      </c>
      <c r="E155" s="50">
        <f>VLOOKUP($A155,'Data shares'!$C:$FM,106)</f>
        <v>35.47</v>
      </c>
      <c r="F155" s="50">
        <f>VLOOKUP($A155,'Data shares'!$C:$FM,108)</f>
        <v>-3.56</v>
      </c>
      <c r="G155" s="50">
        <f t="shared" si="4"/>
        <v>0.89963349309275442</v>
      </c>
    </row>
    <row r="156" spans="1:7" x14ac:dyDescent="0.25">
      <c r="A156" s="49" t="str">
        <f>'Data Vlaue (Cr)'!C151</f>
        <v>OBEROIRLTY</v>
      </c>
      <c r="B156" s="50">
        <f>VLOOKUP($A156,'Data shares'!$C:$FM,102)</f>
        <v>35.58</v>
      </c>
      <c r="C156" s="50">
        <f>VLOOKUP($A156,'Data shares'!$C:$FM,110)</f>
        <v>35.29</v>
      </c>
      <c r="D156" s="50">
        <f>VLOOKUP($A156,'Data shares'!$C:$FM,114)</f>
        <v>36.54</v>
      </c>
      <c r="E156" s="50">
        <f>VLOOKUP($A156,'Data shares'!$C:$FM,106)</f>
        <v>36.35</v>
      </c>
      <c r="F156" s="50">
        <f>VLOOKUP($A156,'Data shares'!$C:$FM,108)</f>
        <v>-0.77</v>
      </c>
      <c r="G156" s="50">
        <f t="shared" si="4"/>
        <v>0.97881705639614847</v>
      </c>
    </row>
    <row r="157" spans="1:7" x14ac:dyDescent="0.25">
      <c r="A157" s="49" t="str">
        <f>'Data Vlaue (Cr)'!C152</f>
        <v>OFSS</v>
      </c>
      <c r="B157" s="50">
        <f>VLOOKUP($A157,'Data shares'!$C:$FM,102)</f>
        <v>41.94</v>
      </c>
      <c r="C157" s="50">
        <f>VLOOKUP($A157,'Data shares'!$C:$FM,110)</f>
        <v>33.01</v>
      </c>
      <c r="D157" s="50">
        <f>VLOOKUP($A157,'Data shares'!$C:$FM,114)</f>
        <v>47.01</v>
      </c>
      <c r="E157" s="50">
        <f>VLOOKUP($A157,'Data shares'!$C:$FM,106)</f>
        <v>41.15</v>
      </c>
      <c r="F157" s="50">
        <f>VLOOKUP($A157,'Data shares'!$C:$FM,108)</f>
        <v>0.79</v>
      </c>
      <c r="G157" s="50">
        <f t="shared" si="4"/>
        <v>1.019198055893074</v>
      </c>
    </row>
    <row r="158" spans="1:7" x14ac:dyDescent="0.25">
      <c r="A158" s="49" t="str">
        <f>'Data Vlaue (Cr)'!C153</f>
        <v>OIL</v>
      </c>
      <c r="B158" s="50">
        <f>VLOOKUP($A158,'Data shares'!$C:$FM,102)</f>
        <v>38.450000000000003</v>
      </c>
      <c r="C158" s="50">
        <f>VLOOKUP($A158,'Data shares'!$C:$FM,110)</f>
        <v>39.58</v>
      </c>
      <c r="D158" s="50">
        <f>VLOOKUP($A158,'Data shares'!$C:$FM,114)</f>
        <v>36.29</v>
      </c>
      <c r="E158" s="50">
        <f>VLOOKUP($A158,'Data shares'!$C:$FM,106)</f>
        <v>41.86</v>
      </c>
      <c r="F158" s="50">
        <f>VLOOKUP($A158,'Data shares'!$C:$FM,108)</f>
        <v>-3.41</v>
      </c>
      <c r="G158" s="50">
        <f t="shared" si="4"/>
        <v>0.9185379837553751</v>
      </c>
    </row>
    <row r="159" spans="1:7" x14ac:dyDescent="0.25">
      <c r="A159" s="49" t="str">
        <f>'Data Vlaue (Cr)'!C154</f>
        <v>ONGC</v>
      </c>
      <c r="B159" s="50">
        <f>VLOOKUP($A159,'Data shares'!$C:$FM,102)</f>
        <v>27.47</v>
      </c>
      <c r="C159" s="50">
        <f>VLOOKUP($A159,'Data shares'!$C:$FM,110)</f>
        <v>27.67</v>
      </c>
      <c r="D159" s="50">
        <f>VLOOKUP($A159,'Data shares'!$C:$FM,114)</f>
        <v>26.97</v>
      </c>
      <c r="E159" s="50">
        <f>VLOOKUP($A159,'Data shares'!$C:$FM,106)</f>
        <v>32.090000000000003</v>
      </c>
      <c r="F159" s="50">
        <f>VLOOKUP($A159,'Data shares'!$C:$FM,108)</f>
        <v>-4.62</v>
      </c>
      <c r="G159" s="50">
        <f t="shared" si="4"/>
        <v>0.85602991586163901</v>
      </c>
    </row>
    <row r="160" spans="1:7" x14ac:dyDescent="0.25">
      <c r="A160" s="49" t="str">
        <f>'Data Vlaue (Cr)'!C155</f>
        <v>PAGEIND</v>
      </c>
      <c r="B160" s="50">
        <f>VLOOKUP($A160,'Data shares'!$C:$FM,102)</f>
        <v>30.37</v>
      </c>
      <c r="C160" s="50">
        <f>VLOOKUP($A160,'Data shares'!$C:$FM,110)</f>
        <v>32.729999999999997</v>
      </c>
      <c r="D160" s="50">
        <f>VLOOKUP($A160,'Data shares'!$C:$FM,114)</f>
        <v>29.3</v>
      </c>
      <c r="E160" s="50">
        <f>VLOOKUP($A160,'Data shares'!$C:$FM,106)</f>
        <v>28.36</v>
      </c>
      <c r="F160" s="50">
        <f>VLOOKUP($A160,'Data shares'!$C:$FM,108)</f>
        <v>2.0099999999999998</v>
      </c>
      <c r="G160" s="50">
        <f t="shared" si="4"/>
        <v>1.0708744710860367</v>
      </c>
    </row>
    <row r="161" spans="1:7" x14ac:dyDescent="0.25">
      <c r="A161" s="49" t="str">
        <f>'Data Vlaue (Cr)'!C156</f>
        <v>PATANJALI</v>
      </c>
      <c r="B161" s="50">
        <f>VLOOKUP($A161,'Data shares'!$C:$FM,102)</f>
        <v>29.82</v>
      </c>
      <c r="C161" s="50">
        <f>VLOOKUP($A161,'Data shares'!$C:$FM,110)</f>
        <v>29.81</v>
      </c>
      <c r="D161" s="50">
        <f>VLOOKUP($A161,'Data shares'!$C:$FM,114)</f>
        <v>29.87</v>
      </c>
      <c r="E161" s="50">
        <f>VLOOKUP($A161,'Data shares'!$C:$FM,106)</f>
        <v>31.66</v>
      </c>
      <c r="F161" s="50">
        <f>VLOOKUP($A161,'Data shares'!$C:$FM,108)</f>
        <v>-1.84</v>
      </c>
      <c r="G161" s="50">
        <f t="shared" si="4"/>
        <v>0.94188250157927988</v>
      </c>
    </row>
    <row r="162" spans="1:7" x14ac:dyDescent="0.25">
      <c r="A162" s="49" t="str">
        <f>'Data Vlaue (Cr)'!C157</f>
        <v>PAYTM</v>
      </c>
      <c r="B162" s="50">
        <f>VLOOKUP($A162,'Data shares'!$C:$FM,102)</f>
        <v>42.45</v>
      </c>
      <c r="C162" s="50">
        <f>VLOOKUP($A162,'Data shares'!$C:$FM,110)</f>
        <v>41.62</v>
      </c>
      <c r="D162" s="50">
        <f>VLOOKUP($A162,'Data shares'!$C:$FM,114)</f>
        <v>43.75</v>
      </c>
      <c r="E162" s="50">
        <f>VLOOKUP($A162,'Data shares'!$C:$FM,106)</f>
        <v>51.6</v>
      </c>
      <c r="F162" s="50">
        <f>VLOOKUP($A162,'Data shares'!$C:$FM,108)</f>
        <v>-9.15</v>
      </c>
      <c r="G162" s="50">
        <f t="shared" si="4"/>
        <v>0.82267441860465118</v>
      </c>
    </row>
    <row r="163" spans="1:7" x14ac:dyDescent="0.25">
      <c r="A163" s="49" t="str">
        <f>'Data Vlaue (Cr)'!C158</f>
        <v>PERSISTENT</v>
      </c>
      <c r="B163" s="50">
        <f>VLOOKUP($A163,'Data shares'!$C:$FM,102)</f>
        <v>34.29</v>
      </c>
      <c r="C163" s="50">
        <f>VLOOKUP($A163,'Data shares'!$C:$FM,110)</f>
        <v>33.97</v>
      </c>
      <c r="D163" s="50">
        <f>VLOOKUP($A163,'Data shares'!$C:$FM,114)</f>
        <v>35.090000000000003</v>
      </c>
      <c r="E163" s="50">
        <f>VLOOKUP($A163,'Data shares'!$C:$FM,106)</f>
        <v>40.92</v>
      </c>
      <c r="F163" s="50">
        <f>VLOOKUP($A163,'Data shares'!$C:$FM,108)</f>
        <v>-6.63</v>
      </c>
      <c r="G163" s="50">
        <f t="shared" si="4"/>
        <v>0.83797653958944274</v>
      </c>
    </row>
    <row r="164" spans="1:7" x14ac:dyDescent="0.25">
      <c r="A164" s="49" t="str">
        <f>'Data Vlaue (Cr)'!C159</f>
        <v>PETRONET</v>
      </c>
      <c r="B164" s="50">
        <f>VLOOKUP($A164,'Data shares'!$C:$FM,102)</f>
        <v>31.57</v>
      </c>
      <c r="C164" s="50">
        <f>VLOOKUP($A164,'Data shares'!$C:$FM,110)</f>
        <v>31.74</v>
      </c>
      <c r="D164" s="50">
        <f>VLOOKUP($A164,'Data shares'!$C:$FM,114)</f>
        <v>30.97</v>
      </c>
      <c r="E164" s="50">
        <f>VLOOKUP($A164,'Data shares'!$C:$FM,106)</f>
        <v>38.35</v>
      </c>
      <c r="F164" s="50">
        <f>VLOOKUP($A164,'Data shares'!$C:$FM,108)</f>
        <v>-6.78</v>
      </c>
      <c r="G164" s="50">
        <f t="shared" si="4"/>
        <v>0.82320730117340279</v>
      </c>
    </row>
    <row r="165" spans="1:7" x14ac:dyDescent="0.25">
      <c r="A165" s="49" t="str">
        <f>'Data Vlaue (Cr)'!C160</f>
        <v>PFC</v>
      </c>
      <c r="B165" s="50">
        <f>VLOOKUP($A165,'Data shares'!$C:$FM,102)</f>
        <v>34.79</v>
      </c>
      <c r="C165" s="50">
        <f>VLOOKUP($A165,'Data shares'!$C:$FM,110)</f>
        <v>34.78</v>
      </c>
      <c r="D165" s="50">
        <f>VLOOKUP($A165,'Data shares'!$C:$FM,114)</f>
        <v>34.81</v>
      </c>
      <c r="E165" s="50">
        <f>VLOOKUP($A165,'Data shares'!$C:$FM,106)</f>
        <v>41.75</v>
      </c>
      <c r="F165" s="50">
        <f>VLOOKUP($A165,'Data shares'!$C:$FM,108)</f>
        <v>-6.96</v>
      </c>
      <c r="G165" s="50">
        <f t="shared" si="4"/>
        <v>0.83329341317365269</v>
      </c>
    </row>
    <row r="166" spans="1:7" x14ac:dyDescent="0.25">
      <c r="A166" s="49" t="str">
        <f>'Data Vlaue (Cr)'!C161</f>
        <v>PGEL</v>
      </c>
      <c r="B166" s="50">
        <f>VLOOKUP($A166,'Data shares'!$C:$FM,102)</f>
        <v>51.14</v>
      </c>
      <c r="C166" s="50">
        <f>VLOOKUP($A166,'Data shares'!$C:$FM,110)</f>
        <v>50.9</v>
      </c>
      <c r="D166" s="50">
        <f>VLOOKUP($A166,'Data shares'!$C:$FM,114)</f>
        <v>51.69</v>
      </c>
      <c r="E166" s="50">
        <f>VLOOKUP($A166,'Data shares'!$C:$FM,106)</f>
        <v>66.790000000000006</v>
      </c>
      <c r="F166" s="50">
        <f>VLOOKUP($A166,'Data shares'!$C:$FM,108)</f>
        <v>-15.65</v>
      </c>
      <c r="G166" s="50">
        <f t="shared" si="4"/>
        <v>0.76568348555172927</v>
      </c>
    </row>
    <row r="167" spans="1:7" x14ac:dyDescent="0.25">
      <c r="A167" s="49" t="str">
        <f>'Data Vlaue (Cr)'!C162</f>
        <v>PHOENIXLTD</v>
      </c>
      <c r="B167" s="50">
        <f>VLOOKUP($A167,'Data shares'!$C:$FM,102)</f>
        <v>29.15</v>
      </c>
      <c r="C167" s="50">
        <f>VLOOKUP($A167,'Data shares'!$C:$FM,110)</f>
        <v>28.52</v>
      </c>
      <c r="D167" s="50">
        <f>VLOOKUP($A167,'Data shares'!$C:$FM,114)</f>
        <v>31.32</v>
      </c>
      <c r="E167" s="50">
        <f>VLOOKUP($A167,'Data shares'!$C:$FM,106)</f>
        <v>39.49</v>
      </c>
      <c r="F167" s="50">
        <f>VLOOKUP($A167,'Data shares'!$C:$FM,108)</f>
        <v>-10.34</v>
      </c>
      <c r="G167" s="50">
        <f t="shared" ref="G167:G187" si="5">B167/E167</f>
        <v>0.73816155988857934</v>
      </c>
    </row>
    <row r="168" spans="1:7" x14ac:dyDescent="0.25">
      <c r="A168" s="49" t="str">
        <f>'Data Vlaue (Cr)'!C163</f>
        <v>PIDILITIND</v>
      </c>
      <c r="B168" s="50">
        <f>VLOOKUP($A168,'Data shares'!$C:$FM,102)</f>
        <v>29.33</v>
      </c>
      <c r="C168" s="50">
        <f>VLOOKUP($A168,'Data shares'!$C:$FM,110)</f>
        <v>28.98</v>
      </c>
      <c r="D168" s="50">
        <f>VLOOKUP($A168,'Data shares'!$C:$FM,114)</f>
        <v>30.27</v>
      </c>
      <c r="E168" s="50">
        <f>VLOOKUP($A168,'Data shares'!$C:$FM,106)</f>
        <v>26.31</v>
      </c>
      <c r="F168" s="50">
        <f>VLOOKUP($A168,'Data shares'!$C:$FM,108)</f>
        <v>3.02</v>
      </c>
      <c r="G168" s="50">
        <f t="shared" si="5"/>
        <v>1.1147852527556061</v>
      </c>
    </row>
    <row r="169" spans="1:7" x14ac:dyDescent="0.25">
      <c r="A169" s="49" t="str">
        <f>'Data Vlaue (Cr)'!C164</f>
        <v>PIIND</v>
      </c>
      <c r="B169" s="50">
        <f>VLOOKUP($A169,'Data shares'!$C:$FM,102)</f>
        <v>34.979999999999997</v>
      </c>
      <c r="C169" s="50">
        <f>VLOOKUP($A169,'Data shares'!$C:$FM,110)</f>
        <v>34.86</v>
      </c>
      <c r="D169" s="50">
        <f>VLOOKUP($A169,'Data shares'!$C:$FM,114)</f>
        <v>35.4</v>
      </c>
      <c r="E169" s="50">
        <f>VLOOKUP($A169,'Data shares'!$C:$FM,106)</f>
        <v>31.26</v>
      </c>
      <c r="F169" s="50">
        <f>VLOOKUP($A169,'Data shares'!$C:$FM,108)</f>
        <v>3.72</v>
      </c>
      <c r="G169" s="50">
        <f t="shared" si="5"/>
        <v>1.1190019193857963</v>
      </c>
    </row>
    <row r="170" spans="1:7" x14ac:dyDescent="0.25">
      <c r="A170" s="49" t="str">
        <f>'Data Vlaue (Cr)'!C165</f>
        <v>PNB</v>
      </c>
      <c r="B170" s="50">
        <f>VLOOKUP($A170,'Data shares'!$C:$FM,102)</f>
        <v>32.590000000000003</v>
      </c>
      <c r="C170" s="50">
        <f>VLOOKUP($A170,'Data shares'!$C:$FM,110)</f>
        <v>32.61</v>
      </c>
      <c r="D170" s="50">
        <f>VLOOKUP($A170,'Data shares'!$C:$FM,114)</f>
        <v>32.56</v>
      </c>
      <c r="E170" s="50">
        <f>VLOOKUP($A170,'Data shares'!$C:$FM,106)</f>
        <v>37.36</v>
      </c>
      <c r="F170" s="50">
        <f>VLOOKUP($A170,'Data shares'!$C:$FM,108)</f>
        <v>-4.7699999999999996</v>
      </c>
      <c r="G170" s="50">
        <f t="shared" si="5"/>
        <v>0.87232334047109217</v>
      </c>
    </row>
    <row r="171" spans="1:7" x14ac:dyDescent="0.25">
      <c r="A171" s="49" t="str">
        <f>'Data Vlaue (Cr)'!C166</f>
        <v>PNBHOUSING</v>
      </c>
      <c r="B171" s="50">
        <f>VLOOKUP($A171,'Data shares'!$C:$FM,102)</f>
        <v>31.46</v>
      </c>
      <c r="C171" s="50">
        <f>VLOOKUP($A171,'Data shares'!$C:$FM,110)</f>
        <v>31.13</v>
      </c>
      <c r="D171" s="50">
        <f>VLOOKUP($A171,'Data shares'!$C:$FM,114)</f>
        <v>32.71</v>
      </c>
      <c r="E171" s="50">
        <f>VLOOKUP($A171,'Data shares'!$C:$FM,106)</f>
        <v>47.34</v>
      </c>
      <c r="F171" s="50">
        <f>VLOOKUP($A171,'Data shares'!$C:$FM,108)</f>
        <v>-15.88</v>
      </c>
      <c r="G171" s="50">
        <f t="shared" si="5"/>
        <v>0.66455428812843254</v>
      </c>
    </row>
    <row r="172" spans="1:7" x14ac:dyDescent="0.25">
      <c r="A172" s="49" t="str">
        <f>'Data Vlaue (Cr)'!C167</f>
        <v>POLICYBZR</v>
      </c>
      <c r="B172" s="50">
        <f>VLOOKUP($A172,'Data shares'!$C:$FM,102)</f>
        <v>44.09</v>
      </c>
      <c r="C172" s="50">
        <f>VLOOKUP($A172,'Data shares'!$C:$FM,110)</f>
        <v>43.7</v>
      </c>
      <c r="D172" s="50">
        <f>VLOOKUP($A172,'Data shares'!$C:$FM,114)</f>
        <v>44.74</v>
      </c>
      <c r="E172" s="50">
        <f>VLOOKUP($A172,'Data shares'!$C:$FM,106)</f>
        <v>44.95</v>
      </c>
      <c r="F172" s="50">
        <f>VLOOKUP($A172,'Data shares'!$C:$FM,108)</f>
        <v>-0.86</v>
      </c>
      <c r="G172" s="50">
        <f t="shared" si="5"/>
        <v>0.98086763070077865</v>
      </c>
    </row>
    <row r="173" spans="1:7" x14ac:dyDescent="0.25">
      <c r="A173" s="49" t="str">
        <f>'Data Vlaue (Cr)'!C168</f>
        <v>POLYCAB</v>
      </c>
      <c r="B173" s="50">
        <f>VLOOKUP($A173,'Data shares'!$C:$FM,102)</f>
        <v>34.21</v>
      </c>
      <c r="C173" s="50">
        <f>VLOOKUP($A173,'Data shares'!$C:$FM,110)</f>
        <v>32.840000000000003</v>
      </c>
      <c r="D173" s="50">
        <f>VLOOKUP($A173,'Data shares'!$C:$FM,114)</f>
        <v>36.43</v>
      </c>
      <c r="E173" s="50">
        <f>VLOOKUP($A173,'Data shares'!$C:$FM,106)</f>
        <v>41.09</v>
      </c>
      <c r="F173" s="50">
        <f>VLOOKUP($A173,'Data shares'!$C:$FM,108)</f>
        <v>-6.88</v>
      </c>
      <c r="G173" s="50">
        <f t="shared" si="5"/>
        <v>0.83256266731564854</v>
      </c>
    </row>
    <row r="174" spans="1:7" x14ac:dyDescent="0.25">
      <c r="A174" s="49" t="str">
        <f>'Data Vlaue (Cr)'!C169</f>
        <v>POWERGRID</v>
      </c>
      <c r="B174" s="50">
        <f>VLOOKUP($A174,'Data shares'!$C:$FM,102)</f>
        <v>24.8</v>
      </c>
      <c r="C174" s="50">
        <f>VLOOKUP($A174,'Data shares'!$C:$FM,110)</f>
        <v>25.06</v>
      </c>
      <c r="D174" s="50">
        <f>VLOOKUP($A174,'Data shares'!$C:$FM,114)</f>
        <v>24.23</v>
      </c>
      <c r="E174" s="50">
        <f>VLOOKUP($A174,'Data shares'!$C:$FM,106)</f>
        <v>28.34</v>
      </c>
      <c r="F174" s="50">
        <f>VLOOKUP($A174,'Data shares'!$C:$FM,108)</f>
        <v>-3.54</v>
      </c>
      <c r="G174" s="50">
        <f t="shared" si="5"/>
        <v>0.87508821453775587</v>
      </c>
    </row>
    <row r="175" spans="1:7" x14ac:dyDescent="0.25">
      <c r="A175" s="49" t="str">
        <f>'Data Vlaue (Cr)'!C170</f>
        <v>POWERINDIA</v>
      </c>
      <c r="B175" s="50">
        <f>VLOOKUP($A175,'Data shares'!$C:$FM,102)</f>
        <v>48.4</v>
      </c>
      <c r="C175" s="50">
        <f>VLOOKUP($A175,'Data shares'!$C:$FM,110)</f>
        <v>42.7</v>
      </c>
      <c r="D175" s="50">
        <f>VLOOKUP($A175,'Data shares'!$C:$FM,114)</f>
        <v>52.46</v>
      </c>
      <c r="E175" s="50">
        <f>VLOOKUP($A175,'Data shares'!$C:$FM,106)</f>
        <v>56.56</v>
      </c>
      <c r="F175" s="50">
        <f>VLOOKUP($A175,'Data shares'!$C:$FM,108)</f>
        <v>-8.16</v>
      </c>
      <c r="G175" s="50">
        <f t="shared" si="5"/>
        <v>0.85572842998585563</v>
      </c>
    </row>
    <row r="176" spans="1:7" x14ac:dyDescent="0.25">
      <c r="A176" s="49" t="str">
        <f>'Data Vlaue (Cr)'!C171</f>
        <v>PREMIERENE</v>
      </c>
      <c r="B176" s="50">
        <f>VLOOKUP($A176,'Data shares'!$C:$FM,102)</f>
        <v>38.57</v>
      </c>
      <c r="C176" s="50">
        <f>VLOOKUP($A176,'Data shares'!$C:$FM,110)</f>
        <v>38.97</v>
      </c>
      <c r="D176" s="50">
        <f>VLOOKUP($A176,'Data shares'!$C:$FM,114)</f>
        <v>37.85</v>
      </c>
      <c r="E176" s="50">
        <f>VLOOKUP($A176,'Data shares'!$C:$FM,106)</f>
        <v>47.84</v>
      </c>
      <c r="F176" s="50">
        <f>VLOOKUP($A176,'Data shares'!$C:$FM,108)</f>
        <v>-9.27</v>
      </c>
      <c r="G176" s="50">
        <f t="shared" si="5"/>
        <v>0.80622909698996648</v>
      </c>
    </row>
    <row r="177" spans="1:7" x14ac:dyDescent="0.25">
      <c r="A177" s="49" t="str">
        <f>'Data Vlaue (Cr)'!C172</f>
        <v>PRESTIGE</v>
      </c>
      <c r="B177" s="50">
        <f>VLOOKUP($A177,'Data shares'!$C:$FM,102)</f>
        <v>34.29</v>
      </c>
      <c r="C177" s="50">
        <f>VLOOKUP($A177,'Data shares'!$C:$FM,110)</f>
        <v>33.46</v>
      </c>
      <c r="D177" s="50">
        <f>VLOOKUP($A177,'Data shares'!$C:$FM,114)</f>
        <v>37.630000000000003</v>
      </c>
      <c r="E177" s="50">
        <f>VLOOKUP($A177,'Data shares'!$C:$FM,106)</f>
        <v>44.18</v>
      </c>
      <c r="F177" s="50">
        <f>VLOOKUP($A177,'Data shares'!$C:$FM,108)</f>
        <v>-9.89</v>
      </c>
      <c r="G177" s="50">
        <f t="shared" si="5"/>
        <v>0.77614305115436844</v>
      </c>
    </row>
    <row r="178" spans="1:7" x14ac:dyDescent="0.25">
      <c r="A178" s="49" t="str">
        <f>'Data Vlaue (Cr)'!C173</f>
        <v>RBLBANK</v>
      </c>
      <c r="B178" s="50">
        <f>VLOOKUP($A178,'Data shares'!$C:$FM,102)</f>
        <v>33.770000000000003</v>
      </c>
      <c r="C178" s="50">
        <f>VLOOKUP($A178,'Data shares'!$C:$FM,110)</f>
        <v>33.82</v>
      </c>
      <c r="D178" s="50">
        <f>VLOOKUP($A178,'Data shares'!$C:$FM,114)</f>
        <v>33.65</v>
      </c>
      <c r="E178" s="50">
        <f>VLOOKUP($A178,'Data shares'!$C:$FM,106)</f>
        <v>43.41</v>
      </c>
      <c r="F178" s="50">
        <f>VLOOKUP($A178,'Data shares'!$C:$FM,108)</f>
        <v>-9.64</v>
      </c>
      <c r="G178" s="50">
        <f t="shared" si="5"/>
        <v>0.77793135222299026</v>
      </c>
    </row>
    <row r="179" spans="1:7" x14ac:dyDescent="0.25">
      <c r="A179" s="49" t="str">
        <f>'Data Vlaue (Cr)'!C174</f>
        <v>RECLTD</v>
      </c>
      <c r="B179" s="50">
        <f>VLOOKUP($A179,'Data shares'!$C:$FM,102)</f>
        <v>32.85</v>
      </c>
      <c r="C179" s="50">
        <f>VLOOKUP($A179,'Data shares'!$C:$FM,110)</f>
        <v>32.799999999999997</v>
      </c>
      <c r="D179" s="50">
        <f>VLOOKUP($A179,'Data shares'!$C:$FM,114)</f>
        <v>32.94</v>
      </c>
      <c r="E179" s="50">
        <f>VLOOKUP($A179,'Data shares'!$C:$FM,106)</f>
        <v>42.15</v>
      </c>
      <c r="F179" s="50">
        <f>VLOOKUP($A179,'Data shares'!$C:$FM,108)</f>
        <v>-9.3000000000000007</v>
      </c>
      <c r="G179" s="50">
        <f t="shared" si="5"/>
        <v>0.77935943060498225</v>
      </c>
    </row>
    <row r="180" spans="1:7" x14ac:dyDescent="0.25">
      <c r="A180" s="49" t="str">
        <f>'Data Vlaue (Cr)'!C175</f>
        <v>RELIANCE</v>
      </c>
      <c r="B180" s="50">
        <f>VLOOKUP($A180,'Data shares'!$C:$FM,102)</f>
        <v>21.24</v>
      </c>
      <c r="C180" s="50">
        <f>VLOOKUP($A180,'Data shares'!$C:$FM,110)</f>
        <v>20.63</v>
      </c>
      <c r="D180" s="50">
        <f>VLOOKUP($A180,'Data shares'!$C:$FM,114)</f>
        <v>22.24</v>
      </c>
      <c r="E180" s="50">
        <f>VLOOKUP($A180,'Data shares'!$C:$FM,106)</f>
        <v>26.71</v>
      </c>
      <c r="F180" s="50">
        <f>VLOOKUP($A180,'Data shares'!$C:$FM,108)</f>
        <v>-5.47</v>
      </c>
      <c r="G180" s="50">
        <f t="shared" si="5"/>
        <v>0.79520778734556341</v>
      </c>
    </row>
    <row r="181" spans="1:7" x14ac:dyDescent="0.25">
      <c r="A181" s="49" t="str">
        <f>'Data Vlaue (Cr)'!C176</f>
        <v>RVNL</v>
      </c>
      <c r="B181" s="50">
        <f>VLOOKUP($A181,'Data shares'!$C:$FM,102)</f>
        <v>42.69</v>
      </c>
      <c r="C181" s="50">
        <f>VLOOKUP($A181,'Data shares'!$C:$FM,110)</f>
        <v>42.63</v>
      </c>
      <c r="D181" s="50">
        <f>VLOOKUP($A181,'Data shares'!$C:$FM,114)</f>
        <v>43.01</v>
      </c>
      <c r="E181" s="50">
        <f>VLOOKUP($A181,'Data shares'!$C:$FM,106)</f>
        <v>57.23</v>
      </c>
      <c r="F181" s="50">
        <f>VLOOKUP($A181,'Data shares'!$C:$FM,108)</f>
        <v>-14.54</v>
      </c>
      <c r="G181" s="50">
        <f t="shared" si="5"/>
        <v>0.74593744539577145</v>
      </c>
    </row>
    <row r="182" spans="1:7" x14ac:dyDescent="0.25">
      <c r="A182" s="49" t="str">
        <f>'Data Vlaue (Cr)'!C177</f>
        <v>SAIL</v>
      </c>
      <c r="B182" s="50">
        <f>VLOOKUP($A182,'Data shares'!$C:$FM,102)</f>
        <v>38</v>
      </c>
      <c r="C182" s="50">
        <f>VLOOKUP($A182,'Data shares'!$C:$FM,110)</f>
        <v>38.57</v>
      </c>
      <c r="D182" s="50">
        <f>VLOOKUP($A182,'Data shares'!$C:$FM,114)</f>
        <v>36.700000000000003</v>
      </c>
      <c r="E182" s="50">
        <f>VLOOKUP($A182,'Data shares'!$C:$FM,106)</f>
        <v>43.6</v>
      </c>
      <c r="F182" s="50">
        <f>VLOOKUP($A182,'Data shares'!$C:$FM,108)</f>
        <v>-5.6</v>
      </c>
      <c r="G182" s="50">
        <f t="shared" si="5"/>
        <v>0.87155963302752293</v>
      </c>
    </row>
    <row r="183" spans="1:7" x14ac:dyDescent="0.25">
      <c r="A183" s="49" t="str">
        <f>'Data Vlaue (Cr)'!C178</f>
        <v>SAMMAANCAP</v>
      </c>
      <c r="B183" s="50">
        <f>VLOOKUP($A183,'Data shares'!$C:$FM,102)</f>
        <v>39.89</v>
      </c>
      <c r="C183" s="50">
        <f>VLOOKUP($A183,'Data shares'!$C:$FM,110)</f>
        <v>40.26</v>
      </c>
      <c r="D183" s="50">
        <f>VLOOKUP($A183,'Data shares'!$C:$FM,114)</f>
        <v>37.950000000000003</v>
      </c>
      <c r="E183" s="50">
        <f>VLOOKUP($A183,'Data shares'!$C:$FM,106)</f>
        <v>52.55</v>
      </c>
      <c r="F183" s="50">
        <f>VLOOKUP($A183,'Data shares'!$C:$FM,108)</f>
        <v>-12.66</v>
      </c>
      <c r="G183" s="50">
        <f t="shared" si="5"/>
        <v>0.75908658420551856</v>
      </c>
    </row>
    <row r="184" spans="1:7" x14ac:dyDescent="0.25">
      <c r="A184" s="49" t="str">
        <f>'Data Vlaue (Cr)'!C179</f>
        <v>SBICARD</v>
      </c>
      <c r="B184" s="50">
        <f>VLOOKUP($A184,'Data shares'!$C:$FM,102)</f>
        <v>30.72</v>
      </c>
      <c r="C184" s="50">
        <f>VLOOKUP($A184,'Data shares'!$C:$FM,110)</f>
        <v>30.71</v>
      </c>
      <c r="D184" s="50">
        <f>VLOOKUP($A184,'Data shares'!$C:$FM,114)</f>
        <v>30.72</v>
      </c>
      <c r="E184" s="50">
        <f>VLOOKUP($A184,'Data shares'!$C:$FM,106)</f>
        <v>31.98</v>
      </c>
      <c r="F184" s="50">
        <f>VLOOKUP($A184,'Data shares'!$C:$FM,108)</f>
        <v>-1.26</v>
      </c>
      <c r="G184" s="50">
        <f t="shared" si="5"/>
        <v>0.96060037523452158</v>
      </c>
    </row>
    <row r="185" spans="1:7" x14ac:dyDescent="0.25">
      <c r="A185" s="49" t="str">
        <f>'Data Vlaue (Cr)'!C180</f>
        <v>SBILIFE</v>
      </c>
      <c r="B185" s="50">
        <f>VLOOKUP($A185,'Data shares'!$C:$FM,102)</f>
        <v>22.51</v>
      </c>
      <c r="C185" s="50">
        <f>VLOOKUP($A185,'Data shares'!$C:$FM,110)</f>
        <v>21.75</v>
      </c>
      <c r="D185" s="50">
        <f>VLOOKUP($A185,'Data shares'!$C:$FM,114)</f>
        <v>24.15</v>
      </c>
      <c r="E185" s="50">
        <f>VLOOKUP($A185,'Data shares'!$C:$FM,106)</f>
        <v>26.75</v>
      </c>
      <c r="F185" s="50">
        <f>VLOOKUP($A185,'Data shares'!$C:$FM,108)</f>
        <v>-4.24</v>
      </c>
      <c r="G185" s="50">
        <f t="shared" si="5"/>
        <v>0.84149532710280384</v>
      </c>
    </row>
    <row r="186" spans="1:7" x14ac:dyDescent="0.25">
      <c r="A186" s="49" t="str">
        <f>'Data Vlaue (Cr)'!C181</f>
        <v>SBIN</v>
      </c>
      <c r="B186" s="50">
        <f>VLOOKUP($A186,'Data shares'!$C:$FM,102)</f>
        <v>31.2</v>
      </c>
      <c r="C186" s="50">
        <f>VLOOKUP($A186,'Data shares'!$C:$FM,110)</f>
        <v>30.86</v>
      </c>
      <c r="D186" s="50">
        <f>VLOOKUP($A186,'Data shares'!$C:$FM,114)</f>
        <v>31.91</v>
      </c>
      <c r="E186" s="50">
        <f>VLOOKUP($A186,'Data shares'!$C:$FM,106)</f>
        <v>29.17</v>
      </c>
      <c r="F186" s="50">
        <f>VLOOKUP($A186,'Data shares'!$C:$FM,108)</f>
        <v>2.0299999999999998</v>
      </c>
      <c r="G186" s="50">
        <f t="shared" si="5"/>
        <v>1.0695920466232429</v>
      </c>
    </row>
    <row r="187" spans="1:7" x14ac:dyDescent="0.25">
      <c r="A187" s="49" t="str">
        <f>'Data Vlaue (Cr)'!C182</f>
        <v>SHREECEM</v>
      </c>
      <c r="B187" s="50">
        <f>VLOOKUP($A187,'Data shares'!$C:$FM,102)</f>
        <v>31.51</v>
      </c>
      <c r="C187" s="50">
        <f>VLOOKUP($A187,'Data shares'!$C:$FM,110)</f>
        <v>31.66</v>
      </c>
      <c r="D187" s="50">
        <f>VLOOKUP($A187,'Data shares'!$C:$FM,114)</f>
        <v>31.21</v>
      </c>
      <c r="E187" s="50">
        <f>VLOOKUP($A187,'Data shares'!$C:$FM,106)</f>
        <v>27.7</v>
      </c>
      <c r="F187" s="50">
        <f>VLOOKUP($A187,'Data shares'!$C:$FM,108)</f>
        <v>3.81</v>
      </c>
      <c r="G187" s="50">
        <f t="shared" si="5"/>
        <v>1.1375451263537908</v>
      </c>
    </row>
    <row r="188" spans="1:7" x14ac:dyDescent="0.25">
      <c r="A188" s="49" t="str">
        <f>'Data Vlaue (Cr)'!C183</f>
        <v>SHRIRAMFIN</v>
      </c>
      <c r="B188" s="50">
        <f>VLOOKUP($A188,'Data shares'!$C:$FM,102)</f>
        <v>36.15</v>
      </c>
      <c r="C188" s="50">
        <f>VLOOKUP($A188,'Data shares'!$C:$FM,110)</f>
        <v>35.950000000000003</v>
      </c>
      <c r="D188" s="50">
        <f>VLOOKUP($A188,'Data shares'!$C:$FM,114)</f>
        <v>36.53</v>
      </c>
      <c r="E188" s="50">
        <f>VLOOKUP($A188,'Data shares'!$C:$FM,106)</f>
        <v>44.94</v>
      </c>
      <c r="F188" s="50">
        <f>VLOOKUP($A188,'Data shares'!$C:$FM,108)</f>
        <v>-8.7899999999999991</v>
      </c>
      <c r="G188" s="50">
        <f t="shared" ref="G188:G204" si="6">B188/E188</f>
        <v>0.80440587449933243</v>
      </c>
    </row>
    <row r="189" spans="1:7" x14ac:dyDescent="0.25">
      <c r="A189" s="49" t="str">
        <f>'Data Vlaue (Cr)'!C184</f>
        <v>SIEMENS</v>
      </c>
      <c r="B189" s="50">
        <f>VLOOKUP($A189,'Data shares'!$C:$FM,102)</f>
        <v>39.01</v>
      </c>
      <c r="C189" s="50">
        <f>VLOOKUP($A189,'Data shares'!$C:$FM,110)</f>
        <v>38.67</v>
      </c>
      <c r="D189" s="50">
        <f>VLOOKUP($A189,'Data shares'!$C:$FM,114)</f>
        <v>39.770000000000003</v>
      </c>
      <c r="E189" s="50">
        <f>VLOOKUP($A189,'Data shares'!$C:$FM,106)</f>
        <v>40.380000000000003</v>
      </c>
      <c r="F189" s="50">
        <f>VLOOKUP($A189,'Data shares'!$C:$FM,108)</f>
        <v>-1.37</v>
      </c>
      <c r="G189" s="50">
        <f t="shared" si="6"/>
        <v>0.96607231302625052</v>
      </c>
    </row>
    <row r="190" spans="1:7" x14ac:dyDescent="0.25">
      <c r="A190" s="49" t="str">
        <f>'Data Vlaue (Cr)'!C185</f>
        <v>SOLARINDS</v>
      </c>
      <c r="B190" s="50">
        <f>VLOOKUP($A190,'Data shares'!$C:$FM,102)</f>
        <v>40.9</v>
      </c>
      <c r="C190" s="50">
        <f>VLOOKUP($A190,'Data shares'!$C:$FM,110)</f>
        <v>38.18</v>
      </c>
      <c r="D190" s="50">
        <f>VLOOKUP($A190,'Data shares'!$C:$FM,114)</f>
        <v>45.24</v>
      </c>
      <c r="E190" s="50">
        <f>VLOOKUP($A190,'Data shares'!$C:$FM,106)</f>
        <v>41.26</v>
      </c>
      <c r="F190" s="50">
        <f>VLOOKUP($A190,'Data shares'!$C:$FM,108)</f>
        <v>-0.36</v>
      </c>
      <c r="G190" s="50">
        <f t="shared" si="6"/>
        <v>0.99127484246243336</v>
      </c>
    </row>
    <row r="191" spans="1:7" x14ac:dyDescent="0.25">
      <c r="A191" s="49" t="str">
        <f>'Data Vlaue (Cr)'!C186</f>
        <v>SONACOMS</v>
      </c>
      <c r="B191" s="50">
        <f>VLOOKUP($A191,'Data shares'!$C:$FM,102)</f>
        <v>35.200000000000003</v>
      </c>
      <c r="C191" s="50">
        <f>VLOOKUP($A191,'Data shares'!$C:$FM,110)</f>
        <v>35.229999999999997</v>
      </c>
      <c r="D191" s="50">
        <f>VLOOKUP($A191,'Data shares'!$C:$FM,114)</f>
        <v>35.119999999999997</v>
      </c>
      <c r="E191" s="50">
        <f>VLOOKUP($A191,'Data shares'!$C:$FM,106)</f>
        <v>41.8</v>
      </c>
      <c r="F191" s="50">
        <f>VLOOKUP($A191,'Data shares'!$C:$FM,108)</f>
        <v>-6.6</v>
      </c>
      <c r="G191" s="50">
        <f t="shared" si="6"/>
        <v>0.84210526315789491</v>
      </c>
    </row>
    <row r="192" spans="1:7" x14ac:dyDescent="0.25">
      <c r="A192" s="49" t="str">
        <f>'Data Vlaue (Cr)'!C187</f>
        <v>SRF</v>
      </c>
      <c r="B192" s="50">
        <f>VLOOKUP($A192,'Data shares'!$C:$FM,102)</f>
        <v>30.46</v>
      </c>
      <c r="C192" s="50">
        <f>VLOOKUP($A192,'Data shares'!$C:$FM,110)</f>
        <v>30.15</v>
      </c>
      <c r="D192" s="50">
        <f>VLOOKUP($A192,'Data shares'!$C:$FM,114)</f>
        <v>31.19</v>
      </c>
      <c r="E192" s="50">
        <f>VLOOKUP($A192,'Data shares'!$C:$FM,106)</f>
        <v>37.31</v>
      </c>
      <c r="F192" s="50">
        <f>VLOOKUP($A192,'Data shares'!$C:$FM,108)</f>
        <v>-6.85</v>
      </c>
      <c r="G192" s="50">
        <f t="shared" si="6"/>
        <v>0.81640310908603586</v>
      </c>
    </row>
    <row r="193" spans="1:7" x14ac:dyDescent="0.25">
      <c r="A193" s="49" t="str">
        <f>'Data Vlaue (Cr)'!C188</f>
        <v>SUNPHARMA</v>
      </c>
      <c r="B193" s="50">
        <f>VLOOKUP($A193,'Data shares'!$C:$FM,102)</f>
        <v>22.68</v>
      </c>
      <c r="C193" s="50">
        <f>VLOOKUP($A193,'Data shares'!$C:$FM,110)</f>
        <v>21.91</v>
      </c>
      <c r="D193" s="50">
        <f>VLOOKUP($A193,'Data shares'!$C:$FM,114)</f>
        <v>24.19</v>
      </c>
      <c r="E193" s="50">
        <f>VLOOKUP($A193,'Data shares'!$C:$FM,106)</f>
        <v>25.56</v>
      </c>
      <c r="F193" s="50">
        <f>VLOOKUP($A193,'Data shares'!$C:$FM,108)</f>
        <v>-2.88</v>
      </c>
      <c r="G193" s="50">
        <f t="shared" si="6"/>
        <v>0.88732394366197187</v>
      </c>
    </row>
    <row r="194" spans="1:7" x14ac:dyDescent="0.25">
      <c r="A194" s="49" t="str">
        <f>'Data Vlaue (Cr)'!C189</f>
        <v>SUPREMEIND</v>
      </c>
      <c r="B194" s="50">
        <f>VLOOKUP($A194,'Data shares'!$C:$FM,102)</f>
        <v>32.33</v>
      </c>
      <c r="C194" s="50">
        <f>VLOOKUP($A194,'Data shares'!$C:$FM,110)</f>
        <v>30.33</v>
      </c>
      <c r="D194" s="50">
        <f>VLOOKUP($A194,'Data shares'!$C:$FM,114)</f>
        <v>35.47</v>
      </c>
      <c r="E194" s="50">
        <f>VLOOKUP($A194,'Data shares'!$C:$FM,106)</f>
        <v>37.53</v>
      </c>
      <c r="F194" s="50">
        <f>VLOOKUP($A194,'Data shares'!$C:$FM,108)</f>
        <v>-5.2</v>
      </c>
      <c r="G194" s="50">
        <f t="shared" si="6"/>
        <v>0.86144417799094053</v>
      </c>
    </row>
    <row r="195" spans="1:7" x14ac:dyDescent="0.25">
      <c r="A195" s="49" t="str">
        <f>'Data Vlaue (Cr)'!C190</f>
        <v>SUZLON</v>
      </c>
      <c r="B195" s="50">
        <f>VLOOKUP($A195,'Data shares'!$C:$FM,102)</f>
        <v>47.72</v>
      </c>
      <c r="C195" s="50">
        <f>VLOOKUP($A195,'Data shares'!$C:$FM,110)</f>
        <v>47.9</v>
      </c>
      <c r="D195" s="50">
        <f>VLOOKUP($A195,'Data shares'!$C:$FM,114)</f>
        <v>47.09</v>
      </c>
      <c r="E195" s="50">
        <f>VLOOKUP($A195,'Data shares'!$C:$FM,106)</f>
        <v>47</v>
      </c>
      <c r="F195" s="50">
        <f>VLOOKUP($A195,'Data shares'!$C:$FM,108)</f>
        <v>0.72</v>
      </c>
      <c r="G195" s="50">
        <f t="shared" si="6"/>
        <v>1.0153191489361701</v>
      </c>
    </row>
    <row r="196" spans="1:7" x14ac:dyDescent="0.25">
      <c r="A196" s="49" t="str">
        <f>'Data Vlaue (Cr)'!C191</f>
        <v>SWIGGY</v>
      </c>
      <c r="B196" s="50">
        <f>VLOOKUP($A196,'Data shares'!$C:$FM,102)</f>
        <v>44.95</v>
      </c>
      <c r="C196" s="50">
        <f>VLOOKUP($A196,'Data shares'!$C:$FM,110)</f>
        <v>44.49</v>
      </c>
      <c r="D196" s="50">
        <f>VLOOKUP($A196,'Data shares'!$C:$FM,114)</f>
        <v>46.03</v>
      </c>
      <c r="E196" s="50">
        <f>VLOOKUP($A196,'Data shares'!$C:$FM,106)</f>
        <v>45.17</v>
      </c>
      <c r="F196" s="50">
        <f>VLOOKUP($A196,'Data shares'!$C:$FM,108)</f>
        <v>-0.22</v>
      </c>
      <c r="G196" s="50">
        <f t="shared" si="6"/>
        <v>0.99512951073721501</v>
      </c>
    </row>
    <row r="197" spans="1:7" x14ac:dyDescent="0.25">
      <c r="A197" s="49" t="str">
        <f>'Data Vlaue (Cr)'!C192</f>
        <v>TATACONSUM</v>
      </c>
      <c r="B197" s="50">
        <f>VLOOKUP($A197,'Data shares'!$C:$FM,102)</f>
        <v>27.9</v>
      </c>
      <c r="C197" s="50">
        <f>VLOOKUP($A197,'Data shares'!$C:$FM,110)</f>
        <v>27.84</v>
      </c>
      <c r="D197" s="50">
        <f>VLOOKUP($A197,'Data shares'!$C:$FM,114)</f>
        <v>28.13</v>
      </c>
      <c r="E197" s="50">
        <f>VLOOKUP($A197,'Data shares'!$C:$FM,106)</f>
        <v>27.43</v>
      </c>
      <c r="F197" s="50">
        <f>VLOOKUP($A197,'Data shares'!$C:$FM,108)</f>
        <v>0.47</v>
      </c>
      <c r="G197" s="50">
        <f t="shared" si="6"/>
        <v>1.017134524243529</v>
      </c>
    </row>
    <row r="198" spans="1:7" x14ac:dyDescent="0.25">
      <c r="A198" s="49" t="str">
        <f>'Data Vlaue (Cr)'!C193</f>
        <v>TATAELXSI</v>
      </c>
      <c r="B198" s="50">
        <f>VLOOKUP($A198,'Data shares'!$C:$FM,102)</f>
        <v>34.659999999999997</v>
      </c>
      <c r="C198" s="50">
        <f>VLOOKUP($A198,'Data shares'!$C:$FM,110)</f>
        <v>34.82</v>
      </c>
      <c r="D198" s="50">
        <f>VLOOKUP($A198,'Data shares'!$C:$FM,114)</f>
        <v>34.090000000000003</v>
      </c>
      <c r="E198" s="50">
        <f>VLOOKUP($A198,'Data shares'!$C:$FM,106)</f>
        <v>39.51</v>
      </c>
      <c r="F198" s="50">
        <f>VLOOKUP($A198,'Data shares'!$C:$FM,108)</f>
        <v>-4.8499999999999996</v>
      </c>
      <c r="G198" s="50">
        <f t="shared" si="6"/>
        <v>0.87724626676790685</v>
      </c>
    </row>
    <row r="199" spans="1:7" x14ac:dyDescent="0.25">
      <c r="A199" s="49" t="str">
        <f>'Data Vlaue (Cr)'!C194</f>
        <v>TATAPOWER</v>
      </c>
      <c r="B199" s="50">
        <f>VLOOKUP($A199,'Data shares'!$C:$FM,102)</f>
        <v>31.7</v>
      </c>
      <c r="C199" s="50">
        <f>VLOOKUP($A199,'Data shares'!$C:$FM,110)</f>
        <v>31.68</v>
      </c>
      <c r="D199" s="50">
        <f>VLOOKUP($A199,'Data shares'!$C:$FM,114)</f>
        <v>31.75</v>
      </c>
      <c r="E199" s="50">
        <f>VLOOKUP($A199,'Data shares'!$C:$FM,106)</f>
        <v>31.64</v>
      </c>
      <c r="F199" s="50">
        <f>VLOOKUP($A199,'Data shares'!$C:$FM,108)</f>
        <v>0.06</v>
      </c>
      <c r="G199" s="50">
        <f t="shared" si="6"/>
        <v>1.0018963337547409</v>
      </c>
    </row>
    <row r="200" spans="1:7" x14ac:dyDescent="0.25">
      <c r="A200" s="49" t="str">
        <f>'Data Vlaue (Cr)'!C195</f>
        <v>TATASTEEL</v>
      </c>
      <c r="B200" s="50">
        <f>VLOOKUP($A200,'Data shares'!$C:$FM,102)</f>
        <v>29.05</v>
      </c>
      <c r="C200" s="50">
        <f>VLOOKUP($A200,'Data shares'!$C:$FM,110)</f>
        <v>28.28</v>
      </c>
      <c r="D200" s="50">
        <f>VLOOKUP($A200,'Data shares'!$C:$FM,114)</f>
        <v>30.17</v>
      </c>
      <c r="E200" s="50">
        <f>VLOOKUP($A200,'Data shares'!$C:$FM,106)</f>
        <v>35.450000000000003</v>
      </c>
      <c r="F200" s="50">
        <f>VLOOKUP($A200,'Data shares'!$C:$FM,108)</f>
        <v>-6.4</v>
      </c>
      <c r="G200" s="50">
        <f t="shared" si="6"/>
        <v>0.8194640338504936</v>
      </c>
    </row>
    <row r="201" spans="1:7" x14ac:dyDescent="0.25">
      <c r="A201" s="49" t="str">
        <f>'Data Vlaue (Cr)'!C196</f>
        <v>TCS</v>
      </c>
      <c r="B201" s="50">
        <f>VLOOKUP($A201,'Data shares'!$C:$FM,102)</f>
        <v>26.8</v>
      </c>
      <c r="C201" s="50">
        <f>VLOOKUP($A201,'Data shares'!$C:$FM,110)</f>
        <v>27.27</v>
      </c>
      <c r="D201" s="50">
        <f>VLOOKUP($A201,'Data shares'!$C:$FM,114)</f>
        <v>25.85</v>
      </c>
      <c r="E201" s="50">
        <f>VLOOKUP($A201,'Data shares'!$C:$FM,106)</f>
        <v>27.95</v>
      </c>
      <c r="F201" s="50">
        <f>VLOOKUP($A201,'Data shares'!$C:$FM,108)</f>
        <v>-1.1499999999999999</v>
      </c>
      <c r="G201" s="50">
        <f t="shared" si="6"/>
        <v>0.95885509838998217</v>
      </c>
    </row>
    <row r="202" spans="1:7" x14ac:dyDescent="0.25">
      <c r="A202" s="49" t="str">
        <f>'Data Vlaue (Cr)'!C197</f>
        <v>TECHM</v>
      </c>
      <c r="B202" s="50">
        <f>VLOOKUP($A202,'Data shares'!$C:$FM,102)</f>
        <v>27.81</v>
      </c>
      <c r="C202" s="50">
        <f>VLOOKUP($A202,'Data shares'!$C:$FM,110)</f>
        <v>27.6</v>
      </c>
      <c r="D202" s="50">
        <f>VLOOKUP($A202,'Data shares'!$C:$FM,114)</f>
        <v>28.24</v>
      </c>
      <c r="E202" s="50">
        <f>VLOOKUP($A202,'Data shares'!$C:$FM,106)</f>
        <v>32.08</v>
      </c>
      <c r="F202" s="50">
        <f>VLOOKUP($A202,'Data shares'!$C:$FM,108)</f>
        <v>-4.2699999999999996</v>
      </c>
      <c r="G202" s="50">
        <f t="shared" si="6"/>
        <v>0.86689526184538657</v>
      </c>
    </row>
    <row r="203" spans="1:7" x14ac:dyDescent="0.25">
      <c r="A203" s="49" t="str">
        <f>'Data Vlaue (Cr)'!C198</f>
        <v>TIINDIA</v>
      </c>
      <c r="B203" s="50">
        <f>VLOOKUP($A203,'Data shares'!$C:$FM,102)</f>
        <v>38.9</v>
      </c>
      <c r="C203" s="50">
        <f>VLOOKUP($A203,'Data shares'!$C:$FM,110)</f>
        <v>38.33</v>
      </c>
      <c r="D203" s="50">
        <f>VLOOKUP($A203,'Data shares'!$C:$FM,114)</f>
        <v>40.92</v>
      </c>
      <c r="E203" s="50">
        <f>VLOOKUP($A203,'Data shares'!$C:$FM,106)</f>
        <v>44.05</v>
      </c>
      <c r="F203" s="50">
        <f>VLOOKUP($A203,'Data shares'!$C:$FM,108)</f>
        <v>-5.15</v>
      </c>
      <c r="G203" s="50">
        <f t="shared" si="6"/>
        <v>0.8830874006810443</v>
      </c>
    </row>
    <row r="204" spans="1:7" x14ac:dyDescent="0.25">
      <c r="A204" s="49" t="str">
        <f>'Data Vlaue (Cr)'!C199</f>
        <v>TITAN</v>
      </c>
      <c r="B204" s="50">
        <f>VLOOKUP($A204,'Data shares'!$C:$FM,102)</f>
        <v>27.53</v>
      </c>
      <c r="C204" s="50">
        <f>VLOOKUP($A204,'Data shares'!$C:$FM,110)</f>
        <v>27.3</v>
      </c>
      <c r="D204" s="50">
        <f>VLOOKUP($A204,'Data shares'!$C:$FM,114)</f>
        <v>27.9</v>
      </c>
      <c r="E204" s="50">
        <f>VLOOKUP($A204,'Data shares'!$C:$FM,106)</f>
        <v>27.31</v>
      </c>
      <c r="F204" s="50">
        <f>VLOOKUP($A204,'Data shares'!$C:$FM,108)</f>
        <v>0.22</v>
      </c>
      <c r="G204" s="50">
        <f t="shared" si="6"/>
        <v>1.0080556572683999</v>
      </c>
    </row>
    <row r="205" spans="1:7" x14ac:dyDescent="0.25">
      <c r="A205" s="49" t="str">
        <f>'Data Vlaue (Cr)'!C200</f>
        <v>TMPV</v>
      </c>
      <c r="B205" s="50">
        <f>VLOOKUP($A205,'Data shares'!$C:$FM,102)</f>
        <v>36.72</v>
      </c>
      <c r="C205" s="50">
        <f>VLOOKUP($A205,'Data shares'!$C:$FM,110)</f>
        <v>35.79</v>
      </c>
      <c r="D205" s="50">
        <f>VLOOKUP($A205,'Data shares'!$C:$FM,114)</f>
        <v>38.729999999999997</v>
      </c>
      <c r="E205" s="50">
        <f>VLOOKUP($A205,'Data shares'!$C:$FM,106)</f>
        <v>38.46</v>
      </c>
      <c r="F205" s="50">
        <f>VLOOKUP($A205,'Data shares'!$C:$FM,108)</f>
        <v>-1.74</v>
      </c>
      <c r="G205" s="50">
        <f t="shared" ref="G205:G214" si="7">B205/E205</f>
        <v>0.954758190327613</v>
      </c>
    </row>
    <row r="206" spans="1:7" x14ac:dyDescent="0.25">
      <c r="A206" s="49" t="str">
        <f>'Data Vlaue (Cr)'!C201</f>
        <v>TORNTPHARM</v>
      </c>
      <c r="B206" s="50">
        <f>VLOOKUP($A206,'Data shares'!$C:$FM,102)</f>
        <v>25.57</v>
      </c>
      <c r="C206" s="50">
        <f>VLOOKUP($A206,'Data shares'!$C:$FM,110)</f>
        <v>25.33</v>
      </c>
      <c r="D206" s="50">
        <f>VLOOKUP($A206,'Data shares'!$C:$FM,114)</f>
        <v>26.53</v>
      </c>
      <c r="E206" s="50">
        <f>VLOOKUP($A206,'Data shares'!$C:$FM,106)</f>
        <v>25.46</v>
      </c>
      <c r="F206" s="50">
        <f>VLOOKUP($A206,'Data shares'!$C:$FM,108)</f>
        <v>0.11</v>
      </c>
      <c r="G206" s="50">
        <f t="shared" si="7"/>
        <v>1.0043205027494109</v>
      </c>
    </row>
    <row r="207" spans="1:7" x14ac:dyDescent="0.25">
      <c r="A207" s="49" t="str">
        <f>'Data Vlaue (Cr)'!C202</f>
        <v>TRENT</v>
      </c>
      <c r="B207" s="50">
        <f>VLOOKUP($A207,'Data shares'!$C:$FM,102)</f>
        <v>33.06</v>
      </c>
      <c r="C207" s="50">
        <f>VLOOKUP($A207,'Data shares'!$C:$FM,110)</f>
        <v>32.909999999999997</v>
      </c>
      <c r="D207" s="50">
        <f>VLOOKUP($A207,'Data shares'!$C:$FM,114)</f>
        <v>33.51</v>
      </c>
      <c r="E207" s="50">
        <f>VLOOKUP($A207,'Data shares'!$C:$FM,106)</f>
        <v>44.23</v>
      </c>
      <c r="F207" s="50">
        <f>VLOOKUP($A207,'Data shares'!$C:$FM,108)</f>
        <v>-11.17</v>
      </c>
      <c r="G207" s="50">
        <f t="shared" si="7"/>
        <v>0.74745647750395672</v>
      </c>
    </row>
    <row r="208" spans="1:7" x14ac:dyDescent="0.25">
      <c r="A208" s="49" t="str">
        <f>'Data Vlaue (Cr)'!C203</f>
        <v>TVSMOTOR</v>
      </c>
      <c r="B208" s="50">
        <f>VLOOKUP($A208,'Data shares'!$C:$FM,102)</f>
        <v>35.119999999999997</v>
      </c>
      <c r="C208" s="50">
        <f>VLOOKUP($A208,'Data shares'!$C:$FM,110)</f>
        <v>34.79</v>
      </c>
      <c r="D208" s="50">
        <f>VLOOKUP($A208,'Data shares'!$C:$FM,114)</f>
        <v>36.369999999999997</v>
      </c>
      <c r="E208" s="50">
        <f>VLOOKUP($A208,'Data shares'!$C:$FM,106)</f>
        <v>33.729999999999997</v>
      </c>
      <c r="F208" s="50">
        <f>VLOOKUP($A208,'Data shares'!$C:$FM,108)</f>
        <v>1.39</v>
      </c>
      <c r="G208" s="50">
        <f t="shared" si="7"/>
        <v>1.0412096056922622</v>
      </c>
    </row>
    <row r="209" spans="1:7" x14ac:dyDescent="0.25">
      <c r="A209" s="49" t="str">
        <f>'Data Vlaue (Cr)'!C204</f>
        <v>ULTRACEMCO</v>
      </c>
      <c r="B209" s="50">
        <f>VLOOKUP($A209,'Data shares'!$C:$FM,102)</f>
        <v>25.18</v>
      </c>
      <c r="C209" s="50">
        <f>VLOOKUP($A209,'Data shares'!$C:$FM,110)</f>
        <v>24.61</v>
      </c>
      <c r="D209" s="50">
        <f>VLOOKUP($A209,'Data shares'!$C:$FM,114)</f>
        <v>26.38</v>
      </c>
      <c r="E209" s="50">
        <f>VLOOKUP($A209,'Data shares'!$C:$FM,106)</f>
        <v>29.8</v>
      </c>
      <c r="F209" s="50">
        <f>VLOOKUP($A209,'Data shares'!$C:$FM,108)</f>
        <v>-4.62</v>
      </c>
      <c r="G209" s="50">
        <f t="shared" si="7"/>
        <v>0.84496644295302015</v>
      </c>
    </row>
    <row r="210" spans="1:7" x14ac:dyDescent="0.25">
      <c r="A210" s="49" t="str">
        <f>'Data Vlaue (Cr)'!C205</f>
        <v>UNIONBANK</v>
      </c>
      <c r="B210" s="50">
        <f>VLOOKUP($A210,'Data shares'!$C:$FM,102)</f>
        <v>38.92</v>
      </c>
      <c r="C210" s="50">
        <f>VLOOKUP($A210,'Data shares'!$C:$FM,110)</f>
        <v>39.07</v>
      </c>
      <c r="D210" s="50">
        <f>VLOOKUP($A210,'Data shares'!$C:$FM,114)</f>
        <v>38.5</v>
      </c>
      <c r="E210" s="50">
        <f>VLOOKUP($A210,'Data shares'!$C:$FM,106)</f>
        <v>44.45</v>
      </c>
      <c r="F210" s="50">
        <f>VLOOKUP($A210,'Data shares'!$C:$FM,108)</f>
        <v>-5.53</v>
      </c>
      <c r="G210" s="50">
        <f t="shared" si="7"/>
        <v>0.87559055118110229</v>
      </c>
    </row>
    <row r="211" spans="1:7" x14ac:dyDescent="0.25">
      <c r="A211" s="49" t="str">
        <f>'Data Vlaue (Cr)'!C206</f>
        <v>UNITDSPR</v>
      </c>
      <c r="B211" s="50">
        <f>VLOOKUP($A211,'Data shares'!$C:$FM,102)</f>
        <v>30.28</v>
      </c>
      <c r="C211" s="50">
        <f>VLOOKUP($A211,'Data shares'!$C:$FM,110)</f>
        <v>30.46</v>
      </c>
      <c r="D211" s="50">
        <f>VLOOKUP($A211,'Data shares'!$C:$FM,114)</f>
        <v>29.98</v>
      </c>
      <c r="E211" s="50">
        <f>VLOOKUP($A211,'Data shares'!$C:$FM,106)</f>
        <v>30.28</v>
      </c>
      <c r="F211" s="50">
        <f>VLOOKUP($A211,'Data shares'!$C:$FM,108)</f>
        <v>0</v>
      </c>
      <c r="G211" s="50">
        <f t="shared" si="7"/>
        <v>1</v>
      </c>
    </row>
    <row r="212" spans="1:7" x14ac:dyDescent="0.25">
      <c r="A212" s="49" t="str">
        <f>'Data Vlaue (Cr)'!C207</f>
        <v>UNOMINDA</v>
      </c>
      <c r="B212" s="50">
        <f>VLOOKUP($A212,'Data shares'!$C:$FM,102)</f>
        <v>39.42</v>
      </c>
      <c r="C212" s="50">
        <f>VLOOKUP($A212,'Data shares'!$C:$FM,110)</f>
        <v>39.049999999999997</v>
      </c>
      <c r="D212" s="50">
        <f>VLOOKUP($A212,'Data shares'!$C:$FM,114)</f>
        <v>40.950000000000003</v>
      </c>
      <c r="E212" s="50">
        <f>VLOOKUP($A212,'Data shares'!$C:$FM,106)</f>
        <v>42.6</v>
      </c>
      <c r="F212" s="50">
        <f>VLOOKUP($A212,'Data shares'!$C:$FM,108)</f>
        <v>-3.18</v>
      </c>
      <c r="G212" s="50">
        <f t="shared" si="7"/>
        <v>0.92535211267605633</v>
      </c>
    </row>
    <row r="213" spans="1:7" x14ac:dyDescent="0.25">
      <c r="A213" s="49" t="str">
        <f>'Data Vlaue (Cr)'!C208</f>
        <v>UPL</v>
      </c>
      <c r="B213" s="50">
        <f>VLOOKUP($A213,'Data shares'!$C:$FM,102)</f>
        <v>34.68</v>
      </c>
      <c r="C213" s="50">
        <f>VLOOKUP($A213,'Data shares'!$C:$FM,110)</f>
        <v>34.58</v>
      </c>
      <c r="D213" s="50">
        <f>VLOOKUP($A213,'Data shares'!$C:$FM,114)</f>
        <v>34.909999999999997</v>
      </c>
      <c r="E213" s="50">
        <f>VLOOKUP($A213,'Data shares'!$C:$FM,106)</f>
        <v>41.13</v>
      </c>
      <c r="F213" s="50">
        <f>VLOOKUP($A213,'Data shares'!$C:$FM,108)</f>
        <v>-6.45</v>
      </c>
      <c r="G213" s="50">
        <f t="shared" si="7"/>
        <v>0.84318016046681243</v>
      </c>
    </row>
    <row r="214" spans="1:7" x14ac:dyDescent="0.25">
      <c r="A214" s="49" t="str">
        <f>'Data Vlaue (Cr)'!C209</f>
        <v>VBL</v>
      </c>
      <c r="B214" s="50">
        <f>VLOOKUP($A214,'Data shares'!$C:$FM,102)</f>
        <v>30.17</v>
      </c>
      <c r="C214" s="50">
        <f>VLOOKUP($A214,'Data shares'!$C:$FM,110)</f>
        <v>29.9</v>
      </c>
      <c r="D214" s="50">
        <f>VLOOKUP($A214,'Data shares'!$C:$FM,114)</f>
        <v>30.64</v>
      </c>
      <c r="E214" s="50">
        <f>VLOOKUP($A214,'Data shares'!$C:$FM,106)</f>
        <v>38.729999999999997</v>
      </c>
      <c r="F214" s="50">
        <f>VLOOKUP($A214,'Data shares'!$C:$FM,108)</f>
        <v>-8.56</v>
      </c>
      <c r="G214" s="50">
        <f t="shared" si="7"/>
        <v>0.77898270074877363</v>
      </c>
    </row>
    <row r="215" spans="1:7" x14ac:dyDescent="0.25">
      <c r="A215" s="49" t="str">
        <f>'Data Vlaue (Cr)'!C210</f>
        <v>VEDL</v>
      </c>
      <c r="B215" s="50">
        <f>VLOOKUP($A215,'Data shares'!$C:$FM,102)</f>
        <v>46.19</v>
      </c>
      <c r="C215" s="50">
        <f>VLOOKUP($A215,'Data shares'!$C:$FM,110)</f>
        <v>46.36</v>
      </c>
      <c r="D215" s="50">
        <f>VLOOKUP($A215,'Data shares'!$C:$FM,114)</f>
        <v>45.84</v>
      </c>
      <c r="E215" s="50">
        <f>VLOOKUP($A215,'Data shares'!$C:$FM,106)</f>
        <v>43.44</v>
      </c>
      <c r="F215" s="50">
        <f>VLOOKUP($A215,'Data shares'!$C:$FM,108)</f>
        <v>2.75</v>
      </c>
      <c r="G215" s="50">
        <f t="shared" ref="G215:G217" si="8">B215/E215</f>
        <v>1.0633057090239411</v>
      </c>
    </row>
    <row r="216" spans="1:7" x14ac:dyDescent="0.25">
      <c r="A216" s="49" t="str">
        <f>'Data Vlaue (Cr)'!C211</f>
        <v>VMM</v>
      </c>
      <c r="B216" s="50">
        <f>VLOOKUP($A216,'Data shares'!$C:$FM,102)</f>
        <v>37.44</v>
      </c>
      <c r="C216" s="50">
        <f>VLOOKUP($A216,'Data shares'!$C:$FM,110)</f>
        <v>37.76</v>
      </c>
      <c r="D216" s="50">
        <f>VLOOKUP($A216,'Data shares'!$C:$FM,114)</f>
        <v>36.47</v>
      </c>
      <c r="E216" s="50">
        <f>VLOOKUP($A216,'Data shares'!$C:$FM,106)</f>
        <v>38</v>
      </c>
      <c r="F216" s="50">
        <f>VLOOKUP($A216,'Data shares'!$C:$FM,108)</f>
        <v>-0.56000000000000005</v>
      </c>
      <c r="G216" s="50">
        <f t="shared" si="8"/>
        <v>0.98526315789473673</v>
      </c>
    </row>
    <row r="217" spans="1:7" x14ac:dyDescent="0.25">
      <c r="A217" s="49" t="str">
        <f>'Data Vlaue (Cr)'!C212</f>
        <v>VOLTAS</v>
      </c>
      <c r="B217" s="50">
        <f>VLOOKUP($A217,'Data shares'!$C:$FM,102)</f>
        <v>44.99</v>
      </c>
      <c r="C217" s="50">
        <f>VLOOKUP($A217,'Data shares'!$C:$FM,110)</f>
        <v>45.33</v>
      </c>
      <c r="D217" s="50">
        <f>VLOOKUP($A217,'Data shares'!$C:$FM,114)</f>
        <v>44.24</v>
      </c>
      <c r="E217" s="50">
        <f>VLOOKUP($A217,'Data shares'!$C:$FM,106)</f>
        <v>40.46</v>
      </c>
      <c r="F217" s="50">
        <f>VLOOKUP($A217,'Data shares'!$C:$FM,108)</f>
        <v>4.53</v>
      </c>
      <c r="G217" s="50">
        <f t="shared" si="8"/>
        <v>1.1119624320316361</v>
      </c>
    </row>
    <row r="218" spans="1:7" x14ac:dyDescent="0.25">
      <c r="A218" s="49" t="str">
        <f>'Data Vlaue (Cr)'!C213</f>
        <v>WAAREEENER</v>
      </c>
      <c r="B218" s="50">
        <f>VLOOKUP($A218,'Data shares'!$C:$FM,102)</f>
        <v>37.44</v>
      </c>
      <c r="C218" s="50">
        <f>VLOOKUP($A218,'Data shares'!$C:$FM,110)</f>
        <v>37.78</v>
      </c>
      <c r="D218" s="50">
        <f>VLOOKUP($A218,'Data shares'!$C:$FM,114)</f>
        <v>36.450000000000003</v>
      </c>
      <c r="E218" s="50">
        <f>VLOOKUP($A218,'Data shares'!$C:$FM,106)</f>
        <v>54.07</v>
      </c>
      <c r="F218" s="50">
        <f>VLOOKUP($A218,'Data shares'!$C:$FM,108)</f>
        <v>-16.63</v>
      </c>
      <c r="G218" s="50">
        <f t="shared" ref="G218:G221" si="9">B218/E218</f>
        <v>0.69243573145921944</v>
      </c>
    </row>
    <row r="219" spans="1:7" x14ac:dyDescent="0.25">
      <c r="A219" s="49" t="str">
        <f>'Data Vlaue (Cr)'!C214</f>
        <v>WIPRO</v>
      </c>
      <c r="B219" s="50">
        <f>VLOOKUP($A219,'Data shares'!$C:$FM,102)</f>
        <v>28.7</v>
      </c>
      <c r="C219" s="50">
        <f>VLOOKUP($A219,'Data shares'!$C:$FM,110)</f>
        <v>29.6</v>
      </c>
      <c r="D219" s="50">
        <f>VLOOKUP($A219,'Data shares'!$C:$FM,114)</f>
        <v>26.81</v>
      </c>
      <c r="E219" s="50">
        <f>VLOOKUP($A219,'Data shares'!$C:$FM,106)</f>
        <v>31.05</v>
      </c>
      <c r="F219" s="50">
        <f>VLOOKUP($A219,'Data shares'!$C:$FM,108)</f>
        <v>-2.35</v>
      </c>
      <c r="G219" s="50">
        <f t="shared" si="9"/>
        <v>0.92431561996779388</v>
      </c>
    </row>
    <row r="220" spans="1:7" x14ac:dyDescent="0.25">
      <c r="A220" s="49" t="str">
        <f>'Data Vlaue (Cr)'!C215</f>
        <v>YESBANK</v>
      </c>
      <c r="B220" s="50">
        <f>VLOOKUP($A220,'Data shares'!$C:$FM,102)</f>
        <v>37.25</v>
      </c>
      <c r="C220" s="50">
        <f>VLOOKUP($A220,'Data shares'!$C:$FM,110)</f>
        <v>37.43</v>
      </c>
      <c r="D220" s="50">
        <f>VLOOKUP($A220,'Data shares'!$C:$FM,114)</f>
        <v>36.69</v>
      </c>
      <c r="E220" s="50">
        <f>VLOOKUP($A220,'Data shares'!$C:$FM,106)</f>
        <v>39.299999999999997</v>
      </c>
      <c r="F220" s="50">
        <f>VLOOKUP($A220,'Data shares'!$C:$FM,108)</f>
        <v>-2.0499999999999998</v>
      </c>
      <c r="G220" s="50">
        <f t="shared" si="9"/>
        <v>0.94783715012722658</v>
      </c>
    </row>
    <row r="221" spans="1:7" x14ac:dyDescent="0.25">
      <c r="A221" s="49" t="str">
        <f>'Data Vlaue (Cr)'!C216</f>
        <v>ZYDUSLIFE</v>
      </c>
      <c r="B221" s="50">
        <f>VLOOKUP($A221,'Data shares'!$C:$FM,102)</f>
        <v>29.58</v>
      </c>
      <c r="C221" s="50">
        <f>VLOOKUP($A221,'Data shares'!$C:$FM,110)</f>
        <v>29.55</v>
      </c>
      <c r="D221" s="50">
        <f>VLOOKUP($A221,'Data shares'!$C:$FM,114)</f>
        <v>29.69</v>
      </c>
      <c r="E221" s="50">
        <f>VLOOKUP($A221,'Data shares'!$C:$FM,106)</f>
        <v>28.27</v>
      </c>
      <c r="F221" s="50">
        <f>VLOOKUP($A221,'Data shares'!$C:$FM,108)</f>
        <v>1.31</v>
      </c>
      <c r="G221" s="50">
        <f t="shared" si="9"/>
        <v>1.0463388751326494</v>
      </c>
    </row>
    <row r="222" spans="1:7" x14ac:dyDescent="0.25">
      <c r="A222" s="49"/>
      <c r="B222" s="50"/>
      <c r="C222" s="50"/>
      <c r="D222" s="50"/>
      <c r="E222" s="50"/>
      <c r="F222" s="50"/>
      <c r="G222" s="50"/>
    </row>
    <row r="223" spans="1:7" x14ac:dyDescent="0.25">
      <c r="A223" s="49"/>
      <c r="B223" s="50"/>
      <c r="C223" s="50"/>
      <c r="D223" s="50"/>
      <c r="E223" s="50"/>
      <c r="F223" s="50"/>
      <c r="G223" s="50"/>
    </row>
    <row r="224" spans="1:7" x14ac:dyDescent="0.25">
      <c r="A224" s="49"/>
      <c r="B224" s="50"/>
      <c r="C224" s="50"/>
      <c r="D224" s="50"/>
      <c r="E224" s="50"/>
      <c r="F224" s="50"/>
      <c r="G224" s="50"/>
    </row>
    <row r="225" spans="1:7" x14ac:dyDescent="0.25">
      <c r="A225" s="49"/>
      <c r="B225" s="50"/>
      <c r="C225" s="50"/>
      <c r="D225" s="50"/>
      <c r="E225" s="50"/>
      <c r="F225" s="50"/>
      <c r="G225" s="50"/>
    </row>
    <row r="226" spans="1:7" x14ac:dyDescent="0.25">
      <c r="A226" s="49"/>
      <c r="B226" s="50"/>
      <c r="C226" s="50"/>
      <c r="D226" s="50"/>
      <c r="E226" s="50"/>
      <c r="F226" s="50"/>
      <c r="G226" s="50"/>
    </row>
    <row r="227" spans="1:7" x14ac:dyDescent="0.25">
      <c r="A227" s="49"/>
      <c r="B227" s="50"/>
      <c r="C227" s="50"/>
      <c r="D227" s="50"/>
      <c r="E227" s="50"/>
      <c r="F227" s="50"/>
      <c r="G227" s="50"/>
    </row>
    <row r="228" spans="1:7" x14ac:dyDescent="0.25">
      <c r="A228" s="49"/>
      <c r="B228" s="50"/>
      <c r="C228" s="50"/>
      <c r="D228" s="50"/>
      <c r="E228" s="50"/>
      <c r="F228" s="50"/>
      <c r="G228" s="50"/>
    </row>
    <row r="229" spans="1:7" x14ac:dyDescent="0.25">
      <c r="A229" s="49"/>
      <c r="B229" s="50"/>
      <c r="C229" s="50"/>
      <c r="D229" s="50"/>
      <c r="E229" s="50"/>
      <c r="F229" s="50"/>
      <c r="G229"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200" activePane="bottomLeft" state="frozen"/>
      <selection pane="bottomLeft" activeCell="M214" sqref="M214"/>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9" t="s">
        <v>416</v>
      </c>
      <c r="B3" s="320"/>
      <c r="C3" s="320"/>
      <c r="D3" s="320"/>
      <c r="E3" s="320"/>
      <c r="F3" s="320"/>
    </row>
    <row r="4" spans="1:6" s="107" customFormat="1" ht="16.5" customHeight="1" x14ac:dyDescent="0.25">
      <c r="A4" s="174" t="s">
        <v>366</v>
      </c>
      <c r="B4" s="76" t="s">
        <v>417</v>
      </c>
      <c r="C4" s="76" t="s">
        <v>412</v>
      </c>
      <c r="D4" s="162" t="s">
        <v>418</v>
      </c>
      <c r="E4" s="162" t="s">
        <v>419</v>
      </c>
      <c r="F4" s="162" t="s">
        <v>419</v>
      </c>
    </row>
    <row r="5" spans="1:6" x14ac:dyDescent="0.25">
      <c r="A5" s="99" t="s">
        <v>678</v>
      </c>
      <c r="B5" s="49">
        <v>37756901</v>
      </c>
      <c r="C5" s="49">
        <v>6606000</v>
      </c>
      <c r="D5" s="49">
        <v>5072779.9721999997</v>
      </c>
      <c r="E5" s="50">
        <f>VLOOKUP($A5,'Data shares'!$C:$FA,154)*100</f>
        <v>17.760000000000002</v>
      </c>
      <c r="F5" s="173">
        <f>C5/B5</f>
        <v>0.17496139315035417</v>
      </c>
    </row>
    <row r="6" spans="1:6" x14ac:dyDescent="0.25">
      <c r="A6" s="99" t="s">
        <v>553</v>
      </c>
      <c r="B6" s="49">
        <v>7946564</v>
      </c>
      <c r="C6" s="49">
        <v>3761500</v>
      </c>
      <c r="D6" s="49">
        <v>2130173.2817212502</v>
      </c>
      <c r="E6" s="50">
        <f>VLOOKUP($A6,'Data shares'!$C:$FA,154)*100</f>
        <v>48.49</v>
      </c>
      <c r="F6" s="173">
        <f>C6/B6</f>
        <v>0.4733492362233539</v>
      </c>
    </row>
    <row r="7" spans="1:6" x14ac:dyDescent="0.25">
      <c r="A7" s="99" t="s">
        <v>544</v>
      </c>
      <c r="B7" s="49">
        <v>123369777</v>
      </c>
      <c r="C7" s="49">
        <v>64514100</v>
      </c>
      <c r="D7" s="49">
        <v>38708673.470991001</v>
      </c>
      <c r="E7" s="50">
        <f>VLOOKUP($A7,'Data shares'!$C:$FA,154)*100</f>
        <v>53.03</v>
      </c>
      <c r="F7" s="173">
        <f>C7/B7</f>
        <v>0.5229327763152235</v>
      </c>
    </row>
    <row r="8" spans="1:6" x14ac:dyDescent="0.25">
      <c r="A8" s="99" t="s">
        <v>578</v>
      </c>
      <c r="B8" s="49">
        <v>35196587</v>
      </c>
      <c r="C8" s="49">
        <v>30279825</v>
      </c>
      <c r="D8" s="49">
        <v>17709007.291771501</v>
      </c>
      <c r="E8" s="50">
        <f>VLOOKUP($A8,'Data shares'!$C:$FA,154)*100</f>
        <v>86.7</v>
      </c>
      <c r="F8" s="173">
        <f>C8/B8</f>
        <v>0.86030571657416666</v>
      </c>
    </row>
    <row r="9" spans="1:6" x14ac:dyDescent="0.25">
      <c r="A9" s="99" t="s">
        <v>159</v>
      </c>
      <c r="B9" s="49">
        <v>33645895</v>
      </c>
      <c r="C9" s="49">
        <v>32612478</v>
      </c>
      <c r="D9" s="49">
        <v>17181683.249699801</v>
      </c>
      <c r="E9" s="50"/>
      <c r="F9" s="173">
        <f>C9/B9</f>
        <v>0.96928549530336461</v>
      </c>
    </row>
    <row r="10" spans="1:6" x14ac:dyDescent="0.25">
      <c r="A10" s="99" t="s">
        <v>605</v>
      </c>
      <c r="B10" s="49">
        <v>64724093</v>
      </c>
      <c r="C10" s="49">
        <v>34637400</v>
      </c>
      <c r="D10" s="49">
        <v>19417198.260942001</v>
      </c>
      <c r="E10" s="50">
        <f>VLOOKUP($A10,'Data shares'!$C:$FA,154)*100</f>
        <v>54.679999999999993</v>
      </c>
      <c r="F10" s="173">
        <f>C10/B10</f>
        <v>0.53515466025920211</v>
      </c>
    </row>
    <row r="11" spans="1:6" x14ac:dyDescent="0.25">
      <c r="A11" s="99" t="s">
        <v>160</v>
      </c>
      <c r="B11" s="49">
        <v>88142691</v>
      </c>
      <c r="C11" s="49">
        <v>36754075</v>
      </c>
      <c r="D11" s="49">
        <v>20465854.619660001</v>
      </c>
      <c r="E11" s="50">
        <f>VLOOKUP($A11,'Data shares'!$C:$FA,154)*100</f>
        <v>42.47</v>
      </c>
      <c r="F11" s="173">
        <f>C11/B11</f>
        <v>0.41698380867450485</v>
      </c>
    </row>
    <row r="12" spans="1:6" x14ac:dyDescent="0.25">
      <c r="A12" s="99" t="s">
        <v>693</v>
      </c>
      <c r="B12" s="49">
        <v>482906787</v>
      </c>
      <c r="C12" s="49">
        <v>132134550</v>
      </c>
      <c r="D12" s="49">
        <v>71252615.996664003</v>
      </c>
      <c r="E12" s="50"/>
      <c r="F12" s="173">
        <f>C12/B12</f>
        <v>0.27362330279280173</v>
      </c>
    </row>
    <row r="13" spans="1:6" x14ac:dyDescent="0.25">
      <c r="A13" s="99" t="s">
        <v>497</v>
      </c>
      <c r="B13" s="49">
        <v>5873365</v>
      </c>
      <c r="C13" s="49">
        <v>1487000</v>
      </c>
      <c r="D13" s="49">
        <v>1057401.7712012499</v>
      </c>
      <c r="E13" s="50">
        <f>VLOOKUP($A13,'Data shares'!$C:$FA,154)*100</f>
        <v>25.45</v>
      </c>
      <c r="F13" s="173">
        <f>C13/B13</f>
        <v>0.25317684155505404</v>
      </c>
    </row>
    <row r="14" spans="1:6" x14ac:dyDescent="0.25">
      <c r="A14" s="99" t="s">
        <v>677</v>
      </c>
      <c r="B14" s="49">
        <v>3260820</v>
      </c>
      <c r="C14" s="49">
        <v>2586600</v>
      </c>
      <c r="D14" s="49">
        <v>1303217.457767</v>
      </c>
      <c r="E14" s="50">
        <f>VLOOKUP($A14,'Data shares'!$C:$FA,154)*100</f>
        <v>80.930000000000007</v>
      </c>
      <c r="F14" s="173">
        <f>C14/B14</f>
        <v>0.79323605718806922</v>
      </c>
    </row>
    <row r="15" spans="1:6" x14ac:dyDescent="0.25">
      <c r="A15" s="99" t="s">
        <v>164</v>
      </c>
      <c r="B15" s="49">
        <v>97233107</v>
      </c>
      <c r="C15" s="49">
        <v>108661950</v>
      </c>
      <c r="D15" s="49">
        <v>70026670.8801945</v>
      </c>
      <c r="E15" s="50">
        <f>VLOOKUP($A15,'Data shares'!$C:$FA,154)*100</f>
        <v>112.92999999999999</v>
      </c>
      <c r="F15" s="173">
        <f>C15/B15</f>
        <v>1.1175406541313135</v>
      </c>
    </row>
    <row r="16" spans="1:6" x14ac:dyDescent="0.25">
      <c r="A16" s="99" t="s">
        <v>608</v>
      </c>
      <c r="B16" s="49">
        <v>96940911</v>
      </c>
      <c r="C16" s="49">
        <v>47710000</v>
      </c>
      <c r="D16" s="49">
        <v>27256917.635899998</v>
      </c>
      <c r="E16" s="50">
        <f>VLOOKUP($A16,'Data shares'!$C:$FA,154)*100</f>
        <v>50.760000000000005</v>
      </c>
      <c r="F16" s="173">
        <f>C16/B16</f>
        <v>0.49215547396702308</v>
      </c>
    </row>
    <row r="17" spans="1:6" x14ac:dyDescent="0.25">
      <c r="A17" s="99" t="s">
        <v>597</v>
      </c>
      <c r="B17" s="49">
        <v>29871221</v>
      </c>
      <c r="C17" s="49">
        <v>8899450</v>
      </c>
      <c r="D17" s="49">
        <v>5921910.4758764999</v>
      </c>
      <c r="E17" s="50">
        <f>VLOOKUP($A17,'Data shares'!$C:$FA,154)*100</f>
        <v>30.04</v>
      </c>
      <c r="F17" s="173">
        <f>C17/B17</f>
        <v>0.29792722567316549</v>
      </c>
    </row>
    <row r="18" spans="1:6" x14ac:dyDescent="0.25">
      <c r="A18" s="99" t="s">
        <v>165</v>
      </c>
      <c r="B18" s="49">
        <v>15524629</v>
      </c>
      <c r="C18" s="49">
        <v>3212000</v>
      </c>
      <c r="D18" s="49">
        <v>1964065.7863675</v>
      </c>
      <c r="E18" s="50">
        <f>VLOOKUP($A18,'Data shares'!$C:$FA,154)*100</f>
        <v>20.91</v>
      </c>
      <c r="F18" s="173">
        <f>C18/B18</f>
        <v>0.20689705370737041</v>
      </c>
    </row>
    <row r="19" spans="1:6" x14ac:dyDescent="0.25">
      <c r="A19" s="99" t="s">
        <v>167</v>
      </c>
      <c r="B19" s="49">
        <v>423779104</v>
      </c>
      <c r="C19" s="49">
        <v>276725000</v>
      </c>
      <c r="D19" s="49">
        <v>131382615.67445</v>
      </c>
      <c r="E19" s="50">
        <f>VLOOKUP($A19,'Data shares'!$C:$FA,154)*100</f>
        <v>66.94</v>
      </c>
      <c r="F19" s="173">
        <f>C19/B19</f>
        <v>0.65299349917923277</v>
      </c>
    </row>
    <row r="20" spans="1:6" x14ac:dyDescent="0.25">
      <c r="A20" s="99" t="s">
        <v>169</v>
      </c>
      <c r="B20" s="49">
        <v>62818628</v>
      </c>
      <c r="C20" s="49">
        <v>21582000</v>
      </c>
      <c r="D20" s="49">
        <v>14336771.213947499</v>
      </c>
      <c r="E20" s="50">
        <f>VLOOKUP($A20,'Data shares'!$C:$FA,154)*100</f>
        <v>34.870000000000005</v>
      </c>
      <c r="F20" s="173">
        <f>C20/B20</f>
        <v>0.34356051201882348</v>
      </c>
    </row>
    <row r="21" spans="1:6" x14ac:dyDescent="0.25">
      <c r="A21" s="99" t="s">
        <v>503</v>
      </c>
      <c r="B21" s="49">
        <v>17577908</v>
      </c>
      <c r="C21" s="49">
        <v>11741050</v>
      </c>
      <c r="D21" s="49">
        <v>7676141.4660362499</v>
      </c>
      <c r="E21" s="50">
        <f>VLOOKUP($A21,'Data shares'!$C:$FA,154)*100</f>
        <v>67.430000000000007</v>
      </c>
      <c r="F21" s="173">
        <f>C21/B21</f>
        <v>0.66794353457760736</v>
      </c>
    </row>
    <row r="22" spans="1:6" x14ac:dyDescent="0.25">
      <c r="A22" s="99" t="s">
        <v>495</v>
      </c>
      <c r="B22" s="49">
        <v>86532345</v>
      </c>
      <c r="C22" s="49">
        <v>39635000</v>
      </c>
      <c r="D22" s="49">
        <v>26117819.37229</v>
      </c>
      <c r="E22" s="50">
        <f>VLOOKUP($A22,'Data shares'!$C:$FA,154)*100</f>
        <v>46.589999999999996</v>
      </c>
      <c r="F22" s="173">
        <f>C22/B22</f>
        <v>0.45803681848677508</v>
      </c>
    </row>
    <row r="23" spans="1:6" x14ac:dyDescent="0.25">
      <c r="A23" s="99" t="s">
        <v>171</v>
      </c>
      <c r="B23" s="49">
        <v>41977935</v>
      </c>
      <c r="C23" s="49">
        <v>24019050</v>
      </c>
      <c r="D23" s="49">
        <v>18084010.710397501</v>
      </c>
      <c r="E23" s="50">
        <f>VLOOKUP($A23,'Data shares'!$C:$FA,154)*100</f>
        <v>57.79</v>
      </c>
      <c r="F23" s="173">
        <f>C23/B23</f>
        <v>0.57218274314827544</v>
      </c>
    </row>
    <row r="24" spans="1:6" x14ac:dyDescent="0.25">
      <c r="A24" s="99" t="s">
        <v>173</v>
      </c>
      <c r="B24" s="49">
        <v>331596880</v>
      </c>
      <c r="C24" s="49">
        <v>95021875</v>
      </c>
      <c r="D24" s="49">
        <v>67586242.651712507</v>
      </c>
      <c r="E24" s="50">
        <f>VLOOKUP($A24,'Data shares'!$C:$FA,154)*100</f>
        <v>28.96</v>
      </c>
      <c r="F24" s="173">
        <f>C24/B24</f>
        <v>0.28655841092352857</v>
      </c>
    </row>
    <row r="25" spans="1:6" x14ac:dyDescent="0.25">
      <c r="A25" s="99" t="s">
        <v>174</v>
      </c>
      <c r="B25" s="49">
        <v>12553818</v>
      </c>
      <c r="C25" s="49">
        <v>5553900</v>
      </c>
      <c r="D25" s="49">
        <v>2326921.2778019998</v>
      </c>
      <c r="E25" s="50">
        <f>VLOOKUP($A25,'Data shares'!$C:$FA,154)*100</f>
        <v>45.79</v>
      </c>
      <c r="F25" s="173">
        <f>C25/B25</f>
        <v>0.44240724216330046</v>
      </c>
    </row>
    <row r="26" spans="1:6" x14ac:dyDescent="0.25">
      <c r="A26" s="99" t="s">
        <v>176</v>
      </c>
      <c r="B26" s="49">
        <v>65784745</v>
      </c>
      <c r="C26" s="49">
        <v>17234550</v>
      </c>
      <c r="D26" s="49">
        <v>11264550.1789275</v>
      </c>
      <c r="E26" s="50">
        <f>VLOOKUP($A26,'Data shares'!$C:$FA,154)*100</f>
        <v>26.39</v>
      </c>
      <c r="F26" s="173">
        <f>C26/B26</f>
        <v>0.26198399036129122</v>
      </c>
    </row>
    <row r="27" spans="1:6" x14ac:dyDescent="0.25">
      <c r="A27" s="99" t="s">
        <v>687</v>
      </c>
      <c r="B27" s="49">
        <v>5401993</v>
      </c>
      <c r="C27" s="49">
        <v>365750</v>
      </c>
      <c r="D27" s="49">
        <v>272191.05230049998</v>
      </c>
      <c r="E27" s="50">
        <f>VLOOKUP($A27,'Data shares'!$C:$FA,154)*100</f>
        <v>6.8500000000000005</v>
      </c>
      <c r="F27" s="173">
        <f>C27/B27</f>
        <v>6.7706492770353455E-2</v>
      </c>
    </row>
    <row r="28" spans="1:6" x14ac:dyDescent="0.25">
      <c r="A28" s="99" t="s">
        <v>177</v>
      </c>
      <c r="B28" s="49">
        <v>387962395</v>
      </c>
      <c r="C28" s="49">
        <v>97907250</v>
      </c>
      <c r="D28" s="49">
        <v>69242363.824860007</v>
      </c>
      <c r="E28" s="50">
        <f>VLOOKUP($A28,'Data shares'!$C:$FA,154)*100</f>
        <v>25.69</v>
      </c>
      <c r="F28" s="173">
        <f>C28/B28</f>
        <v>0.25236273221789962</v>
      </c>
    </row>
    <row r="29" spans="1:6" x14ac:dyDescent="0.25">
      <c r="A29" s="99" t="s">
        <v>179</v>
      </c>
      <c r="B29" s="49">
        <v>145616308</v>
      </c>
      <c r="C29" s="49">
        <v>172137600</v>
      </c>
      <c r="D29" s="49">
        <v>101232489.522708</v>
      </c>
      <c r="E29" s="50">
        <f>VLOOKUP($A29,'Data shares'!$C:$FA,154)*100</f>
        <v>119.76</v>
      </c>
      <c r="F29" s="173">
        <f>C29/B29</f>
        <v>1.1821313310594306</v>
      </c>
    </row>
    <row r="30" spans="1:6" x14ac:dyDescent="0.25">
      <c r="A30" s="99" t="s">
        <v>180</v>
      </c>
      <c r="B30" s="49">
        <v>279476623</v>
      </c>
      <c r="C30" s="49">
        <v>174508425</v>
      </c>
      <c r="D30" s="49">
        <v>111484292.216222</v>
      </c>
      <c r="E30" s="50">
        <f>VLOOKUP($A30,'Data shares'!$C:$FA,154)*100</f>
        <v>63.09</v>
      </c>
      <c r="F30" s="173">
        <f>C30/B30</f>
        <v>0.62441152725678961</v>
      </c>
    </row>
    <row r="31" spans="1:6" x14ac:dyDescent="0.25">
      <c r="A31" s="99" t="s">
        <v>601</v>
      </c>
      <c r="B31" s="49">
        <v>181770921</v>
      </c>
      <c r="C31" s="49">
        <v>94983200</v>
      </c>
      <c r="D31" s="49">
        <v>58182857.950828001</v>
      </c>
      <c r="E31" s="50">
        <f>VLOOKUP($A31,'Data shares'!$C:$FA,154)*100</f>
        <v>52.839999999999996</v>
      </c>
      <c r="F31" s="173">
        <f>C31/B31</f>
        <v>0.52254342706444223</v>
      </c>
    </row>
    <row r="32" spans="1:6" x14ac:dyDescent="0.25">
      <c r="A32" s="99" t="s">
        <v>668</v>
      </c>
      <c r="B32" s="49">
        <v>13786716</v>
      </c>
      <c r="C32" s="49">
        <v>7130550</v>
      </c>
      <c r="D32" s="49">
        <v>2896370.030365</v>
      </c>
      <c r="E32" s="50">
        <f>VLOOKUP($A32,'Data shares'!$C:$FA,154)*100</f>
        <v>52.7</v>
      </c>
      <c r="F32" s="173">
        <f>C32/B32</f>
        <v>0.517204387179659</v>
      </c>
    </row>
    <row r="33" spans="1:6" x14ac:dyDescent="0.25">
      <c r="A33" s="99" t="s">
        <v>185</v>
      </c>
      <c r="B33" s="49">
        <v>535778534</v>
      </c>
      <c r="C33" s="49">
        <v>184499025</v>
      </c>
      <c r="D33" s="49">
        <v>108413412.988791</v>
      </c>
      <c r="E33" s="50">
        <f>VLOOKUP($A33,'Data shares'!$C:$FA,154)*100</f>
        <v>34.880000000000003</v>
      </c>
      <c r="F33" s="173">
        <f>C33/B33</f>
        <v>0.34435688123331942</v>
      </c>
    </row>
    <row r="34" spans="1:6" x14ac:dyDescent="0.25">
      <c r="A34" s="99" t="s">
        <v>187</v>
      </c>
      <c r="B34" s="49">
        <v>40107751</v>
      </c>
      <c r="C34" s="49">
        <v>11977500</v>
      </c>
      <c r="D34" s="49">
        <v>7431526.3693899997</v>
      </c>
      <c r="E34" s="50">
        <f>VLOOKUP($A34,'Data shares'!$C:$FA,154)*100</f>
        <v>31.319999999999997</v>
      </c>
      <c r="F34" s="173">
        <f>C34/B34</f>
        <v>0.29863304975639249</v>
      </c>
    </row>
    <row r="35" spans="1:6" x14ac:dyDescent="0.25">
      <c r="A35" s="99" t="s">
        <v>189</v>
      </c>
      <c r="B35" s="49">
        <v>342859930</v>
      </c>
      <c r="C35" s="49">
        <v>80877300</v>
      </c>
      <c r="D35" s="49">
        <v>61642032.746140197</v>
      </c>
      <c r="E35" s="50">
        <f>VLOOKUP($A35,'Data shares'!$C:$FA,154)*100</f>
        <v>23.849999999999998</v>
      </c>
      <c r="F35" s="173">
        <f>C35/B35</f>
        <v>0.23589020740918892</v>
      </c>
    </row>
    <row r="36" spans="1:6" x14ac:dyDescent="0.25">
      <c r="A36" s="99" t="s">
        <v>190</v>
      </c>
      <c r="B36" s="49">
        <v>192361942</v>
      </c>
      <c r="C36" s="49">
        <v>226815750</v>
      </c>
      <c r="D36" s="49">
        <v>126024586.417695</v>
      </c>
      <c r="E36" s="50">
        <f>VLOOKUP($A36,'Data shares'!$C:$FA,154)*100</f>
        <v>121.30000000000001</v>
      </c>
      <c r="F36" s="173">
        <f>C36/B36</f>
        <v>1.1791092751600523</v>
      </c>
    </row>
    <row r="37" spans="1:6" x14ac:dyDescent="0.25">
      <c r="A37" s="99" t="s">
        <v>191</v>
      </c>
      <c r="B37" s="49">
        <v>108004143</v>
      </c>
      <c r="C37" s="49">
        <v>57667500</v>
      </c>
      <c r="D37" s="49">
        <v>28335354.98985</v>
      </c>
      <c r="E37" s="50">
        <f>VLOOKUP($A37,'Data shares'!$C:$FA,154)*100</f>
        <v>54.559999999999995</v>
      </c>
      <c r="F37" s="173">
        <f>C37/B37</f>
        <v>0.53393785088410917</v>
      </c>
    </row>
    <row r="38" spans="1:6" x14ac:dyDescent="0.25">
      <c r="A38" s="99" t="s">
        <v>675</v>
      </c>
      <c r="B38" s="49">
        <v>15745076</v>
      </c>
      <c r="C38" s="49">
        <v>5455125</v>
      </c>
      <c r="D38" s="49">
        <v>2270564.5844992502</v>
      </c>
      <c r="E38" s="50">
        <f>VLOOKUP($A38,'Data shares'!$C:$FA,154)*100</f>
        <v>35.120000000000005</v>
      </c>
      <c r="F38" s="173">
        <f>C38/B38</f>
        <v>0.34646546005875106</v>
      </c>
    </row>
    <row r="39" spans="1:6" x14ac:dyDescent="0.25">
      <c r="A39" s="99" t="s">
        <v>192</v>
      </c>
      <c r="B39" s="49">
        <v>868841</v>
      </c>
      <c r="C39" s="49">
        <v>346175</v>
      </c>
      <c r="D39" s="49">
        <v>250599.59697700001</v>
      </c>
      <c r="E39" s="50">
        <f>VLOOKUP($A39,'Data shares'!$C:$FA,154)*100</f>
        <v>39.989999999999995</v>
      </c>
      <c r="F39" s="173">
        <f>C39/B39</f>
        <v>0.39843308499483793</v>
      </c>
    </row>
    <row r="40" spans="1:6" x14ac:dyDescent="0.25">
      <c r="A40" s="99" t="s">
        <v>194</v>
      </c>
      <c r="B40" s="49">
        <v>306020745</v>
      </c>
      <c r="C40" s="49">
        <v>94073200</v>
      </c>
      <c r="D40" s="49">
        <v>56288679.346128002</v>
      </c>
      <c r="E40" s="50">
        <f>VLOOKUP($A40,'Data shares'!$C:$FA,154)*100</f>
        <v>31.009999999999998</v>
      </c>
      <c r="F40" s="173">
        <f>C40/B40</f>
        <v>0.30740791772139497</v>
      </c>
    </row>
    <row r="41" spans="1:6" x14ac:dyDescent="0.25">
      <c r="A41" s="99" t="s">
        <v>195</v>
      </c>
      <c r="B41" s="49">
        <v>14553559</v>
      </c>
      <c r="C41" s="49">
        <v>4171875</v>
      </c>
      <c r="D41" s="49">
        <v>2736596.3372175</v>
      </c>
      <c r="E41" s="50"/>
      <c r="F41" s="173">
        <f>C41/B41</f>
        <v>0.28665668651908444</v>
      </c>
    </row>
    <row r="42" spans="1:6" x14ac:dyDescent="0.25">
      <c r="A42" s="99" t="s">
        <v>583</v>
      </c>
      <c r="B42" s="49">
        <v>61182611</v>
      </c>
      <c r="C42" s="49">
        <v>17922975</v>
      </c>
      <c r="D42" s="49">
        <v>8494186.6485274993</v>
      </c>
      <c r="E42" s="50">
        <f>VLOOKUP($A42,'Data shares'!$C:$FA,154)*100</f>
        <v>30.94</v>
      </c>
      <c r="F42" s="173">
        <f>C42/B42</f>
        <v>0.29294230349208211</v>
      </c>
    </row>
    <row r="43" spans="1:6" x14ac:dyDescent="0.25">
      <c r="A43" s="99" t="s">
        <v>610</v>
      </c>
      <c r="B43" s="49">
        <v>37147595</v>
      </c>
      <c r="C43" s="49">
        <v>15673575</v>
      </c>
      <c r="D43" s="49">
        <v>6560187.0274125002</v>
      </c>
      <c r="E43" s="50">
        <f>VLOOKUP($A43,'Data shares'!$C:$FA,154)*100</f>
        <v>43.03</v>
      </c>
      <c r="F43" s="173">
        <f>C43/B43</f>
        <v>0.42192704534438907</v>
      </c>
    </row>
    <row r="44" spans="1:6" x14ac:dyDescent="0.25">
      <c r="A44" s="99" t="s">
        <v>196</v>
      </c>
      <c r="B44" s="49">
        <v>504315430</v>
      </c>
      <c r="C44" s="49">
        <v>354017250</v>
      </c>
      <c r="D44" s="49">
        <v>208099629.26759201</v>
      </c>
      <c r="E44" s="50"/>
      <c r="F44" s="173">
        <f>C44/B44</f>
        <v>0.70197584476049046</v>
      </c>
    </row>
    <row r="45" spans="1:6" x14ac:dyDescent="0.25">
      <c r="A45" s="99" t="s">
        <v>596</v>
      </c>
      <c r="B45" s="49">
        <v>26647500</v>
      </c>
      <c r="C45" s="49">
        <v>23452650</v>
      </c>
      <c r="D45" s="49">
        <v>9788835.1731324997</v>
      </c>
      <c r="E45" s="50">
        <f>VLOOKUP($A45,'Data shares'!$C:$FA,154)*100</f>
        <v>89.67</v>
      </c>
      <c r="F45" s="173">
        <f>C45/B45</f>
        <v>0.88010695187165777</v>
      </c>
    </row>
    <row r="46" spans="1:6" x14ac:dyDescent="0.25">
      <c r="A46" s="99" t="s">
        <v>611</v>
      </c>
      <c r="B46" s="49">
        <v>103080397</v>
      </c>
      <c r="C46" s="49">
        <v>36987750</v>
      </c>
      <c r="D46" s="49">
        <v>24645995.474934001</v>
      </c>
      <c r="E46" s="50">
        <f>VLOOKUP($A46,'Data shares'!$C:$FA,154)*100</f>
        <v>36.299999999999997</v>
      </c>
      <c r="F46" s="173">
        <f>C46/B46</f>
        <v>0.35882428741519107</v>
      </c>
    </row>
    <row r="47" spans="1:6" x14ac:dyDescent="0.25">
      <c r="A47" s="99" t="s">
        <v>198</v>
      </c>
      <c r="B47" s="49">
        <v>63646863</v>
      </c>
      <c r="C47" s="49">
        <v>23898125</v>
      </c>
      <c r="D47" s="49">
        <v>18830840.4881</v>
      </c>
      <c r="E47" s="50">
        <f>VLOOKUP($A47,'Data shares'!$C:$FA,154)*100</f>
        <v>37.9</v>
      </c>
      <c r="F47" s="173">
        <f>C47/B47</f>
        <v>0.3754800138382311</v>
      </c>
    </row>
    <row r="48" spans="1:6" x14ac:dyDescent="0.25">
      <c r="A48" s="99" t="s">
        <v>199</v>
      </c>
      <c r="B48" s="49">
        <v>76385219</v>
      </c>
      <c r="C48" s="49">
        <v>21689625</v>
      </c>
      <c r="D48" s="49">
        <v>13493366.3585367</v>
      </c>
      <c r="E48" s="50">
        <f>VLOOKUP($A48,'Data shares'!$C:$FA,154)*100</f>
        <v>28.689999999999998</v>
      </c>
      <c r="F48" s="173">
        <f>C48/B48</f>
        <v>0.28395055069489294</v>
      </c>
    </row>
    <row r="49" spans="1:6" x14ac:dyDescent="0.25">
      <c r="A49" s="99" t="s">
        <v>200</v>
      </c>
      <c r="B49" s="49">
        <v>320531323</v>
      </c>
      <c r="C49" s="49">
        <v>98716050</v>
      </c>
      <c r="D49" s="49">
        <v>52088576.894657999</v>
      </c>
      <c r="E49" s="50">
        <f>VLOOKUP($A49,'Data shares'!$C:$FA,154)*100</f>
        <v>31.419999999999998</v>
      </c>
      <c r="F49" s="173">
        <f>C49/B49</f>
        <v>0.3079762972182285</v>
      </c>
    </row>
    <row r="50" spans="1:6" x14ac:dyDescent="0.25">
      <c r="A50" s="99" t="s">
        <v>694</v>
      </c>
      <c r="B50" s="49">
        <v>12661431</v>
      </c>
      <c r="C50" s="49">
        <v>4685600</v>
      </c>
      <c r="D50" s="49">
        <v>2447991.010336</v>
      </c>
      <c r="E50" s="50">
        <f>VLOOKUP($A50,'Data shares'!$C:$FA,154)*100</f>
        <v>37.36</v>
      </c>
      <c r="F50" s="173">
        <f>C50/B50</f>
        <v>0.37006875447174969</v>
      </c>
    </row>
    <row r="51" spans="1:6" x14ac:dyDescent="0.25">
      <c r="A51" s="99" t="s">
        <v>470</v>
      </c>
      <c r="B51" s="49">
        <v>50256271</v>
      </c>
      <c r="C51" s="49">
        <v>37044025</v>
      </c>
      <c r="D51" s="49">
        <v>22057413.7092962</v>
      </c>
      <c r="E51" s="50">
        <f>VLOOKUP($A51,'Data shares'!$C:$FA,154)*100</f>
        <v>76.039999999999992</v>
      </c>
      <c r="F51" s="173">
        <f>C51/B51</f>
        <v>0.73710253989994601</v>
      </c>
    </row>
    <row r="52" spans="1:6" x14ac:dyDescent="0.25">
      <c r="A52" s="99" t="s">
        <v>201</v>
      </c>
      <c r="B52" s="49">
        <v>19054573</v>
      </c>
      <c r="C52" s="49">
        <v>7198225</v>
      </c>
      <c r="D52" s="49">
        <v>4773566.4812272498</v>
      </c>
      <c r="E52" s="50">
        <f>VLOOKUP($A52,'Data shares'!$C:$FA,154)*100</f>
        <v>38.019999999999996</v>
      </c>
      <c r="F52" s="173">
        <f>C52/B52</f>
        <v>0.37776889568714028</v>
      </c>
    </row>
    <row r="53" spans="1:6" x14ac:dyDescent="0.25">
      <c r="A53" s="99" t="s">
        <v>202</v>
      </c>
      <c r="B53" s="49">
        <v>51639257</v>
      </c>
      <c r="C53" s="49">
        <v>32636250</v>
      </c>
      <c r="D53" s="49">
        <v>21372337.355912499</v>
      </c>
      <c r="E53" s="50">
        <f>VLOOKUP($A53,'Data shares'!$C:$FA,154)*100</f>
        <v>63.580000000000005</v>
      </c>
      <c r="F53" s="173">
        <f>C53/B53</f>
        <v>0.63200463941609386</v>
      </c>
    </row>
    <row r="54" spans="1:6" x14ac:dyDescent="0.25">
      <c r="A54" s="99" t="s">
        <v>523</v>
      </c>
      <c r="B54" s="49">
        <v>96587231</v>
      </c>
      <c r="C54" s="49">
        <v>77402150</v>
      </c>
      <c r="D54" s="49">
        <v>51546968.506287999</v>
      </c>
      <c r="E54" s="50">
        <f>VLOOKUP($A54,'Data shares'!$C:$FA,154)*100</f>
        <v>80.789999999999992</v>
      </c>
      <c r="F54" s="173">
        <f>C54/B54</f>
        <v>0.80137042131376557</v>
      </c>
    </row>
    <row r="55" spans="1:6" x14ac:dyDescent="0.25">
      <c r="A55" s="99" t="s">
        <v>203</v>
      </c>
      <c r="B55" s="49">
        <v>20374200</v>
      </c>
      <c r="C55" s="49">
        <v>5115600</v>
      </c>
      <c r="D55" s="49">
        <v>3952535.8339340002</v>
      </c>
      <c r="E55" s="50">
        <f>VLOOKUP($A55,'Data shares'!$C:$FA,154)*100</f>
        <v>25.41</v>
      </c>
      <c r="F55" s="173">
        <f>C55/B55</f>
        <v>0.25108225108225107</v>
      </c>
    </row>
    <row r="56" spans="1:6" x14ac:dyDescent="0.25">
      <c r="A56" s="99" t="s">
        <v>204</v>
      </c>
      <c r="B56" s="49">
        <v>76827821</v>
      </c>
      <c r="C56" s="49">
        <v>42338750</v>
      </c>
      <c r="D56" s="49">
        <v>26951538.614574999</v>
      </c>
      <c r="E56" s="50">
        <f>VLOOKUP($A56,'Data shares'!$C:$FA,154)*100</f>
        <v>55.37</v>
      </c>
      <c r="F56" s="173">
        <f>C56/B56</f>
        <v>0.55108617488969258</v>
      </c>
    </row>
    <row r="57" spans="1:6" x14ac:dyDescent="0.25">
      <c r="A57" s="99" t="s">
        <v>524</v>
      </c>
      <c r="B57" s="49">
        <v>12425160</v>
      </c>
      <c r="C57" s="49">
        <v>4318600</v>
      </c>
      <c r="D57" s="49">
        <v>2703945.44934475</v>
      </c>
      <c r="E57" s="50">
        <f>VLOOKUP($A57,'Data shares'!$C:$FA,154)*100</f>
        <v>34.93</v>
      </c>
      <c r="F57" s="173">
        <f>C57/B57</f>
        <v>0.34756896490668931</v>
      </c>
    </row>
    <row r="58" spans="1:6" x14ac:dyDescent="0.25">
      <c r="A58" s="99" t="s">
        <v>599</v>
      </c>
      <c r="B58" s="49">
        <v>83072620</v>
      </c>
      <c r="C58" s="49">
        <v>40209350</v>
      </c>
      <c r="D58" s="49">
        <v>29597856.885751501</v>
      </c>
      <c r="E58" s="50">
        <f>VLOOKUP($A58,'Data shares'!$C:$FA,154)*100</f>
        <v>48.82</v>
      </c>
      <c r="F58" s="173">
        <f>C58/B58</f>
        <v>0.48402650596550345</v>
      </c>
    </row>
    <row r="59" spans="1:6" x14ac:dyDescent="0.25">
      <c r="A59" s="99" t="s">
        <v>205</v>
      </c>
      <c r="B59" s="49">
        <v>15815194</v>
      </c>
      <c r="C59" s="49">
        <v>3575000</v>
      </c>
      <c r="D59" s="49">
        <v>2391328.8237390001</v>
      </c>
      <c r="E59" s="50">
        <f>VLOOKUP($A59,'Data shares'!$C:$FA,154)*100</f>
        <v>22.75</v>
      </c>
      <c r="F59" s="173">
        <f>C59/B59</f>
        <v>0.22604844429982965</v>
      </c>
    </row>
    <row r="60" spans="1:6" x14ac:dyDescent="0.25">
      <c r="A60" s="99" t="s">
        <v>512</v>
      </c>
      <c r="B60" s="49">
        <v>6478285</v>
      </c>
      <c r="C60" s="49">
        <v>5229000</v>
      </c>
      <c r="D60" s="49">
        <v>2514500.0697570001</v>
      </c>
      <c r="E60" s="50"/>
      <c r="F60" s="173">
        <f>C60/B60</f>
        <v>0.80715806729713191</v>
      </c>
    </row>
    <row r="61" spans="1:6" x14ac:dyDescent="0.25">
      <c r="A61" s="99" t="s">
        <v>207</v>
      </c>
      <c r="B61" s="49">
        <v>96251298</v>
      </c>
      <c r="C61" s="49">
        <v>59421325</v>
      </c>
      <c r="D61" s="49">
        <v>43992686.554330997</v>
      </c>
      <c r="E61" s="50">
        <f>VLOOKUP($A61,'Data shares'!$C:$FA,154)*100</f>
        <v>62.17</v>
      </c>
      <c r="F61" s="173">
        <f>C61/B61</f>
        <v>0.617356090096572</v>
      </c>
    </row>
    <row r="62" spans="1:6" x14ac:dyDescent="0.25">
      <c r="A62" s="99" t="s">
        <v>582</v>
      </c>
      <c r="B62" s="49">
        <v>16494391</v>
      </c>
      <c r="C62" s="49">
        <v>6368100</v>
      </c>
      <c r="D62" s="49">
        <v>3835911.1613475</v>
      </c>
      <c r="E62" s="50">
        <f>VLOOKUP($A62,'Data shares'!$C:$FA,154)*100</f>
        <v>39.22</v>
      </c>
      <c r="F62" s="173">
        <f>C62/B62</f>
        <v>0.38607669722392296</v>
      </c>
    </row>
    <row r="63" spans="1:6" x14ac:dyDescent="0.25">
      <c r="A63" s="99" t="s">
        <v>208</v>
      </c>
      <c r="B63" s="49">
        <v>61026255</v>
      </c>
      <c r="C63" s="49">
        <v>32828750</v>
      </c>
      <c r="D63" s="49">
        <v>15974175.546074999</v>
      </c>
      <c r="E63" s="50">
        <f>VLOOKUP($A63,'Data shares'!$C:$FA,154)*100</f>
        <v>54.879999999999995</v>
      </c>
      <c r="F63" s="173">
        <f>C63/B63</f>
        <v>0.53794469282114721</v>
      </c>
    </row>
    <row r="64" spans="1:6" x14ac:dyDescent="0.25">
      <c r="A64" s="99" t="s">
        <v>209</v>
      </c>
      <c r="B64" s="49">
        <v>20960143</v>
      </c>
      <c r="C64" s="49">
        <v>5341300</v>
      </c>
      <c r="D64" s="49">
        <v>3394494.7966479999</v>
      </c>
      <c r="E64" s="50">
        <f>VLOOKUP($A64,'Data shares'!$C:$FA,154)*100</f>
        <v>25.64</v>
      </c>
      <c r="F64" s="173">
        <f>C64/B64</f>
        <v>0.25483127667592725</v>
      </c>
    </row>
    <row r="65" spans="1:6" x14ac:dyDescent="0.25">
      <c r="A65" s="99" t="s">
        <v>664</v>
      </c>
      <c r="B65" s="49">
        <v>1366821859</v>
      </c>
      <c r="C65" s="49">
        <v>347422475</v>
      </c>
      <c r="D65" s="49">
        <v>206712633.07011101</v>
      </c>
      <c r="E65" s="50">
        <f>VLOOKUP($A65,'Data shares'!$C:$FA,154)*100</f>
        <v>25.7</v>
      </c>
      <c r="F65" s="173">
        <f>C65/B65</f>
        <v>0.254182703263308</v>
      </c>
    </row>
    <row r="66" spans="1:6" x14ac:dyDescent="0.25">
      <c r="A66" s="99" t="s">
        <v>211</v>
      </c>
      <c r="B66" s="49">
        <v>50211048</v>
      </c>
      <c r="C66" s="49">
        <v>53724600</v>
      </c>
      <c r="D66" s="49">
        <v>18584378.494109999</v>
      </c>
      <c r="E66" s="50">
        <f>VLOOKUP($A66,'Data shares'!$C:$FA,154)*100</f>
        <v>109.61000000000001</v>
      </c>
      <c r="F66" s="173">
        <f>C66/B66</f>
        <v>1.069975675472856</v>
      </c>
    </row>
    <row r="67" spans="1:6" x14ac:dyDescent="0.25">
      <c r="A67" s="99" t="s">
        <v>212</v>
      </c>
      <c r="B67" s="49">
        <v>359450597</v>
      </c>
      <c r="C67" s="49">
        <v>138122500</v>
      </c>
      <c r="D67" s="49">
        <v>81272462.790325001</v>
      </c>
      <c r="E67" s="50">
        <f>VLOOKUP($A67,'Data shares'!$C:$FA,154)*100</f>
        <v>39.119999999999997</v>
      </c>
      <c r="F67" s="173">
        <f>C67/B67</f>
        <v>0.38426003782656121</v>
      </c>
    </row>
    <row r="68" spans="1:6" x14ac:dyDescent="0.25">
      <c r="A68" s="99" t="s">
        <v>698</v>
      </c>
      <c r="B68" s="49">
        <v>736885</v>
      </c>
      <c r="C68" s="49">
        <v>501300</v>
      </c>
      <c r="D68" s="49">
        <v>207468.569288</v>
      </c>
      <c r="E68" s="50">
        <f>VLOOKUP($A68,'Data shares'!$C:$FA,154)*100</f>
        <v>70.55</v>
      </c>
      <c r="F68" s="173">
        <f>C68/B68</f>
        <v>0.68029611133351875</v>
      </c>
    </row>
    <row r="69" spans="1:6" x14ac:dyDescent="0.25">
      <c r="A69" s="99" t="s">
        <v>674</v>
      </c>
      <c r="B69" s="49">
        <v>70894446</v>
      </c>
      <c r="C69" s="49">
        <v>12045050</v>
      </c>
      <c r="D69" s="49">
        <v>9341628.8200684991</v>
      </c>
      <c r="E69" s="50">
        <f>VLOOKUP($A69,'Data shares'!$C:$FA,154)*100</f>
        <v>17.09</v>
      </c>
      <c r="F69" s="173">
        <f>C69/B69</f>
        <v>0.1699011795648985</v>
      </c>
    </row>
    <row r="70" spans="1:6" x14ac:dyDescent="0.25">
      <c r="A70" s="99" t="s">
        <v>213</v>
      </c>
      <c r="B70" s="49">
        <v>471255857</v>
      </c>
      <c r="C70" s="49">
        <v>112430800</v>
      </c>
      <c r="D70" s="49">
        <v>72302334.147989005</v>
      </c>
      <c r="E70" s="50">
        <f>VLOOKUP($A70,'Data shares'!$C:$FA,154)*100</f>
        <v>24.08</v>
      </c>
      <c r="F70" s="173">
        <f>C70/B70</f>
        <v>0.23857698176046224</v>
      </c>
    </row>
    <row r="71" spans="1:6" x14ac:dyDescent="0.25">
      <c r="A71" s="99" t="s">
        <v>214</v>
      </c>
      <c r="B71" s="49">
        <v>15844372</v>
      </c>
      <c r="C71" s="49">
        <v>14142375</v>
      </c>
      <c r="D71" s="49">
        <v>10320510.956565</v>
      </c>
      <c r="E71" s="50">
        <f>VLOOKUP($A71,'Data shares'!$C:$FA,154)*100</f>
        <v>89.82</v>
      </c>
      <c r="F71" s="173">
        <f>C71/B71</f>
        <v>0.89258034335472558</v>
      </c>
    </row>
    <row r="72" spans="1:6" x14ac:dyDescent="0.25">
      <c r="A72" s="99" t="s">
        <v>630</v>
      </c>
      <c r="B72" s="49">
        <v>534704421</v>
      </c>
      <c r="C72" s="49">
        <v>239528475</v>
      </c>
      <c r="D72" s="49">
        <v>132961203.352404</v>
      </c>
      <c r="E72" s="50">
        <f>VLOOKUP($A72,'Data shares'!$C:$FA,154)*100</f>
        <v>45.18</v>
      </c>
      <c r="F72" s="173">
        <f>C72/B72</f>
        <v>0.44796426884228063</v>
      </c>
    </row>
    <row r="73" spans="1:6" x14ac:dyDescent="0.25">
      <c r="A73" s="99" t="s">
        <v>697</v>
      </c>
      <c r="B73" s="49">
        <v>6329596</v>
      </c>
      <c r="C73" s="49">
        <v>2849825</v>
      </c>
      <c r="D73" s="49">
        <v>1652863.26930175</v>
      </c>
      <c r="E73" s="50">
        <f>VLOOKUP($A73,'Data shares'!$C:$FA,154)*100</f>
        <v>45.97</v>
      </c>
      <c r="F73" s="173">
        <f>C73/B73</f>
        <v>0.45023805626773022</v>
      </c>
    </row>
    <row r="74" spans="1:6" x14ac:dyDescent="0.25">
      <c r="A74" s="99" t="s">
        <v>217</v>
      </c>
      <c r="B74" s="49">
        <v>53250524</v>
      </c>
      <c r="C74" s="49">
        <v>17449000</v>
      </c>
      <c r="D74" s="49">
        <v>13249144.735365</v>
      </c>
      <c r="E74" s="50">
        <f>VLOOKUP($A74,'Data shares'!$C:$FA,154)*100</f>
        <v>33.450000000000003</v>
      </c>
      <c r="F74" s="173">
        <f>C74/B74</f>
        <v>0.32767752670377476</v>
      </c>
    </row>
    <row r="75" spans="1:6" x14ac:dyDescent="0.25">
      <c r="A75" s="99" t="s">
        <v>218</v>
      </c>
      <c r="B75" s="49">
        <v>23870110</v>
      </c>
      <c r="C75" s="49">
        <v>12429625</v>
      </c>
      <c r="D75" s="49">
        <v>7943526.5773002496</v>
      </c>
      <c r="E75" s="50">
        <f>VLOOKUP($A75,'Data shares'!$C:$FA,154)*100</f>
        <v>52.54</v>
      </c>
      <c r="F75" s="173">
        <f>C75/B75</f>
        <v>0.52071921746485461</v>
      </c>
    </row>
    <row r="76" spans="1:6" x14ac:dyDescent="0.25">
      <c r="A76" s="99" t="s">
        <v>219</v>
      </c>
      <c r="B76" s="49">
        <v>38401443</v>
      </c>
      <c r="C76" s="49">
        <v>16887500</v>
      </c>
      <c r="D76" s="49">
        <v>13301452.5151575</v>
      </c>
      <c r="E76" s="50">
        <f>VLOOKUP($A76,'Data shares'!$C:$FA,154)*100</f>
        <v>44.230000000000004</v>
      </c>
      <c r="F76" s="173">
        <f>C76/B76</f>
        <v>0.43976212039740276</v>
      </c>
    </row>
    <row r="77" spans="1:6" x14ac:dyDescent="0.25">
      <c r="A77" s="99" t="s">
        <v>513</v>
      </c>
      <c r="B77" s="49">
        <v>28450886</v>
      </c>
      <c r="C77" s="49">
        <v>11019900</v>
      </c>
      <c r="D77" s="49">
        <v>6479366.7987719998</v>
      </c>
      <c r="E77" s="50">
        <f>VLOOKUP($A77,'Data shares'!$C:$FA,154)*100</f>
        <v>39.39</v>
      </c>
      <c r="F77" s="173">
        <f>C77/B77</f>
        <v>0.38733064411421142</v>
      </c>
    </row>
    <row r="78" spans="1:6" x14ac:dyDescent="0.25">
      <c r="A78" s="99" t="s">
        <v>220</v>
      </c>
      <c r="B78" s="49">
        <v>29751886</v>
      </c>
      <c r="C78" s="49">
        <v>17973000</v>
      </c>
      <c r="D78" s="49">
        <v>9546922.6930950005</v>
      </c>
      <c r="E78" s="50">
        <f>VLOOKUP($A78,'Data shares'!$C:$FA,154)*100</f>
        <v>61.23</v>
      </c>
      <c r="F78" s="173">
        <f>C78/B78</f>
        <v>0.6040961571310135</v>
      </c>
    </row>
    <row r="79" spans="1:6" x14ac:dyDescent="0.25">
      <c r="A79" s="99" t="s">
        <v>222</v>
      </c>
      <c r="B79" s="49">
        <v>145140505</v>
      </c>
      <c r="C79" s="49">
        <v>79727350</v>
      </c>
      <c r="D79" s="49">
        <v>39453111.677669004</v>
      </c>
      <c r="E79" s="50">
        <f>VLOOKUP($A79,'Data shares'!$C:$FA,154)*100</f>
        <v>55.92</v>
      </c>
      <c r="F79" s="173">
        <f>C79/B79</f>
        <v>0.54931151025001601</v>
      </c>
    </row>
    <row r="80" spans="1:6" x14ac:dyDescent="0.25">
      <c r="A80" s="99" t="s">
        <v>475</v>
      </c>
      <c r="B80" s="49">
        <v>30592324</v>
      </c>
      <c r="C80" s="49">
        <v>8012700</v>
      </c>
      <c r="D80" s="49">
        <v>6044845.9367399998</v>
      </c>
      <c r="E80" s="50">
        <f>VLOOKUP($A80,'Data shares'!$C:$FA,154)*100</f>
        <v>26.41</v>
      </c>
      <c r="F80" s="173">
        <f>C80/B80</f>
        <v>0.26191864338256876</v>
      </c>
    </row>
    <row r="81" spans="1:6" x14ac:dyDescent="0.25">
      <c r="A81" s="99" t="s">
        <v>224</v>
      </c>
      <c r="B81" s="49">
        <v>1496665645</v>
      </c>
      <c r="C81" s="49">
        <v>451346300</v>
      </c>
      <c r="D81" s="49">
        <v>328763651.73392999</v>
      </c>
      <c r="E81" s="50">
        <f>VLOOKUP($A81,'Data shares'!$C:$FA,154)*100</f>
        <v>30.37</v>
      </c>
      <c r="F81" s="173">
        <f>C81/B81</f>
        <v>0.30156788960035225</v>
      </c>
    </row>
    <row r="82" spans="1:6" x14ac:dyDescent="0.25">
      <c r="A82" s="99" t="s">
        <v>225</v>
      </c>
      <c r="B82" s="49">
        <v>156090005</v>
      </c>
      <c r="C82" s="49">
        <v>78223200</v>
      </c>
      <c r="D82" s="49">
        <v>54289906.889075004</v>
      </c>
      <c r="E82" s="50">
        <f>VLOOKUP($A82,'Data shares'!$C:$FA,154)*100</f>
        <v>50.51</v>
      </c>
      <c r="F82" s="173">
        <f>C82/B82</f>
        <v>0.50114163299565528</v>
      </c>
    </row>
    <row r="83" spans="1:6" x14ac:dyDescent="0.25">
      <c r="A83" s="99" t="s">
        <v>226</v>
      </c>
      <c r="B83" s="49">
        <v>19589014</v>
      </c>
      <c r="C83" s="49">
        <v>8364450</v>
      </c>
      <c r="D83" s="49">
        <v>4442552.5435469998</v>
      </c>
      <c r="E83" s="50">
        <f>VLOOKUP($A83,'Data shares'!$C:$FA,154)*100</f>
        <v>43.91</v>
      </c>
      <c r="F83" s="173">
        <f>C83/B83</f>
        <v>0.42699698923080048</v>
      </c>
    </row>
    <row r="84" spans="1:6" x14ac:dyDescent="0.25">
      <c r="A84" s="99" t="s">
        <v>228</v>
      </c>
      <c r="B84" s="49">
        <v>218611634</v>
      </c>
      <c r="C84" s="49">
        <v>45623900</v>
      </c>
      <c r="D84" s="49">
        <v>32610625.956964999</v>
      </c>
      <c r="E84" s="50">
        <f>VLOOKUP($A84,'Data shares'!$C:$FA,154)*100</f>
        <v>21.19</v>
      </c>
      <c r="F84" s="173">
        <f>C84/B84</f>
        <v>0.20869840806368065</v>
      </c>
    </row>
    <row r="85" spans="1:6" x14ac:dyDescent="0.25">
      <c r="A85" s="99" t="s">
        <v>229</v>
      </c>
      <c r="B85" s="49">
        <v>143933168</v>
      </c>
      <c r="C85" s="49">
        <v>64058850</v>
      </c>
      <c r="D85" s="49">
        <v>39029911.994828202</v>
      </c>
      <c r="E85" s="50"/>
      <c r="F85" s="173">
        <f>C85/B85</f>
        <v>0.44505968214359043</v>
      </c>
    </row>
    <row r="86" spans="1:6" x14ac:dyDescent="0.25">
      <c r="A86" s="99" t="s">
        <v>230</v>
      </c>
      <c r="B86" s="49">
        <v>89517840</v>
      </c>
      <c r="C86" s="49">
        <v>26973300</v>
      </c>
      <c r="D86" s="49">
        <v>15170671.050657</v>
      </c>
      <c r="E86" s="50">
        <f>VLOOKUP($A86,'Data shares'!$C:$FA,154)*100</f>
        <v>30.64</v>
      </c>
      <c r="F86" s="173">
        <f>C86/B86</f>
        <v>0.30131759211348264</v>
      </c>
    </row>
    <row r="87" spans="1:6" x14ac:dyDescent="0.25">
      <c r="A87" s="99" t="s">
        <v>665</v>
      </c>
      <c r="B87" s="49">
        <v>241870587</v>
      </c>
      <c r="C87" s="49">
        <v>64481550</v>
      </c>
      <c r="D87" s="49">
        <v>35364803.023598999</v>
      </c>
      <c r="E87" s="50"/>
      <c r="F87" s="173">
        <f>C87/B87</f>
        <v>0.26659525161693182</v>
      </c>
    </row>
    <row r="88" spans="1:6" x14ac:dyDescent="0.25">
      <c r="A88" s="99" t="s">
        <v>692</v>
      </c>
      <c r="B88" s="49">
        <v>21329205</v>
      </c>
      <c r="C88" s="49">
        <v>11596475</v>
      </c>
      <c r="D88" s="49">
        <v>7686158.3867392503</v>
      </c>
      <c r="E88" s="50">
        <f>VLOOKUP($A88,'Data shares'!$C:$FA,154)*100</f>
        <v>54.85</v>
      </c>
      <c r="F88" s="173">
        <f>C88/B88</f>
        <v>0.54368997813092423</v>
      </c>
    </row>
    <row r="89" spans="1:6" x14ac:dyDescent="0.25">
      <c r="A89" s="99" t="s">
        <v>232</v>
      </c>
      <c r="B89" s="49">
        <v>668616020</v>
      </c>
      <c r="C89" s="49">
        <v>206476900</v>
      </c>
      <c r="D89" s="49">
        <v>147159899.849774</v>
      </c>
      <c r="E89" s="50">
        <f>VLOOKUP($A89,'Data shares'!$C:$FA,154)*100</f>
        <v>31.19</v>
      </c>
      <c r="F89" s="173">
        <f>C89/B89</f>
        <v>0.30881237335593603</v>
      </c>
    </row>
    <row r="90" spans="1:6" x14ac:dyDescent="0.25">
      <c r="A90" s="99" t="s">
        <v>472</v>
      </c>
      <c r="B90" s="49">
        <v>27086521</v>
      </c>
      <c r="C90" s="49">
        <v>6389500</v>
      </c>
      <c r="D90" s="49">
        <v>5216694.5615167497</v>
      </c>
      <c r="E90" s="50">
        <f>VLOOKUP($A90,'Data shares'!$C:$FA,154)*100</f>
        <v>23.68</v>
      </c>
      <c r="F90" s="173">
        <f>C90/B90</f>
        <v>0.23589223584675198</v>
      </c>
    </row>
    <row r="91" spans="1:6" x14ac:dyDescent="0.25">
      <c r="A91" s="99" t="s">
        <v>233</v>
      </c>
      <c r="B91" s="49">
        <v>58892926</v>
      </c>
      <c r="C91" s="49">
        <v>28469650</v>
      </c>
      <c r="D91" s="49">
        <v>19893622.823667701</v>
      </c>
      <c r="E91" s="50">
        <f>VLOOKUP($A91,'Data shares'!$C:$FA,154)*100</f>
        <v>48.5</v>
      </c>
      <c r="F91" s="173">
        <f>C91/B91</f>
        <v>0.48341374649987673</v>
      </c>
    </row>
    <row r="92" spans="1:6" x14ac:dyDescent="0.25">
      <c r="A92" s="99" t="s">
        <v>234</v>
      </c>
      <c r="B92" s="49">
        <v>12096038468</v>
      </c>
      <c r="C92" s="49">
        <v>9053738250</v>
      </c>
      <c r="D92" s="49">
        <v>5939723374.2810001</v>
      </c>
      <c r="E92" s="50">
        <f>VLOOKUP($A92,'Data shares'!$C:$FA,154)*100</f>
        <v>75.58</v>
      </c>
      <c r="F92" s="173">
        <f>C92/B92</f>
        <v>0.74848788501719898</v>
      </c>
    </row>
    <row r="93" spans="1:6" x14ac:dyDescent="0.25">
      <c r="A93" s="99" t="s">
        <v>235</v>
      </c>
      <c r="B93" s="49">
        <v>1101871266</v>
      </c>
      <c r="C93" s="49">
        <v>606445875</v>
      </c>
      <c r="D93" s="49">
        <v>404613294.02422702</v>
      </c>
      <c r="E93" s="50">
        <f>VLOOKUP($A93,'Data shares'!$C:$FA,154)*100</f>
        <v>55.589999999999996</v>
      </c>
      <c r="F93" s="173">
        <f>C93/B93</f>
        <v>0.55037815551857761</v>
      </c>
    </row>
    <row r="94" spans="1:6" x14ac:dyDescent="0.25">
      <c r="A94" s="99" t="s">
        <v>514</v>
      </c>
      <c r="B94" s="49">
        <v>133395043</v>
      </c>
      <c r="C94" s="49">
        <v>142439700</v>
      </c>
      <c r="D94" s="49">
        <v>69023238.787976995</v>
      </c>
      <c r="E94" s="50">
        <f>VLOOKUP($A94,'Data shares'!$C:$FA,154)*100</f>
        <v>108.37</v>
      </c>
      <c r="F94" s="173">
        <f>C94/B94</f>
        <v>1.0678035464931033</v>
      </c>
    </row>
    <row r="95" spans="1:6" x14ac:dyDescent="0.25">
      <c r="A95" s="99" t="s">
        <v>501</v>
      </c>
      <c r="B95" s="49">
        <v>123332004</v>
      </c>
      <c r="C95" s="49">
        <v>32225000</v>
      </c>
      <c r="D95" s="49">
        <v>21398808.606309999</v>
      </c>
      <c r="E95" s="50">
        <f>VLOOKUP($A95,'Data shares'!$C:$FA,154)*100</f>
        <v>26.46</v>
      </c>
      <c r="F95" s="173">
        <f>C95/B95</f>
        <v>0.26128660002962412</v>
      </c>
    </row>
    <row r="96" spans="1:6" x14ac:dyDescent="0.25">
      <c r="A96" s="99" t="s">
        <v>577</v>
      </c>
      <c r="B96" s="49">
        <v>52862157</v>
      </c>
      <c r="C96" s="49">
        <v>24143000</v>
      </c>
      <c r="D96" s="49">
        <v>12625251.00936</v>
      </c>
      <c r="E96" s="50">
        <f>VLOOKUP($A96,'Data shares'!$C:$FA,154)*100</f>
        <v>46.93</v>
      </c>
      <c r="F96" s="173">
        <f>C96/B96</f>
        <v>0.45671613437945791</v>
      </c>
    </row>
    <row r="97" spans="1:6" x14ac:dyDescent="0.25">
      <c r="A97" s="99" t="s">
        <v>238</v>
      </c>
      <c r="B97" s="49">
        <v>33878797</v>
      </c>
      <c r="C97" s="49">
        <v>14378700</v>
      </c>
      <c r="D97" s="49">
        <v>8008667.9655900002</v>
      </c>
      <c r="E97" s="50">
        <f>VLOOKUP($A97,'Data shares'!$C:$FA,154)*100</f>
        <v>43.22</v>
      </c>
      <c r="F97" s="173">
        <f>C97/B97</f>
        <v>0.42441589646763433</v>
      </c>
    </row>
    <row r="98" spans="1:6" x14ac:dyDescent="0.25">
      <c r="A98" s="99" t="s">
        <v>239</v>
      </c>
      <c r="B98" s="49">
        <v>93808799</v>
      </c>
      <c r="C98" s="49">
        <v>48865600</v>
      </c>
      <c r="D98" s="49">
        <v>35363017.488399997</v>
      </c>
      <c r="E98" s="50"/>
      <c r="F98" s="173">
        <f>C98/B98</f>
        <v>0.52090635975416333</v>
      </c>
    </row>
    <row r="99" spans="1:6" x14ac:dyDescent="0.25">
      <c r="A99" s="99" t="s">
        <v>473</v>
      </c>
      <c r="B99" s="49">
        <v>193625858</v>
      </c>
      <c r="C99" s="49">
        <v>131886000</v>
      </c>
      <c r="D99" s="49">
        <v>76061634.951729998</v>
      </c>
      <c r="E99" s="50">
        <f>VLOOKUP($A99,'Data shares'!$C:$FA,154)*100</f>
        <v>68.97999999999999</v>
      </c>
      <c r="F99" s="173">
        <f>C99/B99</f>
        <v>0.68113836324485133</v>
      </c>
    </row>
    <row r="100" spans="1:6" x14ac:dyDescent="0.25">
      <c r="A100" s="99" t="s">
        <v>240</v>
      </c>
      <c r="B100" s="49">
        <v>475237614</v>
      </c>
      <c r="C100" s="49">
        <v>146969600</v>
      </c>
      <c r="D100" s="49">
        <v>81742203.767112002</v>
      </c>
      <c r="E100" s="50">
        <f>VLOOKUP($A100,'Data shares'!$C:$FA,154)*100</f>
        <v>31.4</v>
      </c>
      <c r="F100" s="173">
        <f>C100/B100</f>
        <v>0.30925498249808148</v>
      </c>
    </row>
    <row r="101" spans="1:6" x14ac:dyDescent="0.25">
      <c r="A101" s="99" t="s">
        <v>666</v>
      </c>
      <c r="B101" s="49">
        <v>144708707</v>
      </c>
      <c r="C101" s="49">
        <v>131261725</v>
      </c>
      <c r="D101" s="49">
        <v>80164167.777877703</v>
      </c>
      <c r="E101" s="50">
        <f>VLOOKUP($A101,'Data shares'!$C:$FA,154)*100</f>
        <v>91.12</v>
      </c>
      <c r="F101" s="173">
        <f>C101/B101</f>
        <v>0.9070755155043988</v>
      </c>
    </row>
    <row r="102" spans="1:6" x14ac:dyDescent="0.25">
      <c r="A102" s="99" t="s">
        <v>241</v>
      </c>
      <c r="B102" s="49">
        <v>684903861</v>
      </c>
      <c r="C102" s="49">
        <v>191017125</v>
      </c>
      <c r="D102" s="49">
        <v>110382950.77202199</v>
      </c>
      <c r="E102" s="50">
        <f>VLOOKUP($A102,'Data shares'!$C:$FA,154)*100</f>
        <v>28.249999999999996</v>
      </c>
      <c r="F102" s="173">
        <f>C102/B102</f>
        <v>0.27889625957299136</v>
      </c>
    </row>
    <row r="103" spans="1:6" x14ac:dyDescent="0.25">
      <c r="A103" s="99" t="s">
        <v>662</v>
      </c>
      <c r="B103" s="49">
        <v>119011160</v>
      </c>
      <c r="C103" s="49">
        <v>76869300</v>
      </c>
      <c r="D103" s="49">
        <v>35668549.182719499</v>
      </c>
      <c r="E103" s="50">
        <f>VLOOKUP($A103,'Data shares'!$C:$FA,154)*100</f>
        <v>65.36999999999999</v>
      </c>
      <c r="F103" s="173">
        <f>C103/B103</f>
        <v>0.64589993072918539</v>
      </c>
    </row>
    <row r="104" spans="1:6" x14ac:dyDescent="0.25">
      <c r="A104" s="99" t="s">
        <v>591</v>
      </c>
      <c r="B104" s="49">
        <v>267310350</v>
      </c>
      <c r="C104" s="49">
        <v>114548300</v>
      </c>
      <c r="D104" s="49">
        <v>46031941.055698</v>
      </c>
      <c r="E104" s="50">
        <f>VLOOKUP($A104,'Data shares'!$C:$FA,154)*100</f>
        <v>43.25</v>
      </c>
      <c r="F104" s="173">
        <f>C104/B104</f>
        <v>0.42852175383407337</v>
      </c>
    </row>
    <row r="105" spans="1:6" x14ac:dyDescent="0.25">
      <c r="A105" s="99" t="s">
        <v>242</v>
      </c>
      <c r="B105" s="49">
        <v>1317896781</v>
      </c>
      <c r="C105" s="49">
        <v>323755275</v>
      </c>
      <c r="D105" s="49">
        <v>186260186.52743101</v>
      </c>
      <c r="E105" s="50">
        <f>VLOOKUP($A105,'Data shares'!$C:$FA,154)*100</f>
        <v>24.85</v>
      </c>
      <c r="F105" s="173">
        <f>C105/B105</f>
        <v>0.245660570438862</v>
      </c>
    </row>
    <row r="106" spans="1:6" x14ac:dyDescent="0.25">
      <c r="A106" s="99" t="s">
        <v>243</v>
      </c>
      <c r="B106" s="49">
        <v>45844541</v>
      </c>
      <c r="C106" s="49">
        <v>18698125</v>
      </c>
      <c r="D106" s="49">
        <v>11877922.6377875</v>
      </c>
      <c r="E106" s="50">
        <f>VLOOKUP($A106,'Data shares'!$C:$FA,154)*100</f>
        <v>41.260000000000005</v>
      </c>
      <c r="F106" s="173">
        <f>C106/B106</f>
        <v>0.40785935668981832</v>
      </c>
    </row>
    <row r="107" spans="1:6" x14ac:dyDescent="0.25">
      <c r="A107" s="99" t="s">
        <v>569</v>
      </c>
      <c r="B107" s="49">
        <v>490240515</v>
      </c>
      <c r="C107" s="49">
        <v>295317450</v>
      </c>
      <c r="D107" s="49">
        <v>178096624.13855901</v>
      </c>
      <c r="E107" s="50">
        <f>VLOOKUP($A107,'Data shares'!$C:$FA,154)*100</f>
        <v>61.240000000000009</v>
      </c>
      <c r="F107" s="173">
        <f>C107/B107</f>
        <v>0.60239299071395602</v>
      </c>
    </row>
    <row r="108" spans="1:6" x14ac:dyDescent="0.25">
      <c r="A108" s="99" t="s">
        <v>579</v>
      </c>
      <c r="B108" s="49">
        <v>75294901</v>
      </c>
      <c r="C108" s="49">
        <v>33492450</v>
      </c>
      <c r="D108" s="49">
        <v>22926739.536049999</v>
      </c>
      <c r="E108" s="50">
        <f>VLOOKUP($A108,'Data shares'!$C:$FA,154)*100</f>
        <v>44.72</v>
      </c>
      <c r="F108" s="173">
        <f>C108/B108</f>
        <v>0.44481697372840689</v>
      </c>
    </row>
    <row r="109" spans="1:6" x14ac:dyDescent="0.25">
      <c r="A109" s="99" t="s">
        <v>244</v>
      </c>
      <c r="B109" s="49">
        <v>133242960</v>
      </c>
      <c r="C109" s="49">
        <v>57494475</v>
      </c>
      <c r="D109" s="49">
        <v>48732842.082550503</v>
      </c>
      <c r="E109" s="50">
        <f>VLOOKUP($A109,'Data shares'!$C:$FA,154)*100</f>
        <v>43.28</v>
      </c>
      <c r="F109" s="173">
        <f>C109/B109</f>
        <v>0.43150103390077793</v>
      </c>
    </row>
    <row r="110" spans="1:6" x14ac:dyDescent="0.25">
      <c r="A110" s="99" t="s">
        <v>245</v>
      </c>
      <c r="B110" s="49">
        <v>58777851</v>
      </c>
      <c r="C110" s="49">
        <v>50063750</v>
      </c>
      <c r="D110" s="49">
        <v>34804548.440624997</v>
      </c>
      <c r="E110" s="50">
        <f>VLOOKUP($A110,'Data shares'!$C:$FA,154)*100</f>
        <v>86.2</v>
      </c>
      <c r="F110" s="173">
        <f>C110/B110</f>
        <v>0.85174515822295038</v>
      </c>
    </row>
    <row r="111" spans="1:6" x14ac:dyDescent="0.25">
      <c r="A111" s="99" t="s">
        <v>581</v>
      </c>
      <c r="B111" s="49">
        <v>57686748</v>
      </c>
      <c r="C111" s="49">
        <v>38432050</v>
      </c>
      <c r="D111" s="49">
        <v>23397194.2779442</v>
      </c>
      <c r="E111" s="50">
        <f>VLOOKUP($A111,'Data shares'!$C:$FA,154)*100</f>
        <v>66.94</v>
      </c>
      <c r="F111" s="173">
        <f>C111/B111</f>
        <v>0.66621973559681336</v>
      </c>
    </row>
    <row r="112" spans="1:6" x14ac:dyDescent="0.25">
      <c r="A112" s="99" t="s">
        <v>673</v>
      </c>
      <c r="B112" s="49">
        <v>4679418</v>
      </c>
      <c r="C112" s="49">
        <v>4314000</v>
      </c>
      <c r="D112" s="49">
        <v>2351187.2097359998</v>
      </c>
      <c r="E112" s="50"/>
      <c r="F112" s="173">
        <f>C112/B112</f>
        <v>0.92190951951717071</v>
      </c>
    </row>
    <row r="113" spans="1:6" x14ac:dyDescent="0.25">
      <c r="A113" s="99" t="s">
        <v>609</v>
      </c>
      <c r="B113" s="49">
        <v>9320940</v>
      </c>
      <c r="C113" s="49">
        <v>2887150</v>
      </c>
      <c r="D113" s="49">
        <v>1446204.3878939999</v>
      </c>
      <c r="E113" s="50">
        <f>VLOOKUP($A113,'Data shares'!$C:$FA,154)*100</f>
        <v>32.15</v>
      </c>
      <c r="F113" s="173">
        <f>C113/B113</f>
        <v>0.30974880215943884</v>
      </c>
    </row>
    <row r="114" spans="1:6" x14ac:dyDescent="0.25">
      <c r="A114" s="99" t="s">
        <v>679</v>
      </c>
      <c r="B114" s="49">
        <v>19953342</v>
      </c>
      <c r="C114" s="49">
        <v>11275325</v>
      </c>
      <c r="D114" s="49">
        <v>3717543.59062025</v>
      </c>
      <c r="E114" s="50"/>
      <c r="F114" s="173">
        <f>C114/B114</f>
        <v>0.5650845357133657</v>
      </c>
    </row>
    <row r="115" spans="1:6" x14ac:dyDescent="0.25">
      <c r="A115" s="99" t="s">
        <v>246</v>
      </c>
      <c r="B115" s="49">
        <v>882793124</v>
      </c>
      <c r="C115" s="49">
        <v>296998000</v>
      </c>
      <c r="D115" s="49">
        <v>214451878.30276</v>
      </c>
      <c r="E115" s="50">
        <f>VLOOKUP($A115,'Data shares'!$C:$FA,154)*100</f>
        <v>33.93</v>
      </c>
      <c r="F115" s="173">
        <f>C115/B115</f>
        <v>0.33642989724963013</v>
      </c>
    </row>
    <row r="116" spans="1:6" x14ac:dyDescent="0.25">
      <c r="A116" s="99" t="s">
        <v>576</v>
      </c>
      <c r="B116" s="49">
        <v>24611073</v>
      </c>
      <c r="C116" s="49">
        <v>14941275</v>
      </c>
      <c r="D116" s="49">
        <v>6545754.5477769999</v>
      </c>
      <c r="E116" s="50">
        <f>VLOOKUP($A116,'Data shares'!$C:$FA,154)*100</f>
        <v>61.9</v>
      </c>
      <c r="F116" s="173">
        <f>C116/B116</f>
        <v>0.60709563536705613</v>
      </c>
    </row>
    <row r="117" spans="1:6" x14ac:dyDescent="0.25">
      <c r="A117" s="99" t="s">
        <v>535</v>
      </c>
      <c r="B117" s="49">
        <v>58713729</v>
      </c>
      <c r="C117" s="49">
        <v>29914050</v>
      </c>
      <c r="D117" s="49">
        <v>18190697.978638999</v>
      </c>
      <c r="E117" s="50">
        <f>VLOOKUP($A117,'Data shares'!$C:$FA,154)*100</f>
        <v>51.78</v>
      </c>
      <c r="F117" s="173">
        <f>C117/B117</f>
        <v>0.50948986735282986</v>
      </c>
    </row>
    <row r="118" spans="1:6" x14ac:dyDescent="0.25">
      <c r="A118" s="99" t="s">
        <v>248</v>
      </c>
      <c r="B118" s="49">
        <v>45183075</v>
      </c>
      <c r="C118" s="49">
        <v>41084000</v>
      </c>
      <c r="D118" s="49">
        <v>30198758.622019999</v>
      </c>
      <c r="E118" s="50">
        <f>VLOOKUP($A118,'Data shares'!$C:$FA,154)*100</f>
        <v>92.43</v>
      </c>
      <c r="F118" s="173">
        <f>C118/B118</f>
        <v>0.90927852962641431</v>
      </c>
    </row>
    <row r="119" spans="1:6" x14ac:dyDescent="0.25">
      <c r="A119" s="99" t="s">
        <v>606</v>
      </c>
      <c r="B119" s="49">
        <v>33206238</v>
      </c>
      <c r="C119" s="49">
        <v>19152000</v>
      </c>
      <c r="D119" s="49">
        <v>7838793.4393159999</v>
      </c>
      <c r="E119" s="50">
        <f>VLOOKUP($A119,'Data shares'!$C:$FA,154)*100</f>
        <v>58.42</v>
      </c>
      <c r="F119" s="173">
        <f>C119/B119</f>
        <v>0.57675910170854039</v>
      </c>
    </row>
    <row r="120" spans="1:6" x14ac:dyDescent="0.25">
      <c r="A120" s="99" t="s">
        <v>587</v>
      </c>
      <c r="B120" s="49">
        <v>42165698</v>
      </c>
      <c r="C120" s="49">
        <v>18220775</v>
      </c>
      <c r="D120" s="49">
        <v>13337190.551371999</v>
      </c>
      <c r="E120" s="50">
        <f>VLOOKUP($A120,'Data shares'!$C:$FA,154)*100</f>
        <v>43.45</v>
      </c>
      <c r="F120" s="173">
        <f>C120/B120</f>
        <v>0.432123167983606</v>
      </c>
    </row>
    <row r="121" spans="1:6" x14ac:dyDescent="0.25">
      <c r="A121" s="99" t="s">
        <v>249</v>
      </c>
      <c r="B121" s="49">
        <v>136099497</v>
      </c>
      <c r="C121" s="49">
        <v>30413775</v>
      </c>
      <c r="D121" s="49">
        <v>17940977.288704701</v>
      </c>
      <c r="E121" s="50">
        <f>VLOOKUP($A121,'Data shares'!$C:$FA,154)*100</f>
        <v>22.73</v>
      </c>
      <c r="F121" s="173">
        <f>C121/B121</f>
        <v>0.22346721090379931</v>
      </c>
    </row>
    <row r="122" spans="1:6" x14ac:dyDescent="0.25">
      <c r="A122" s="99" t="s">
        <v>564</v>
      </c>
      <c r="B122" s="49">
        <v>127514625</v>
      </c>
      <c r="C122" s="49">
        <v>69099750</v>
      </c>
      <c r="D122" s="49">
        <v>36512981.958532497</v>
      </c>
      <c r="E122" s="50">
        <f>VLOOKUP($A122,'Data shares'!$C:$FA,154)*100</f>
        <v>54.98</v>
      </c>
      <c r="F122" s="173">
        <f>C122/B122</f>
        <v>0.54189666479433241</v>
      </c>
    </row>
    <row r="123" spans="1:6" x14ac:dyDescent="0.25">
      <c r="A123" s="99" t="s">
        <v>690</v>
      </c>
      <c r="B123" s="49">
        <v>12564965</v>
      </c>
      <c r="C123" s="49">
        <v>5270400</v>
      </c>
      <c r="D123" s="49">
        <v>2777332.6118474999</v>
      </c>
      <c r="E123" s="50">
        <f>VLOOKUP($A123,'Data shares'!$C:$FA,154)*100</f>
        <v>42.19</v>
      </c>
      <c r="F123" s="173">
        <f>C123/B123</f>
        <v>0.41945202394117292</v>
      </c>
    </row>
    <row r="124" spans="1:6" x14ac:dyDescent="0.25">
      <c r="A124" s="99" t="s">
        <v>250</v>
      </c>
      <c r="B124" s="49">
        <v>32222448</v>
      </c>
      <c r="C124" s="49">
        <v>13599575</v>
      </c>
      <c r="D124" s="49">
        <v>7622384.0529802497</v>
      </c>
      <c r="E124" s="50">
        <f>VLOOKUP($A124,'Data shares'!$C:$FA,154)*100</f>
        <v>43.14</v>
      </c>
      <c r="F124" s="173">
        <f>C124/B124</f>
        <v>0.4220528185816298</v>
      </c>
    </row>
    <row r="125" spans="1:6" x14ac:dyDescent="0.25">
      <c r="A125" s="99" t="s">
        <v>251</v>
      </c>
      <c r="B125" s="49">
        <v>120808308</v>
      </c>
      <c r="C125" s="49">
        <v>29966200</v>
      </c>
      <c r="D125" s="49">
        <v>19818971.103578001</v>
      </c>
      <c r="E125" s="50">
        <f>VLOOKUP($A125,'Data shares'!$C:$FA,154)*100</f>
        <v>25.180000000000003</v>
      </c>
      <c r="F125" s="173">
        <f>C125/B125</f>
        <v>0.24804751010998349</v>
      </c>
    </row>
    <row r="126" spans="1:6" x14ac:dyDescent="0.25">
      <c r="A126" s="99" t="s">
        <v>253</v>
      </c>
      <c r="B126" s="49">
        <v>82205057</v>
      </c>
      <c r="C126" s="49">
        <v>69090000</v>
      </c>
      <c r="D126" s="49">
        <v>47174464.37934</v>
      </c>
      <c r="E126" s="50">
        <f>VLOOKUP($A126,'Data shares'!$C:$FA,154)*100</f>
        <v>85.78</v>
      </c>
      <c r="F126" s="173">
        <f>C126/B126</f>
        <v>0.8404592432798873</v>
      </c>
    </row>
    <row r="127" spans="1:6" x14ac:dyDescent="0.25">
      <c r="A127" s="99" t="s">
        <v>669</v>
      </c>
      <c r="B127" s="49">
        <v>16926669</v>
      </c>
      <c r="C127" s="49">
        <v>5703225</v>
      </c>
      <c r="D127" s="49">
        <v>3940666.30214475</v>
      </c>
      <c r="E127" s="50">
        <f>VLOOKUP($A127,'Data shares'!$C:$FA,154)*100</f>
        <v>33.910000000000004</v>
      </c>
      <c r="F127" s="173">
        <f>C127/B127</f>
        <v>0.33693723200944026</v>
      </c>
    </row>
    <row r="128" spans="1:6" x14ac:dyDescent="0.25">
      <c r="A128" s="99" t="s">
        <v>254</v>
      </c>
      <c r="B128" s="49">
        <v>77572761</v>
      </c>
      <c r="C128" s="49">
        <v>34668000</v>
      </c>
      <c r="D128" s="49">
        <v>21622251.278220002</v>
      </c>
      <c r="E128" s="50">
        <f>VLOOKUP($A128,'Data shares'!$C:$FA,154)*100</f>
        <v>45.440000000000005</v>
      </c>
      <c r="F128" s="173">
        <f>C128/B128</f>
        <v>0.44690945059954745</v>
      </c>
    </row>
    <row r="129" spans="1:6" x14ac:dyDescent="0.25">
      <c r="A129" s="99" t="s">
        <v>255</v>
      </c>
      <c r="B129" s="49">
        <v>19673414</v>
      </c>
      <c r="C129" s="49">
        <v>6046950</v>
      </c>
      <c r="D129" s="49">
        <v>3287269.6609209999</v>
      </c>
      <c r="E129" s="50">
        <f>VLOOKUP($A129,'Data shares'!$C:$FA,154)*100</f>
        <v>31.490000000000002</v>
      </c>
      <c r="F129" s="173">
        <f>C129/B129</f>
        <v>0.307366581112968</v>
      </c>
    </row>
    <row r="130" spans="1:6" x14ac:dyDescent="0.25">
      <c r="A130" s="99" t="s">
        <v>602</v>
      </c>
      <c r="B130" s="49">
        <v>111298748</v>
      </c>
      <c r="C130" s="49">
        <v>17038350</v>
      </c>
      <c r="D130" s="49">
        <v>13188613.6246252</v>
      </c>
      <c r="E130" s="50">
        <f>VLOOKUP($A130,'Data shares'!$C:$FA,154)*100</f>
        <v>15.370000000000001</v>
      </c>
      <c r="F130" s="173">
        <f>C130/B130</f>
        <v>0.15308662771300896</v>
      </c>
    </row>
    <row r="131" spans="1:6" x14ac:dyDescent="0.25">
      <c r="A131" s="99" t="s">
        <v>670</v>
      </c>
      <c r="B131" s="49">
        <v>11364224</v>
      </c>
      <c r="C131" s="49">
        <v>10994575</v>
      </c>
      <c r="D131" s="49">
        <v>4922620.681504</v>
      </c>
      <c r="E131" s="50"/>
      <c r="F131" s="173">
        <f>C131/B131</f>
        <v>0.9674725700584571</v>
      </c>
    </row>
    <row r="132" spans="1:6" x14ac:dyDescent="0.25">
      <c r="A132" s="99" t="s">
        <v>517</v>
      </c>
      <c r="B132" s="49">
        <v>38177113</v>
      </c>
      <c r="C132" s="49">
        <v>20370350</v>
      </c>
      <c r="D132" s="49">
        <v>13100053.1215625</v>
      </c>
      <c r="E132" s="50">
        <f>VLOOKUP($A132,'Data shares'!$C:$FA,154)*100</f>
        <v>55.600000000000009</v>
      </c>
      <c r="F132" s="173">
        <f>C132/B132</f>
        <v>0.53357491961217707</v>
      </c>
    </row>
    <row r="133" spans="1:6" x14ac:dyDescent="0.25">
      <c r="A133" s="99" t="s">
        <v>257</v>
      </c>
      <c r="B133" s="49">
        <v>35051266</v>
      </c>
      <c r="C133" s="49">
        <v>10541600</v>
      </c>
      <c r="D133" s="49">
        <v>9425368.3801600002</v>
      </c>
      <c r="E133" s="50">
        <f>VLOOKUP($A133,'Data shares'!$C:$FA,154)*100</f>
        <v>30.18</v>
      </c>
      <c r="F133" s="173">
        <f>C133/B133</f>
        <v>0.30074805286633582</v>
      </c>
    </row>
    <row r="134" spans="1:6" x14ac:dyDescent="0.25">
      <c r="A134" s="99" t="s">
        <v>558</v>
      </c>
      <c r="B134" s="49">
        <v>588447385</v>
      </c>
      <c r="C134" s="49">
        <v>187427400</v>
      </c>
      <c r="D134" s="49">
        <v>132649838.188906</v>
      </c>
      <c r="E134" s="50">
        <f>VLOOKUP($A134,'Data shares'!$C:$FA,154)*100</f>
        <v>32.22</v>
      </c>
      <c r="F134" s="173">
        <f>C134/B134</f>
        <v>0.31851173915914333</v>
      </c>
    </row>
    <row r="135" spans="1:6" x14ac:dyDescent="0.25">
      <c r="A135" s="99" t="s">
        <v>696</v>
      </c>
      <c r="B135" s="49">
        <v>29196111</v>
      </c>
      <c r="C135" s="49">
        <v>6295325</v>
      </c>
      <c r="D135" s="49">
        <v>2871159.0246120002</v>
      </c>
      <c r="E135" s="50">
        <f>VLOOKUP($A135,'Data shares'!$C:$FA,154)*100</f>
        <v>21.959999999999997</v>
      </c>
      <c r="F135" s="173">
        <f>C135/B135</f>
        <v>0.21562203952437364</v>
      </c>
    </row>
    <row r="136" spans="1:6" x14ac:dyDescent="0.25">
      <c r="A136" s="99" t="s">
        <v>487</v>
      </c>
      <c r="B136" s="49">
        <v>19838356</v>
      </c>
      <c r="C136" s="49">
        <v>7238825</v>
      </c>
      <c r="D136" s="49">
        <v>4792267.1686340002</v>
      </c>
      <c r="E136" s="50">
        <f>VLOOKUP($A136,'Data shares'!$C:$FA,154)*100</f>
        <v>36.82</v>
      </c>
      <c r="F136" s="173">
        <f>C136/B136</f>
        <v>0.36489036692354954</v>
      </c>
    </row>
    <row r="137" spans="1:6" x14ac:dyDescent="0.25">
      <c r="A137" s="99" t="s">
        <v>262</v>
      </c>
      <c r="B137" s="49">
        <v>16050690</v>
      </c>
      <c r="C137" s="49">
        <v>5788475</v>
      </c>
      <c r="D137" s="49">
        <v>3706892.6893020002</v>
      </c>
      <c r="E137" s="50">
        <f>VLOOKUP($A137,'Data shares'!$C:$FA,154)*100</f>
        <v>36.76</v>
      </c>
      <c r="F137" s="173">
        <f>C137/B137</f>
        <v>0.36063714394832869</v>
      </c>
    </row>
    <row r="138" spans="1:6" x14ac:dyDescent="0.25">
      <c r="A138" s="99" t="s">
        <v>486</v>
      </c>
      <c r="B138" s="49">
        <v>26709548</v>
      </c>
      <c r="C138" s="49">
        <v>5585000</v>
      </c>
      <c r="D138" s="49">
        <v>3387837.10654375</v>
      </c>
      <c r="E138" s="50"/>
      <c r="F138" s="173">
        <f>C138/B138</f>
        <v>0.20910125472733571</v>
      </c>
    </row>
    <row r="139" spans="1:6" x14ac:dyDescent="0.25">
      <c r="A139" s="99" t="s">
        <v>263</v>
      </c>
      <c r="B139" s="49">
        <v>134225816</v>
      </c>
      <c r="C139" s="49">
        <v>96451875</v>
      </c>
      <c r="D139" s="49">
        <v>52791560.742150001</v>
      </c>
      <c r="E139" s="50">
        <f>VLOOKUP($A139,'Data shares'!$C:$FA,154)*100</f>
        <v>73.5</v>
      </c>
      <c r="F139" s="173">
        <f>C139/B139</f>
        <v>0.71857916661873744</v>
      </c>
    </row>
    <row r="140" spans="1:6" x14ac:dyDescent="0.25">
      <c r="A140" s="99" t="s">
        <v>264</v>
      </c>
      <c r="B140" s="49">
        <v>60562281</v>
      </c>
      <c r="C140" s="49">
        <v>14719750</v>
      </c>
      <c r="D140" s="49">
        <v>11107017.0794212</v>
      </c>
      <c r="E140" s="50">
        <f>VLOOKUP($A140,'Data shares'!$C:$FA,154)*100</f>
        <v>24.610000000000003</v>
      </c>
      <c r="F140" s="173">
        <f>C140/B140</f>
        <v>0.24305144649356916</v>
      </c>
    </row>
    <row r="141" spans="1:6" x14ac:dyDescent="0.25">
      <c r="A141" s="99" t="s">
        <v>550</v>
      </c>
      <c r="B141" s="49">
        <v>154894704</v>
      </c>
      <c r="C141" s="49">
        <v>105131000</v>
      </c>
      <c r="D141" s="49">
        <v>71479876.018720001</v>
      </c>
      <c r="E141" s="50">
        <f>VLOOKUP($A141,'Data shares'!$C:$FA,154)*100</f>
        <v>68.31</v>
      </c>
      <c r="F141" s="173">
        <f>C141/B141</f>
        <v>0.67872559413006139</v>
      </c>
    </row>
    <row r="142" spans="1:6" x14ac:dyDescent="0.25">
      <c r="A142" s="99" t="s">
        <v>265</v>
      </c>
      <c r="B142" s="49">
        <v>71801274</v>
      </c>
      <c r="C142" s="49">
        <v>22942000</v>
      </c>
      <c r="D142" s="49">
        <v>14428633.235859999</v>
      </c>
      <c r="E142" s="50">
        <f>VLOOKUP($A142,'Data shares'!$C:$FA,154)*100</f>
        <v>32.36</v>
      </c>
      <c r="F142" s="173">
        <f>C142/B142</f>
        <v>0.31952079290403679</v>
      </c>
    </row>
    <row r="143" spans="1:6" x14ac:dyDescent="0.25">
      <c r="A143" s="99" t="s">
        <v>584</v>
      </c>
      <c r="B143" s="49">
        <v>491233252</v>
      </c>
      <c r="C143" s="49">
        <v>166917600</v>
      </c>
      <c r="D143" s="49">
        <v>95502958.324671999</v>
      </c>
      <c r="E143" s="50">
        <f>VLOOKUP($A143,'Data shares'!$C:$FA,154)*100</f>
        <v>34.300000000000004</v>
      </c>
      <c r="F143" s="173">
        <f>C143/B143</f>
        <v>0.33979295847830759</v>
      </c>
    </row>
    <row r="144" spans="1:6" x14ac:dyDescent="0.25">
      <c r="A144" s="99" t="s">
        <v>267</v>
      </c>
      <c r="B144" s="49">
        <v>517037525</v>
      </c>
      <c r="C144" s="49">
        <v>430197750</v>
      </c>
      <c r="D144" s="49">
        <v>288173704.51709998</v>
      </c>
      <c r="E144" s="50"/>
      <c r="F144" s="173">
        <f>C144/B144</f>
        <v>0.83204357362649839</v>
      </c>
    </row>
    <row r="145" spans="1:6" x14ac:dyDescent="0.25">
      <c r="A145" s="99" t="s">
        <v>268</v>
      </c>
      <c r="B145" s="49">
        <v>550512361</v>
      </c>
      <c r="C145" s="49">
        <v>166477500</v>
      </c>
      <c r="D145" s="49">
        <v>104201343.025455</v>
      </c>
      <c r="E145" s="50"/>
      <c r="F145" s="173">
        <f>C145/B145</f>
        <v>0.30240465390748966</v>
      </c>
    </row>
    <row r="146" spans="1:6" x14ac:dyDescent="0.25">
      <c r="A146" s="99" t="s">
        <v>681</v>
      </c>
      <c r="B146" s="49">
        <v>12490416</v>
      </c>
      <c r="C146" s="49">
        <v>2576500</v>
      </c>
      <c r="D146" s="49">
        <v>1093686.6064200001</v>
      </c>
      <c r="E146" s="50">
        <f>VLOOKUP($A146,'Data shares'!$C:$FA,154)*100</f>
        <v>21.19</v>
      </c>
      <c r="F146" s="173">
        <f>C146/B146</f>
        <v>0.20627815758898663</v>
      </c>
    </row>
    <row r="147" spans="1:6" x14ac:dyDescent="0.25">
      <c r="A147" s="99" t="s">
        <v>612</v>
      </c>
      <c r="B147" s="49">
        <v>205669742</v>
      </c>
      <c r="C147" s="49">
        <v>57059375</v>
      </c>
      <c r="D147" s="49">
        <v>46769255.060468704</v>
      </c>
      <c r="E147" s="50">
        <f>VLOOKUP($A147,'Data shares'!$C:$FA,154)*100</f>
        <v>27.900000000000002</v>
      </c>
      <c r="F147" s="173">
        <f>C147/B147</f>
        <v>0.2774320347034811</v>
      </c>
    </row>
    <row r="148" spans="1:6" x14ac:dyDescent="0.25">
      <c r="A148" s="99" t="s">
        <v>528</v>
      </c>
      <c r="B148" s="49">
        <v>17614093</v>
      </c>
      <c r="C148" s="49">
        <v>8378650</v>
      </c>
      <c r="D148" s="49">
        <v>6785210.9897039998</v>
      </c>
      <c r="E148" s="50">
        <f>VLOOKUP($A148,'Data shares'!$C:$FA,154)*100</f>
        <v>48.19</v>
      </c>
      <c r="F148" s="173">
        <f>C148/B148</f>
        <v>0.47567876472549564</v>
      </c>
    </row>
    <row r="149" spans="1:6" x14ac:dyDescent="0.25">
      <c r="A149" s="99" t="s">
        <v>518</v>
      </c>
      <c r="B149" s="49">
        <v>3594855</v>
      </c>
      <c r="C149" s="49">
        <v>2544300</v>
      </c>
      <c r="D149" s="49">
        <v>1175973.308213</v>
      </c>
      <c r="E149" s="50">
        <f>VLOOKUP($A149,'Data shares'!$C:$FA,154)*100</f>
        <v>72.47</v>
      </c>
      <c r="F149" s="173">
        <f>C149/B149</f>
        <v>0.70776150915683667</v>
      </c>
    </row>
    <row r="150" spans="1:6" x14ac:dyDescent="0.25">
      <c r="A150" s="99" t="s">
        <v>586</v>
      </c>
      <c r="B150" s="49">
        <v>105756420</v>
      </c>
      <c r="C150" s="49">
        <v>35919800</v>
      </c>
      <c r="D150" s="49">
        <v>18873409.775626</v>
      </c>
      <c r="E150" s="50">
        <f>VLOOKUP($A150,'Data shares'!$C:$FA,154)*100</f>
        <v>34.46</v>
      </c>
      <c r="F150" s="173">
        <f>C150/B150</f>
        <v>0.33964651980466054</v>
      </c>
    </row>
    <row r="151" spans="1:6" x14ac:dyDescent="0.25">
      <c r="A151" s="99" t="s">
        <v>269</v>
      </c>
      <c r="B151" s="49">
        <v>711370982</v>
      </c>
      <c r="C151" s="49">
        <v>177072750</v>
      </c>
      <c r="D151" s="49">
        <v>107876454.64461</v>
      </c>
      <c r="E151" s="50">
        <f>VLOOKUP($A151,'Data shares'!$C:$FA,154)*100</f>
        <v>25.19</v>
      </c>
      <c r="F151" s="173">
        <f>C151/B151</f>
        <v>0.24891758938797984</v>
      </c>
    </row>
    <row r="152" spans="1:6" x14ac:dyDescent="0.25">
      <c r="A152" s="99" t="s">
        <v>270</v>
      </c>
      <c r="B152" s="49">
        <v>955549</v>
      </c>
      <c r="C152" s="49">
        <v>338385</v>
      </c>
      <c r="D152" s="49">
        <v>293746.41598679998</v>
      </c>
      <c r="E152" s="50">
        <f>VLOOKUP($A152,'Data shares'!$C:$FA,154)*100</f>
        <v>35.72</v>
      </c>
      <c r="F152" s="173">
        <f>C152/B152</f>
        <v>0.35412626668020164</v>
      </c>
    </row>
    <row r="153" spans="1:6" x14ac:dyDescent="0.25">
      <c r="A153" s="99" t="s">
        <v>663</v>
      </c>
      <c r="B153" s="49">
        <v>51786533</v>
      </c>
      <c r="C153" s="49">
        <v>41186950</v>
      </c>
      <c r="D153" s="49">
        <v>21860502.73325</v>
      </c>
      <c r="E153" s="50">
        <f>VLOOKUP($A153,'Data shares'!$C:$FA,154)*100</f>
        <v>79.86999999999999</v>
      </c>
      <c r="F153" s="173">
        <f>C153/B153</f>
        <v>0.79532163313578064</v>
      </c>
    </row>
    <row r="154" spans="1:6" x14ac:dyDescent="0.25">
      <c r="A154" s="99" t="s">
        <v>574</v>
      </c>
      <c r="B154" s="49">
        <v>95930888</v>
      </c>
      <c r="C154" s="49">
        <v>26419000</v>
      </c>
      <c r="D154" s="49">
        <v>13911771.3290902</v>
      </c>
      <c r="E154" s="50">
        <f>VLOOKUP($A154,'Data shares'!$C:$FA,154)*100</f>
        <v>28.1</v>
      </c>
      <c r="F154" s="173">
        <f>C154/B154</f>
        <v>0.27539617896584051</v>
      </c>
    </row>
    <row r="155" spans="1:6" x14ac:dyDescent="0.25">
      <c r="A155" s="99" t="s">
        <v>529</v>
      </c>
      <c r="B155" s="49">
        <v>16286398</v>
      </c>
      <c r="C155" s="49">
        <v>6185850</v>
      </c>
      <c r="D155" s="49">
        <v>3216298.1228029998</v>
      </c>
      <c r="E155" s="50">
        <f>VLOOKUP($A155,'Data shares'!$C:$FA,154)*100</f>
        <v>38.440000000000005</v>
      </c>
      <c r="F155" s="173">
        <f>C155/B155</f>
        <v>0.37981694908843566</v>
      </c>
    </row>
    <row r="156" spans="1:6" x14ac:dyDescent="0.25">
      <c r="A156" s="99" t="s">
        <v>272</v>
      </c>
      <c r="B156" s="49">
        <v>112500013</v>
      </c>
      <c r="C156" s="49">
        <v>56061400</v>
      </c>
      <c r="D156" s="49">
        <v>30530487.632793002</v>
      </c>
      <c r="E156" s="50">
        <f>VLOOKUP($A156,'Data shares'!$C:$FA,154)*100</f>
        <v>50.43</v>
      </c>
      <c r="F156" s="173">
        <f>C156/B156</f>
        <v>0.49832349797150688</v>
      </c>
    </row>
    <row r="157" spans="1:6" x14ac:dyDescent="0.25">
      <c r="A157" s="99" t="s">
        <v>273</v>
      </c>
      <c r="B157" s="49">
        <v>217835555</v>
      </c>
      <c r="C157" s="49">
        <v>89362000</v>
      </c>
      <c r="D157" s="49">
        <v>57215290.369080998</v>
      </c>
      <c r="E157" s="50">
        <f>VLOOKUP($A157,'Data shares'!$C:$FA,154)*100</f>
        <v>41.47</v>
      </c>
      <c r="F157" s="173">
        <f>C157/B157</f>
        <v>0.41022687962945259</v>
      </c>
    </row>
    <row r="158" spans="1:6" x14ac:dyDescent="0.25">
      <c r="A158" s="99" t="s">
        <v>676</v>
      </c>
      <c r="B158" s="49">
        <v>24101986</v>
      </c>
      <c r="C158" s="49">
        <v>19388550</v>
      </c>
      <c r="D158" s="49">
        <v>9810269.2511720005</v>
      </c>
      <c r="E158" s="50">
        <f>VLOOKUP($A158,'Data shares'!$C:$FA,154)*100</f>
        <v>81.45</v>
      </c>
      <c r="F158" s="173">
        <f>C158/B158</f>
        <v>0.80443785835739845</v>
      </c>
    </row>
    <row r="159" spans="1:6" x14ac:dyDescent="0.25">
      <c r="A159" s="99" t="s">
        <v>644</v>
      </c>
      <c r="B159" s="49">
        <v>21502901</v>
      </c>
      <c r="C159" s="49">
        <v>5820150</v>
      </c>
      <c r="D159" s="49">
        <v>3955069.7736760001</v>
      </c>
      <c r="E159" s="50">
        <f>VLOOKUP($A159,'Data shares'!$C:$FA,154)*100</f>
        <v>27.139999999999997</v>
      </c>
      <c r="F159" s="173">
        <f>C159/B159</f>
        <v>0.27066812984908406</v>
      </c>
    </row>
    <row r="160" spans="1:6" x14ac:dyDescent="0.25">
      <c r="A160" s="99" t="s">
        <v>274</v>
      </c>
      <c r="B160" s="49">
        <v>31214205</v>
      </c>
      <c r="C160" s="49">
        <v>10246500</v>
      </c>
      <c r="D160" s="49">
        <v>7645210.3452000003</v>
      </c>
      <c r="E160" s="50">
        <f>VLOOKUP($A160,'Data shares'!$C:$FA,154)*100</f>
        <v>33.06</v>
      </c>
      <c r="F160" s="173">
        <f>C160/B160</f>
        <v>0.3282640067238618</v>
      </c>
    </row>
    <row r="161" spans="1:6" x14ac:dyDescent="0.25">
      <c r="A161" s="99" t="s">
        <v>483</v>
      </c>
      <c r="B161" s="49">
        <v>8178275</v>
      </c>
      <c r="C161" s="49">
        <v>4234475</v>
      </c>
      <c r="D161" s="49">
        <v>2634013.7167854998</v>
      </c>
      <c r="E161" s="50"/>
      <c r="F161" s="173">
        <f>C161/B161</f>
        <v>0.51777116812530755</v>
      </c>
    </row>
    <row r="162" spans="1:6" x14ac:dyDescent="0.25">
      <c r="A162" s="99" t="s">
        <v>275</v>
      </c>
      <c r="B162" s="49">
        <v>515822637</v>
      </c>
      <c r="C162" s="49">
        <v>467784000</v>
      </c>
      <c r="D162" s="49">
        <v>272865154.44992</v>
      </c>
      <c r="E162" s="50">
        <f>VLOOKUP($A162,'Data shares'!$C:$FA,154)*100</f>
        <v>91.990000000000009</v>
      </c>
      <c r="F162" s="173">
        <f>C162/B162</f>
        <v>0.9068698549575287</v>
      </c>
    </row>
    <row r="163" spans="1:6" x14ac:dyDescent="0.25">
      <c r="A163" s="99" t="s">
        <v>667</v>
      </c>
      <c r="B163" s="49">
        <v>28118603</v>
      </c>
      <c r="C163" s="49">
        <v>14333150</v>
      </c>
      <c r="D163" s="49">
        <v>10673699.708509499</v>
      </c>
      <c r="E163" s="50">
        <f>VLOOKUP($A163,'Data shares'!$C:$FA,154)*100</f>
        <v>51.4</v>
      </c>
      <c r="F163" s="173">
        <f>C163/B163</f>
        <v>0.50973905069181424</v>
      </c>
    </row>
    <row r="164" spans="1:6" x14ac:dyDescent="0.25">
      <c r="A164" s="99" t="s">
        <v>572</v>
      </c>
      <c r="B164" s="49">
        <v>69300607</v>
      </c>
      <c r="C164" s="49">
        <v>11610550</v>
      </c>
      <c r="D164" s="49">
        <v>8496227.0282645002</v>
      </c>
      <c r="E164" s="50">
        <f>VLOOKUP($A164,'Data shares'!$C:$FA,154)*100</f>
        <v>16.91</v>
      </c>
      <c r="F164" s="173">
        <f>C164/B164</f>
        <v>0.16753893656371582</v>
      </c>
    </row>
    <row r="165" spans="1:6" x14ac:dyDescent="0.25">
      <c r="A165" s="99" t="s">
        <v>519</v>
      </c>
      <c r="B165" s="49">
        <v>8693344</v>
      </c>
      <c r="C165" s="49">
        <v>4552500</v>
      </c>
      <c r="D165" s="49">
        <v>2224337.8183900001</v>
      </c>
      <c r="E165" s="50">
        <f>VLOOKUP($A165,'Data shares'!$C:$FA,154)*100</f>
        <v>53.81</v>
      </c>
      <c r="F165" s="173">
        <f>C165/B165</f>
        <v>0.52367650469140525</v>
      </c>
    </row>
    <row r="166" spans="1:6" x14ac:dyDescent="0.25">
      <c r="A166" s="99" t="s">
        <v>276</v>
      </c>
      <c r="B166" s="49">
        <v>660840864</v>
      </c>
      <c r="C166" s="49">
        <v>117000100</v>
      </c>
      <c r="D166" s="49">
        <v>80597221.622041002</v>
      </c>
      <c r="E166" s="50">
        <f>VLOOKUP($A166,'Data shares'!$C:$FA,154)*100</f>
        <v>17.899999999999999</v>
      </c>
      <c r="F166" s="173">
        <f>C166/B166</f>
        <v>0.17704731407166732</v>
      </c>
    </row>
    <row r="167" spans="1:6" x14ac:dyDescent="0.25">
      <c r="A167" s="99" t="s">
        <v>683</v>
      </c>
      <c r="B167" s="49">
        <v>1917916</v>
      </c>
      <c r="C167" s="49">
        <v>817600</v>
      </c>
      <c r="D167" s="49">
        <v>393888.97136025003</v>
      </c>
      <c r="E167" s="50">
        <f>VLOOKUP($A167,'Data shares'!$C:$FA,154)*100</f>
        <v>43.919999999999995</v>
      </c>
      <c r="F167" s="173">
        <f>C167/B167</f>
        <v>0.42629604216243044</v>
      </c>
    </row>
    <row r="168" spans="1:6" x14ac:dyDescent="0.25">
      <c r="A168" s="99" t="s">
        <v>686</v>
      </c>
      <c r="B168" s="49">
        <v>23961540</v>
      </c>
      <c r="C168" s="49">
        <v>15039350</v>
      </c>
      <c r="D168" s="49">
        <v>7495234.6315745004</v>
      </c>
      <c r="E168" s="50">
        <f>VLOOKUP($A168,'Data shares'!$C:$FA,154)*100</f>
        <v>63.480000000000004</v>
      </c>
      <c r="F168" s="173">
        <f>C168/B168</f>
        <v>0.62764538506289658</v>
      </c>
    </row>
    <row r="169" spans="1:6" x14ac:dyDescent="0.25">
      <c r="A169" s="99" t="s">
        <v>604</v>
      </c>
      <c r="B169" s="49">
        <v>25234534</v>
      </c>
      <c r="C169" s="49">
        <v>7726500</v>
      </c>
      <c r="D169" s="49">
        <v>5766809.4602730004</v>
      </c>
      <c r="E169" s="50">
        <f>VLOOKUP($A169,'Data shares'!$C:$FA,154)*100</f>
        <v>30.78</v>
      </c>
      <c r="F169" s="173">
        <f>C169/B169</f>
        <v>0.30618754441829599</v>
      </c>
    </row>
    <row r="170" spans="1:6" x14ac:dyDescent="0.25">
      <c r="A170" s="99" t="s">
        <v>279</v>
      </c>
      <c r="B170" s="49">
        <v>92573471</v>
      </c>
      <c r="C170" s="49">
        <v>100596700</v>
      </c>
      <c r="D170" s="49">
        <v>57741229.7850895</v>
      </c>
      <c r="E170" s="50">
        <f>VLOOKUP($A170,'Data shares'!$C:$FA,154)*100</f>
        <v>110.00000000000001</v>
      </c>
      <c r="F170" s="173">
        <f>C170/B170</f>
        <v>1.0866687714453311</v>
      </c>
    </row>
    <row r="171" spans="1:6" x14ac:dyDescent="0.25">
      <c r="A171" s="99" t="s">
        <v>280</v>
      </c>
      <c r="B171" s="49">
        <v>187084550</v>
      </c>
      <c r="C171" s="49">
        <v>112634375</v>
      </c>
      <c r="D171" s="49">
        <v>65279718.546728</v>
      </c>
      <c r="E171" s="50">
        <f>VLOOKUP($A171,'Data shares'!$C:$FA,154)*100</f>
        <v>60.91</v>
      </c>
      <c r="F171" s="173">
        <f>C171/B171</f>
        <v>0.60205065036102656</v>
      </c>
    </row>
    <row r="172" spans="1:6" x14ac:dyDescent="0.25">
      <c r="A172" s="99" t="s">
        <v>281</v>
      </c>
      <c r="B172" s="49">
        <v>664381721</v>
      </c>
      <c r="C172" s="49">
        <v>177603500</v>
      </c>
      <c r="D172" s="49">
        <v>99311034.045375004</v>
      </c>
      <c r="E172" s="50">
        <f>VLOOKUP($A172,'Data shares'!$C:$FA,154)*100</f>
        <v>27.21</v>
      </c>
      <c r="F172" s="173">
        <f>C172/B172</f>
        <v>0.26732147256050109</v>
      </c>
    </row>
    <row r="173" spans="1:6" x14ac:dyDescent="0.25">
      <c r="A173" s="99" t="s">
        <v>672</v>
      </c>
      <c r="B173" s="49">
        <v>84941460</v>
      </c>
      <c r="C173" s="49">
        <v>77417950</v>
      </c>
      <c r="D173" s="49">
        <v>39649706.022107497</v>
      </c>
      <c r="E173" s="50">
        <f>VLOOKUP($A173,'Data shares'!$C:$FA,154)*100</f>
        <v>92.89</v>
      </c>
      <c r="F173" s="173">
        <f>C173/B173</f>
        <v>0.91142711698150702</v>
      </c>
    </row>
    <row r="174" spans="1:6" x14ac:dyDescent="0.25">
      <c r="A174" s="99" t="s">
        <v>282</v>
      </c>
      <c r="B174" s="49">
        <v>216861410</v>
      </c>
      <c r="C174" s="49">
        <v>211274400</v>
      </c>
      <c r="D174" s="49">
        <v>181081463.527228</v>
      </c>
      <c r="E174" s="50">
        <f>VLOOKUP($A174,'Data shares'!$C:$FA,154)*100</f>
        <v>98.25</v>
      </c>
      <c r="F174" s="173">
        <f>C174/B174</f>
        <v>0.97423695622010387</v>
      </c>
    </row>
    <row r="175" spans="1:6" x14ac:dyDescent="0.25">
      <c r="A175" s="99" t="s">
        <v>682</v>
      </c>
      <c r="B175" s="49">
        <v>122372064</v>
      </c>
      <c r="C175" s="49">
        <v>138494400</v>
      </c>
      <c r="D175" s="49">
        <v>85721903.027177006</v>
      </c>
      <c r="E175" s="50">
        <f>VLOOKUP($A175,'Data shares'!$C:$FA,154)*100</f>
        <v>114.41</v>
      </c>
      <c r="F175" s="173">
        <f>C175/B175</f>
        <v>1.1317485010304313</v>
      </c>
    </row>
    <row r="176" spans="1:6" x14ac:dyDescent="0.25">
      <c r="A176" s="99" t="s">
        <v>536</v>
      </c>
      <c r="B176" s="49">
        <v>44841373</v>
      </c>
      <c r="C176" s="49">
        <v>40005600</v>
      </c>
      <c r="D176" s="49">
        <v>22667029.709199999</v>
      </c>
      <c r="E176" s="50"/>
      <c r="F176" s="173">
        <f>C176/B176</f>
        <v>0.89215823074819767</v>
      </c>
    </row>
    <row r="177" spans="1:6" x14ac:dyDescent="0.25">
      <c r="A177" s="99" t="s">
        <v>462</v>
      </c>
      <c r="B177" s="49">
        <v>45527821</v>
      </c>
      <c r="C177" s="49">
        <v>16429500</v>
      </c>
      <c r="D177" s="49">
        <v>10441806.542497501</v>
      </c>
      <c r="E177" s="50">
        <f>VLOOKUP($A177,'Data shares'!$C:$FA,154)*100</f>
        <v>36.43</v>
      </c>
      <c r="F177" s="173">
        <f>C177/B177</f>
        <v>0.36086725960374866</v>
      </c>
    </row>
    <row r="178" spans="1:6" x14ac:dyDescent="0.25">
      <c r="A178" s="99" t="s">
        <v>283</v>
      </c>
      <c r="B178" s="49">
        <v>580324288</v>
      </c>
      <c r="C178" s="49">
        <v>156335250</v>
      </c>
      <c r="D178" s="49">
        <v>95271191.083087504</v>
      </c>
      <c r="E178" s="50">
        <f>VLOOKUP($A178,'Data shares'!$C:$FA,154)*100</f>
        <v>27.310000000000002</v>
      </c>
      <c r="F178" s="173">
        <f>C178/B178</f>
        <v>0.26939291226080819</v>
      </c>
    </row>
    <row r="179" spans="1:6" x14ac:dyDescent="0.25">
      <c r="A179" s="99" t="s">
        <v>284</v>
      </c>
      <c r="B179" s="49">
        <v>1655049</v>
      </c>
      <c r="C179" s="49">
        <v>538300</v>
      </c>
      <c r="D179" s="49">
        <v>400776.97565550002</v>
      </c>
      <c r="E179" s="50"/>
      <c r="F179" s="173">
        <f>C179/B179</f>
        <v>0.32524716790862385</v>
      </c>
    </row>
    <row r="180" spans="1:6" x14ac:dyDescent="0.25">
      <c r="A180" s="99" t="s">
        <v>561</v>
      </c>
      <c r="B180" s="49">
        <v>210567108</v>
      </c>
      <c r="C180" s="49">
        <v>68721675</v>
      </c>
      <c r="D180" s="49">
        <v>43096428.611486197</v>
      </c>
      <c r="E180" s="50">
        <f>VLOOKUP($A180,'Data shares'!$C:$FA,154)*100</f>
        <v>33.01</v>
      </c>
      <c r="F180" s="173">
        <f>C180/B180</f>
        <v>0.32636471884298285</v>
      </c>
    </row>
    <row r="181" spans="1:6" x14ac:dyDescent="0.25">
      <c r="A181" s="99" t="s">
        <v>285</v>
      </c>
      <c r="B181" s="49">
        <v>10374894</v>
      </c>
      <c r="C181" s="49">
        <v>4558050</v>
      </c>
      <c r="D181" s="49">
        <v>2805689.7730032499</v>
      </c>
      <c r="E181" s="50">
        <f>VLOOKUP($A181,'Data shares'!$C:$FA,154)*100</f>
        <v>44.330000000000005</v>
      </c>
      <c r="F181" s="173">
        <f>C181/B181</f>
        <v>0.43933460910540389</v>
      </c>
    </row>
    <row r="182" spans="1:6" x14ac:dyDescent="0.25">
      <c r="A182" s="99" t="s">
        <v>645</v>
      </c>
      <c r="B182" s="49">
        <v>3644817</v>
      </c>
      <c r="C182" s="49">
        <v>938850</v>
      </c>
      <c r="D182" s="49">
        <v>680284.57759100001</v>
      </c>
      <c r="E182" s="50">
        <f>VLOOKUP($A182,'Data shares'!$C:$FA,154)*100</f>
        <v>26.07</v>
      </c>
      <c r="F182" s="173">
        <f>C182/B182</f>
        <v>0.25758494870935905</v>
      </c>
    </row>
    <row r="183" spans="1:6" x14ac:dyDescent="0.25">
      <c r="A183" s="99" t="s">
        <v>613</v>
      </c>
      <c r="B183" s="49">
        <v>61283708</v>
      </c>
      <c r="C183" s="49">
        <v>23087575</v>
      </c>
      <c r="D183" s="49">
        <v>13840635.515749</v>
      </c>
      <c r="E183" s="50">
        <f>VLOOKUP($A183,'Data shares'!$C:$FA,154)*100</f>
        <v>37.93</v>
      </c>
      <c r="F183" s="173">
        <f>C183/B183</f>
        <v>0.3767326709408641</v>
      </c>
    </row>
    <row r="184" spans="1:6" x14ac:dyDescent="0.25">
      <c r="A184" s="99" t="s">
        <v>286</v>
      </c>
      <c r="B184" s="49">
        <v>19721628</v>
      </c>
      <c r="C184" s="49">
        <v>7391000</v>
      </c>
      <c r="D184" s="49">
        <v>4053304.8128979998</v>
      </c>
      <c r="E184" s="50">
        <f>VLOOKUP($A184,'Data shares'!$C:$FA,154)*100</f>
        <v>38.71</v>
      </c>
      <c r="F184" s="173">
        <f>C184/B184</f>
        <v>0.37476622112535535</v>
      </c>
    </row>
    <row r="185" spans="1:6" x14ac:dyDescent="0.25">
      <c r="A185" s="99" t="s">
        <v>288</v>
      </c>
      <c r="B185" s="49">
        <v>121755902</v>
      </c>
      <c r="C185" s="49">
        <v>44699550</v>
      </c>
      <c r="D185" s="49">
        <v>28613721.039354499</v>
      </c>
      <c r="E185" s="50">
        <f>VLOOKUP($A185,'Data shares'!$C:$FA,154)*100</f>
        <v>37.21</v>
      </c>
      <c r="F185" s="173">
        <f>C185/B185</f>
        <v>0.36712429759667831</v>
      </c>
    </row>
    <row r="186" spans="1:6" x14ac:dyDescent="0.25">
      <c r="A186" s="99" t="s">
        <v>573</v>
      </c>
      <c r="B186" s="49">
        <v>9724371</v>
      </c>
      <c r="C186" s="49">
        <v>3458350</v>
      </c>
      <c r="D186" s="49">
        <v>2107975.377564</v>
      </c>
      <c r="E186" s="50">
        <f>VLOOKUP($A186,'Data shares'!$C:$FA,154)*100</f>
        <v>36.11</v>
      </c>
      <c r="F186" s="173">
        <f>C186/B186</f>
        <v>0.35563739803839239</v>
      </c>
    </row>
    <row r="187" spans="1:6" x14ac:dyDescent="0.25">
      <c r="A187" s="99" t="s">
        <v>680</v>
      </c>
      <c r="B187" s="49">
        <v>1815546735</v>
      </c>
      <c r="C187" s="49">
        <v>511853450</v>
      </c>
      <c r="D187" s="49">
        <v>269222545.70933402</v>
      </c>
      <c r="E187" s="50">
        <f>VLOOKUP($A187,'Data shares'!$C:$FA,154)*100</f>
        <v>28.54</v>
      </c>
      <c r="F187" s="173">
        <f>C187/B187</f>
        <v>0.28192799454429907</v>
      </c>
    </row>
    <row r="188" spans="1:6" x14ac:dyDescent="0.25">
      <c r="A188" s="99" t="s">
        <v>689</v>
      </c>
      <c r="B188" s="49">
        <v>389472858</v>
      </c>
      <c r="C188" s="49">
        <v>58686750</v>
      </c>
      <c r="D188" s="49">
        <v>41790268.685828201</v>
      </c>
      <c r="E188" s="50">
        <f>VLOOKUP($A188,'Data shares'!$C:$FA,154)*100</f>
        <v>15.25</v>
      </c>
      <c r="F188" s="173">
        <f>C188/B188</f>
        <v>0.15068251559650403</v>
      </c>
    </row>
    <row r="189" spans="1:6" x14ac:dyDescent="0.25">
      <c r="A189" s="99" t="s">
        <v>291</v>
      </c>
      <c r="B189" s="49">
        <v>65472757</v>
      </c>
      <c r="C189" s="49">
        <v>13858900</v>
      </c>
      <c r="D189" s="49">
        <v>9210815.5071569998</v>
      </c>
      <c r="E189" s="50">
        <f>VLOOKUP($A189,'Data shares'!$C:$FA,154)*100</f>
        <v>21.38</v>
      </c>
      <c r="F189" s="173">
        <f>C189/B189</f>
        <v>0.21167429989239647</v>
      </c>
    </row>
    <row r="190" spans="1:6" x14ac:dyDescent="0.25">
      <c r="A190" s="99" t="s">
        <v>603</v>
      </c>
      <c r="B190" s="49">
        <v>5241946</v>
      </c>
      <c r="C190" s="49">
        <v>4286125</v>
      </c>
      <c r="D190" s="49">
        <v>1728620.956183</v>
      </c>
      <c r="E190" s="50">
        <f>VLOOKUP($A190,'Data shares'!$C:$FA,154)*100</f>
        <v>82.69</v>
      </c>
      <c r="F190" s="173">
        <f>C190/B190</f>
        <v>0.81765912888076298</v>
      </c>
    </row>
    <row r="191" spans="1:6" x14ac:dyDescent="0.25">
      <c r="A191" s="99" t="s">
        <v>293</v>
      </c>
      <c r="B191" s="49">
        <v>169808198</v>
      </c>
      <c r="C191" s="49">
        <v>95108400</v>
      </c>
      <c r="D191" s="49">
        <v>52557716.590418003</v>
      </c>
      <c r="E191" s="50">
        <f>VLOOKUP($A191,'Data shares'!$C:$FA,154)*100</f>
        <v>56.95</v>
      </c>
      <c r="F191" s="173">
        <f>C191/B191</f>
        <v>0.56009309986317624</v>
      </c>
    </row>
    <row r="192" spans="1:6" x14ac:dyDescent="0.25">
      <c r="A192" s="99" t="s">
        <v>294</v>
      </c>
      <c r="B192" s="49">
        <v>1049350971</v>
      </c>
      <c r="C192" s="49">
        <v>316371000</v>
      </c>
      <c r="D192" s="49">
        <v>190303438.59219</v>
      </c>
      <c r="E192" s="50">
        <f>VLOOKUP($A192,'Data shares'!$C:$FA,154)*100</f>
        <v>30.9</v>
      </c>
      <c r="F192" s="173">
        <f>C192/B192</f>
        <v>0.30149207342754725</v>
      </c>
    </row>
    <row r="193" spans="1:6" x14ac:dyDescent="0.25">
      <c r="A193" s="99" t="s">
        <v>295</v>
      </c>
      <c r="B193" s="49">
        <v>153229333</v>
      </c>
      <c r="C193" s="49">
        <v>60445050</v>
      </c>
      <c r="D193" s="49">
        <v>34332595.618842199</v>
      </c>
      <c r="E193" s="50"/>
      <c r="F193" s="173">
        <f>C193/B193</f>
        <v>0.39447440523675714</v>
      </c>
    </row>
    <row r="194" spans="1:6" x14ac:dyDescent="0.25">
      <c r="A194" s="99" t="s">
        <v>296</v>
      </c>
      <c r="B194" s="49">
        <v>95553300</v>
      </c>
      <c r="C194" s="49">
        <v>30366600</v>
      </c>
      <c r="D194" s="49">
        <v>18867405.577470001</v>
      </c>
      <c r="E194" s="50">
        <f>VLOOKUP($A194,'Data shares'!$C:$FA,154)*100</f>
        <v>32.25</v>
      </c>
      <c r="F194" s="173">
        <f>C194/B194</f>
        <v>0.3177975014991633</v>
      </c>
    </row>
    <row r="195" spans="1:6" x14ac:dyDescent="0.25">
      <c r="A195" s="99" t="s">
        <v>594</v>
      </c>
      <c r="B195" s="49">
        <v>16239060</v>
      </c>
      <c r="C195" s="49">
        <v>3086800</v>
      </c>
      <c r="D195" s="49">
        <v>2398570.6893580002</v>
      </c>
      <c r="E195" s="50">
        <f>VLOOKUP($A195,'Data shares'!$C:$FA,154)*100</f>
        <v>19.059999999999999</v>
      </c>
      <c r="F195" s="173">
        <f>C195/B195</f>
        <v>0.19008489407638127</v>
      </c>
    </row>
    <row r="196" spans="1:6" x14ac:dyDescent="0.25">
      <c r="A196" s="99" t="s">
        <v>297</v>
      </c>
      <c r="B196" s="49">
        <v>41744334</v>
      </c>
      <c r="C196" s="49">
        <v>11751250</v>
      </c>
      <c r="D196" s="49">
        <v>8319708.2546899999</v>
      </c>
      <c r="E196" s="50">
        <f>VLOOKUP($A196,'Data shares'!$C:$FA,154)*100</f>
        <v>28.720000000000002</v>
      </c>
      <c r="F196" s="173">
        <f>C196/B196</f>
        <v>0.28150526967324474</v>
      </c>
    </row>
    <row r="197" spans="1:6" x14ac:dyDescent="0.25">
      <c r="A197" s="99" t="s">
        <v>685</v>
      </c>
      <c r="B197" s="49">
        <v>317244234</v>
      </c>
      <c r="C197" s="49">
        <v>111590400</v>
      </c>
      <c r="D197" s="49">
        <v>65798144.154008001</v>
      </c>
      <c r="E197" s="50"/>
      <c r="F197" s="173">
        <f>C197/B197</f>
        <v>0.35174918261871391</v>
      </c>
    </row>
    <row r="198" spans="1:6" x14ac:dyDescent="0.25">
      <c r="A198" s="99" t="s">
        <v>298</v>
      </c>
      <c r="B198" s="49">
        <v>10726004</v>
      </c>
      <c r="C198" s="49">
        <v>3201500</v>
      </c>
      <c r="D198" s="49">
        <v>2601704.7628812501</v>
      </c>
      <c r="E198" s="50">
        <f>VLOOKUP($A198,'Data shares'!$C:$FA,154)*100</f>
        <v>30.19</v>
      </c>
      <c r="F198" s="173">
        <f>C198/B198</f>
        <v>0.29848021686361481</v>
      </c>
    </row>
    <row r="199" spans="1:6" x14ac:dyDescent="0.25">
      <c r="A199" s="99" t="s">
        <v>482</v>
      </c>
      <c r="B199" s="49">
        <v>33590487</v>
      </c>
      <c r="C199" s="49">
        <v>11553500</v>
      </c>
      <c r="D199" s="49">
        <v>6750753.0711054998</v>
      </c>
      <c r="E199" s="50">
        <f>VLOOKUP($A199,'Data shares'!$C:$FA,154)*100</f>
        <v>35.010000000000005</v>
      </c>
      <c r="F199" s="173">
        <f>C199/B199</f>
        <v>0.34395154794867966</v>
      </c>
    </row>
    <row r="200" spans="1:6" x14ac:dyDescent="0.25">
      <c r="A200" s="99" t="s">
        <v>300</v>
      </c>
      <c r="B200" s="49">
        <v>32253708</v>
      </c>
      <c r="C200" s="49">
        <v>10967950</v>
      </c>
      <c r="D200" s="49">
        <v>8440537.0363877509</v>
      </c>
      <c r="E200" s="50">
        <f>VLOOKUP($A200,'Data shares'!$C:$FA,154)*100</f>
        <v>34.31</v>
      </c>
      <c r="F200" s="173">
        <f>C200/B200</f>
        <v>0.34005237475331518</v>
      </c>
    </row>
    <row r="201" spans="1:6" x14ac:dyDescent="0.25">
      <c r="A201" s="99" t="s">
        <v>302</v>
      </c>
      <c r="B201" s="49">
        <v>12994504</v>
      </c>
      <c r="C201" s="49">
        <v>4307350</v>
      </c>
      <c r="D201" s="49">
        <v>2792357.6000899998</v>
      </c>
      <c r="E201" s="50">
        <f>VLOOKUP($A201,'Data shares'!$C:$FA,154)*100</f>
        <v>33.72</v>
      </c>
      <c r="F201" s="173">
        <f>C201/B201</f>
        <v>0.33147475271083837</v>
      </c>
    </row>
    <row r="202" spans="1:6" x14ac:dyDescent="0.25">
      <c r="A202" s="99" t="s">
        <v>592</v>
      </c>
      <c r="B202" s="49">
        <v>289041713</v>
      </c>
      <c r="C202" s="49">
        <v>237764100</v>
      </c>
      <c r="D202" s="49">
        <v>123703802.48057</v>
      </c>
      <c r="E202" s="50">
        <f>VLOOKUP($A202,'Data shares'!$C:$FA,154)*100</f>
        <v>83.179999999999993</v>
      </c>
      <c r="F202" s="173">
        <f>C202/B202</f>
        <v>0.8225944190968727</v>
      </c>
    </row>
    <row r="203" spans="1:6" x14ac:dyDescent="0.25">
      <c r="A203" s="99" t="s">
        <v>568</v>
      </c>
      <c r="B203" s="49">
        <v>38847259</v>
      </c>
      <c r="C203" s="49">
        <v>18155600</v>
      </c>
      <c r="D203" s="49">
        <v>11514094.679388</v>
      </c>
      <c r="E203" s="50">
        <f>VLOOKUP($A203,'Data shares'!$C:$FA,154)*100</f>
        <v>47.07</v>
      </c>
      <c r="F203" s="173">
        <f>C203/B203</f>
        <v>0.46735858506773925</v>
      </c>
    </row>
    <row r="204" spans="1:6" x14ac:dyDescent="0.25">
      <c r="A204" s="99" t="s">
        <v>671</v>
      </c>
      <c r="B204" s="49">
        <v>27343613</v>
      </c>
      <c r="C204" s="49">
        <v>6179800</v>
      </c>
      <c r="D204" s="49">
        <v>4547372.3422654998</v>
      </c>
      <c r="E204" s="50">
        <f>VLOOKUP($A204,'Data shares'!$C:$FA,154)*100</f>
        <v>23.05</v>
      </c>
      <c r="F204" s="173">
        <f>C204/B204</f>
        <v>0.22600524663657287</v>
      </c>
    </row>
    <row r="205" spans="1:6" x14ac:dyDescent="0.25">
      <c r="A205" s="99" t="s">
        <v>303</v>
      </c>
      <c r="B205" s="49">
        <v>84189026</v>
      </c>
      <c r="C205" s="49">
        <v>36557900</v>
      </c>
      <c r="D205" s="49">
        <v>26366339.824344501</v>
      </c>
      <c r="E205" s="50">
        <f>VLOOKUP($A205,'Data shares'!$C:$FA,154)*100</f>
        <v>43.65</v>
      </c>
      <c r="F205" s="173">
        <f>C205/B205</f>
        <v>0.43423592998926014</v>
      </c>
    </row>
    <row r="206" spans="1:6" x14ac:dyDescent="0.25">
      <c r="A206" s="99" t="s">
        <v>585</v>
      </c>
      <c r="B206" s="49">
        <v>205765243</v>
      </c>
      <c r="C206" s="49">
        <v>67371300</v>
      </c>
      <c r="D206" s="49">
        <v>49065668.2512637</v>
      </c>
      <c r="E206" s="50">
        <f>VLOOKUP($A206,'Data shares'!$C:$FA,154)*100</f>
        <v>32.9</v>
      </c>
      <c r="F206" s="173">
        <f>C206/B206</f>
        <v>0.32741827053852823</v>
      </c>
    </row>
    <row r="207" spans="1:6" x14ac:dyDescent="0.25">
      <c r="A207" s="99" t="s">
        <v>304</v>
      </c>
      <c r="B207" s="49">
        <v>255495438</v>
      </c>
      <c r="C207" s="49">
        <v>74978850</v>
      </c>
      <c r="D207" s="49">
        <v>29758487.1167465</v>
      </c>
      <c r="E207" s="50">
        <f>VLOOKUP($A207,'Data shares'!$C:$FA,154)*100</f>
        <v>31.240000000000002</v>
      </c>
      <c r="F207" s="173">
        <f>C207/B207</f>
        <v>0.29346453536285844</v>
      </c>
    </row>
    <row r="208" spans="1:6" x14ac:dyDescent="0.25">
      <c r="A208" s="99" t="s">
        <v>695</v>
      </c>
      <c r="B208" s="49">
        <v>321828727</v>
      </c>
      <c r="C208" s="49">
        <v>35526250</v>
      </c>
      <c r="D208" s="49">
        <v>29521962.586671501</v>
      </c>
      <c r="E208" s="50">
        <f>VLOOKUP($A208,'Data shares'!$C:$FA,154)*100</f>
        <v>11.129999999999999</v>
      </c>
      <c r="F208" s="173">
        <f>C208/B208</f>
        <v>0.11038868509708892</v>
      </c>
    </row>
    <row r="209" spans="1:6" x14ac:dyDescent="0.25">
      <c r="A209" s="99" t="s">
        <v>305</v>
      </c>
      <c r="B209" s="49">
        <v>25134629</v>
      </c>
      <c r="C209" s="49">
        <v>17776875</v>
      </c>
      <c r="D209" s="49">
        <v>8789854.3673324995</v>
      </c>
      <c r="E209" s="50">
        <f>VLOOKUP($A209,'Data shares'!$C:$FA,154)*100</f>
        <v>71.94</v>
      </c>
      <c r="F209" s="173">
        <f>C209/B209</f>
        <v>0.7072662580378648</v>
      </c>
    </row>
    <row r="210" spans="1:6" x14ac:dyDescent="0.25">
      <c r="A210" s="99" t="s">
        <v>688</v>
      </c>
      <c r="B210" s="49">
        <v>15436318</v>
      </c>
      <c r="C210" s="49">
        <v>12279050</v>
      </c>
      <c r="D210" s="49">
        <v>4508414.15889375</v>
      </c>
      <c r="E210" s="50">
        <f>VLOOKUP($A210,'Data shares'!$C:$FA,154)*100</f>
        <v>82.01</v>
      </c>
      <c r="F210" s="173">
        <f>C210/B210</f>
        <v>0.79546495479038459</v>
      </c>
    </row>
    <row r="211" spans="1:6" x14ac:dyDescent="0.25">
      <c r="A211" s="99" t="s">
        <v>306</v>
      </c>
      <c r="B211" s="49">
        <v>428710078</v>
      </c>
      <c r="C211" s="49">
        <v>493290000</v>
      </c>
      <c r="D211" s="49">
        <v>238293214.46913001</v>
      </c>
      <c r="E211" s="50"/>
      <c r="F211" s="173">
        <f>C211/B211</f>
        <v>1.150637751044425</v>
      </c>
    </row>
    <row r="212" spans="1:6" x14ac:dyDescent="0.25">
      <c r="A212" s="99" t="s">
        <v>589</v>
      </c>
      <c r="B212" s="49">
        <v>3425130022</v>
      </c>
      <c r="C212" s="49">
        <v>1909975400</v>
      </c>
      <c r="D212" s="49">
        <v>1183735876.61919</v>
      </c>
      <c r="E212" s="50">
        <f>VLOOKUP($A212,'Data shares'!$C:$FA,154)*100</f>
        <v>56.620000000000005</v>
      </c>
      <c r="F212" s="173">
        <f>C212/B212</f>
        <v>0.55763588177149792</v>
      </c>
    </row>
    <row r="213" spans="1:6" x14ac:dyDescent="0.25">
      <c r="A213" s="99" t="s">
        <v>556</v>
      </c>
      <c r="B213" s="49">
        <v>25160867</v>
      </c>
      <c r="C213" s="49">
        <v>15339600</v>
      </c>
      <c r="D213" s="49">
        <v>9328100.9014800005</v>
      </c>
      <c r="E213" s="50">
        <f>VLOOKUP($A213,'Data shares'!$C:$FA,154)*100</f>
        <v>61.95</v>
      </c>
      <c r="F213" s="173">
        <f>C213/B213</f>
        <v>0.60966102638672981</v>
      </c>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7">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R15" sqref="R15"/>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1" t="s">
        <v>420</v>
      </c>
      <c r="B4" s="322"/>
      <c r="C4" s="322"/>
      <c r="D4" s="322"/>
      <c r="E4" s="322"/>
      <c r="F4" s="322"/>
      <c r="G4" s="322"/>
      <c r="H4" s="322"/>
      <c r="I4" s="322"/>
      <c r="J4" s="322"/>
      <c r="K4" s="322"/>
      <c r="L4" s="322"/>
      <c r="M4" s="322"/>
      <c r="N4" s="323"/>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578</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578</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578</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605</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605</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605</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608</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608</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608</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597</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597</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597</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588</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588</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588</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601</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601</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601</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583</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583</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583</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610</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610</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610</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596</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596</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596</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600</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600</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600</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611</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611</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611</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571</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571</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571</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599</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599</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599</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582</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582</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582</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630</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630</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630</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575</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575</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575</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607</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607</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607</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577</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577</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577</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593</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593</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593</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591</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591</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591</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569</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569</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569</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580</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580</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580</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579</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579</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579</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581</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581</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581</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609</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609</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609</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576</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576</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576</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606</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606</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606</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587</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587</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587</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564</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564</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564</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560</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560</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560</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602</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602</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602</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562</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562</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562</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558</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558</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558</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590</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590</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590</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584</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584</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584</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565</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565</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565</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612</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612</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612</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586</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586</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586</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574</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574</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574</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572</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572</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572</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595</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595</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595</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604</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604</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604</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563</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563</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563</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561</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561</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561</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598</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598</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598</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613</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613</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613</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573</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573</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573</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603</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603</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603</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594</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594</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594</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592</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592</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592</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568</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568</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568</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585</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585</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585</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589</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589</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589</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570</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570</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570</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556</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556</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556</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4" t="s">
        <v>380</v>
      </c>
      <c r="B3" s="325"/>
      <c r="C3" s="325"/>
      <c r="D3" s="325"/>
      <c r="E3" s="325"/>
      <c r="F3" s="325"/>
      <c r="G3" s="326"/>
    </row>
    <row r="4" spans="1:7" s="72" customFormat="1" x14ac:dyDescent="0.25">
      <c r="A4" s="108" t="s">
        <v>330</v>
      </c>
      <c r="B4" s="327" t="s">
        <v>380</v>
      </c>
      <c r="C4" s="327"/>
      <c r="D4" s="327"/>
      <c r="E4" s="327"/>
      <c r="F4" s="327"/>
      <c r="G4" s="327"/>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8.6900000000000013</v>
      </c>
      <c r="F6" s="49">
        <f>VLOOKUP($A6,'Data shares'!$C:$FA,129)</f>
        <v>1207750</v>
      </c>
      <c r="G6" s="17"/>
    </row>
    <row r="7" spans="1:7" x14ac:dyDescent="0.25">
      <c r="A7" s="101" t="s">
        <v>228</v>
      </c>
      <c r="B7" s="17">
        <v>292206563</v>
      </c>
      <c r="C7" s="17">
        <v>71903525</v>
      </c>
      <c r="D7" s="17">
        <f t="shared" ref="D7:D70" si="0">C7</f>
        <v>71903525</v>
      </c>
      <c r="E7" s="49">
        <f>VLOOKUP($A7,'Data shares'!$C:$FA,128)*100</f>
        <v>10.23</v>
      </c>
      <c r="F7" s="49">
        <f>VLOOKUP($A7,'Data shares'!$C:$FA,129)</f>
        <v>3341100</v>
      </c>
      <c r="G7" s="17"/>
    </row>
    <row r="8" spans="1:7" x14ac:dyDescent="0.25">
      <c r="A8" s="101" t="s">
        <v>200</v>
      </c>
      <c r="B8" s="17">
        <v>417418754</v>
      </c>
      <c r="C8" s="17">
        <v>109662000</v>
      </c>
      <c r="D8" s="17">
        <f t="shared" si="0"/>
        <v>109662000</v>
      </c>
      <c r="E8" s="49">
        <f>VLOOKUP($A8,'Data shares'!$C:$FA,128)*100</f>
        <v>4.1900000000000004</v>
      </c>
      <c r="F8" s="49">
        <f>VLOOKUP($A8,'Data shares'!$C:$FA,129)</f>
        <v>2058750</v>
      </c>
      <c r="G8" s="17"/>
    </row>
    <row r="9" spans="1:7" x14ac:dyDescent="0.25">
      <c r="A9" s="101" t="s">
        <v>214</v>
      </c>
      <c r="B9" s="17">
        <v>30110093</v>
      </c>
      <c r="C9" s="17">
        <v>10703050</v>
      </c>
      <c r="D9" s="17">
        <f t="shared" si="0"/>
        <v>10703050</v>
      </c>
      <c r="E9" s="49">
        <f>VLOOKUP($A9,'Data shares'!$C:$FA,128)*100</f>
        <v>0.57000000000000006</v>
      </c>
      <c r="F9" s="49">
        <f>VLOOKUP($A9,'Data shares'!$C:$FA,129)</f>
        <v>57000</v>
      </c>
      <c r="G9" s="17"/>
    </row>
    <row r="10" spans="1:7" x14ac:dyDescent="0.25">
      <c r="A10" s="101" t="s">
        <v>243</v>
      </c>
      <c r="B10" s="17">
        <v>80699820</v>
      </c>
      <c r="C10" s="17">
        <v>65367500</v>
      </c>
      <c r="D10" s="17">
        <f t="shared" si="0"/>
        <v>65367500</v>
      </c>
      <c r="E10" s="49">
        <f>VLOOKUP($A10,'Data shares'!$C:$FA,128)*100</f>
        <v>0.79</v>
      </c>
      <c r="F10" s="49">
        <f>VLOOKUP($A10,'Data shares'!$C:$FA,129)</f>
        <v>91875</v>
      </c>
      <c r="G10" s="17"/>
    </row>
    <row r="11" spans="1:7" x14ac:dyDescent="0.25">
      <c r="A11" s="101" t="s">
        <v>231</v>
      </c>
      <c r="B11" s="17">
        <v>80556813</v>
      </c>
      <c r="C11" s="17">
        <v>62967200</v>
      </c>
      <c r="D11" s="17">
        <f t="shared" si="0"/>
        <v>62967200</v>
      </c>
      <c r="E11" s="49">
        <f>VLOOKUP($A11,'Data shares'!$C:$FA,128)*100</f>
        <v>13.420000000000002</v>
      </c>
      <c r="F11" s="49">
        <f>VLOOKUP($A11,'Data shares'!$C:$FA,129)</f>
        <v>1063150</v>
      </c>
      <c r="G11" s="17"/>
    </row>
    <row r="12" spans="1:7" x14ac:dyDescent="0.25">
      <c r="A12" s="101" t="s">
        <v>195</v>
      </c>
      <c r="B12" s="17">
        <v>23823080</v>
      </c>
      <c r="C12" s="17">
        <v>2862400</v>
      </c>
      <c r="D12" s="17">
        <f t="shared" si="0"/>
        <v>2862400</v>
      </c>
      <c r="E12" s="49">
        <f>VLOOKUP($A12,'Data shares'!$C:$FA,128)*100</f>
        <v>12.770000000000001</v>
      </c>
      <c r="F12" s="49">
        <f>VLOOKUP($A12,'Data shares'!$C:$FA,129)</f>
        <v>337250</v>
      </c>
      <c r="G12" s="17"/>
    </row>
    <row r="13" spans="1:7" x14ac:dyDescent="0.25">
      <c r="A13" s="101" t="s">
        <v>304</v>
      </c>
      <c r="B13" s="17">
        <v>223492679</v>
      </c>
      <c r="C13" s="17">
        <v>98465300</v>
      </c>
      <c r="D13" s="17">
        <f t="shared" si="0"/>
        <v>98465300</v>
      </c>
      <c r="E13" s="49">
        <f>VLOOKUP($A13,'Data shares'!$C:$FA,128)*100</f>
        <v>5.81</v>
      </c>
      <c r="F13" s="49">
        <f>VLOOKUP($A13,'Data shares'!$C:$FA,129)</f>
        <v>1292600</v>
      </c>
      <c r="G13" s="17"/>
    </row>
    <row r="14" spans="1:7" x14ac:dyDescent="0.25">
      <c r="A14" s="101" t="s">
        <v>167</v>
      </c>
      <c r="B14" s="17">
        <v>282181803</v>
      </c>
      <c r="C14" s="17">
        <v>95526000</v>
      </c>
      <c r="D14" s="17">
        <f t="shared" si="0"/>
        <v>95526000</v>
      </c>
      <c r="E14" s="49">
        <f>VLOOKUP($A14,'Data shares'!$C:$FA,128)*100</f>
        <v>7.8299999999999992</v>
      </c>
      <c r="F14" s="49">
        <f>VLOOKUP($A14,'Data shares'!$C:$FA,129)</f>
        <v>10615000</v>
      </c>
      <c r="G14" s="17"/>
    </row>
    <row r="15" spans="1:7" x14ac:dyDescent="0.25">
      <c r="A15" s="101" t="s">
        <v>222</v>
      </c>
      <c r="B15" s="17">
        <v>214194964</v>
      </c>
      <c r="C15" s="17">
        <v>37437400</v>
      </c>
      <c r="D15" s="17">
        <f t="shared" si="0"/>
        <v>37437400</v>
      </c>
      <c r="E15" s="49">
        <f>VLOOKUP($A15,'Data shares'!$C:$FA,128)*100</f>
        <v>5.75</v>
      </c>
      <c r="F15" s="49">
        <f>VLOOKUP($A15,'Data shares'!$C:$FA,129)</f>
        <v>2234150</v>
      </c>
      <c r="G15" s="17"/>
    </row>
    <row r="16" spans="1:7" x14ac:dyDescent="0.25">
      <c r="A16" s="101" t="s">
        <v>290</v>
      </c>
      <c r="B16" s="17">
        <v>31601465</v>
      </c>
      <c r="C16" s="17">
        <v>13192000</v>
      </c>
      <c r="D16" s="17">
        <f t="shared" si="0"/>
        <v>13192000</v>
      </c>
      <c r="E16" s="49">
        <f>VLOOKUP($A16,'Data shares'!$C:$FA,128)*100</f>
        <v>3.0700000000000003</v>
      </c>
      <c r="F16" s="49">
        <f>VLOOKUP($A16,'Data shares'!$C:$FA,129)</f>
        <v>1299450</v>
      </c>
      <c r="G16" s="17"/>
    </row>
    <row r="17" spans="1:7" x14ac:dyDescent="0.25">
      <c r="A17" s="101" t="s">
        <v>500</v>
      </c>
      <c r="B17" s="17">
        <v>24930381</v>
      </c>
      <c r="C17" s="17">
        <v>1925625</v>
      </c>
      <c r="D17" s="17">
        <f t="shared" si="0"/>
        <v>1925625</v>
      </c>
      <c r="E17" s="49">
        <f>VLOOKUP($A17,'Data shares'!$C:$FA,128)*100</f>
        <v>2.29</v>
      </c>
      <c r="F17" s="49">
        <f>VLOOKUP($A17,'Data shares'!$C:$FA,129)</f>
        <v>505000</v>
      </c>
      <c r="G17" s="17"/>
    </row>
    <row r="18" spans="1:7" x14ac:dyDescent="0.25">
      <c r="A18" s="101" t="s">
        <v>491</v>
      </c>
      <c r="B18" s="17">
        <v>53841317</v>
      </c>
      <c r="C18" s="17">
        <v>9268750</v>
      </c>
      <c r="D18" s="17">
        <f t="shared" si="0"/>
        <v>9268750</v>
      </c>
      <c r="E18" s="49">
        <f>VLOOKUP($A18,'Data shares'!$C:$FA,128)*100</f>
        <v>5.52</v>
      </c>
      <c r="F18" s="49">
        <f>VLOOKUP($A18,'Data shares'!$C:$FA,129)</f>
        <v>813750</v>
      </c>
      <c r="G18" s="17"/>
    </row>
    <row r="19" spans="1:7" x14ac:dyDescent="0.25">
      <c r="A19" s="101" t="s">
        <v>257</v>
      </c>
      <c r="B19" s="17">
        <v>43771086</v>
      </c>
      <c r="C19" s="17">
        <v>2865850</v>
      </c>
      <c r="D19" s="17">
        <f t="shared" si="0"/>
        <v>2865850</v>
      </c>
      <c r="E19" s="49">
        <f>VLOOKUP($A19,'Data shares'!$C:$FA,128)*100</f>
        <v>0.33999999999999997</v>
      </c>
      <c r="F19" s="49">
        <f>VLOOKUP($A19,'Data shares'!$C:$FA,129)</f>
        <v>29600</v>
      </c>
      <c r="G19" s="17"/>
    </row>
    <row r="20" spans="1:7" x14ac:dyDescent="0.25">
      <c r="A20" s="101" t="s">
        <v>259</v>
      </c>
      <c r="B20" s="17">
        <v>12838406</v>
      </c>
      <c r="C20" s="17">
        <v>3561800</v>
      </c>
      <c r="D20" s="17">
        <f t="shared" si="0"/>
        <v>3561800</v>
      </c>
      <c r="E20" s="49">
        <f>VLOOKUP($A20,'Data shares'!$C:$FA,128)*100</f>
        <v>2.71</v>
      </c>
      <c r="F20" s="49">
        <f>VLOOKUP($A20,'Data shares'!$C:$FA,129)</f>
        <v>51360</v>
      </c>
      <c r="G20" s="17"/>
    </row>
    <row r="21" spans="1:7" x14ac:dyDescent="0.25">
      <c r="A21" s="101" t="s">
        <v>212</v>
      </c>
      <c r="B21" s="17">
        <v>393764205</v>
      </c>
      <c r="C21" s="17">
        <v>124730000</v>
      </c>
      <c r="D21" s="17">
        <f t="shared" si="0"/>
        <v>124730000</v>
      </c>
      <c r="E21" s="49">
        <f>VLOOKUP($A21,'Data shares'!$C:$FA,128)*100</f>
        <v>9.11</v>
      </c>
      <c r="F21" s="49">
        <f>VLOOKUP($A21,'Data shares'!$C:$FA,129)</f>
        <v>7192500</v>
      </c>
      <c r="G21" s="17"/>
    </row>
    <row r="22" spans="1:7" x14ac:dyDescent="0.25">
      <c r="A22" s="101" t="s">
        <v>209</v>
      </c>
      <c r="B22" s="17">
        <v>27768950</v>
      </c>
      <c r="C22" s="17">
        <v>5371100</v>
      </c>
      <c r="D22" s="17">
        <f t="shared" si="0"/>
        <v>5371100</v>
      </c>
      <c r="E22" s="49">
        <f>VLOOKUP($A22,'Data shares'!$C:$FA,128)*100</f>
        <v>16.25</v>
      </c>
      <c r="F22" s="49">
        <f>VLOOKUP($A22,'Data shares'!$C:$FA,129)</f>
        <v>546300</v>
      </c>
      <c r="G22" s="17"/>
    </row>
    <row r="23" spans="1:7" x14ac:dyDescent="0.25">
      <c r="A23" s="101" t="s">
        <v>501</v>
      </c>
      <c r="B23" s="17">
        <v>155792872</v>
      </c>
      <c r="C23" s="17">
        <v>50166406</v>
      </c>
      <c r="D23" s="17">
        <f t="shared" si="0"/>
        <v>50166406</v>
      </c>
      <c r="E23" s="49">
        <f>VLOOKUP($A23,'Data shares'!$C:$FA,128)*100</f>
        <v>8.42</v>
      </c>
      <c r="F23" s="49">
        <f>VLOOKUP($A23,'Data shares'!$C:$FA,129)</f>
        <v>1762000</v>
      </c>
      <c r="G23" s="17"/>
    </row>
    <row r="24" spans="1:7" x14ac:dyDescent="0.25">
      <c r="A24" s="101" t="s">
        <v>276</v>
      </c>
      <c r="B24" s="17">
        <v>678857930</v>
      </c>
      <c r="C24" s="17">
        <v>84677374</v>
      </c>
      <c r="D24" s="17">
        <f t="shared" si="0"/>
        <v>84677374</v>
      </c>
      <c r="E24" s="49">
        <f>VLOOKUP($A24,'Data shares'!$C:$FA,128)*100</f>
        <v>15.509999999999998</v>
      </c>
      <c r="F24" s="49">
        <f>VLOOKUP($A24,'Data shares'!$C:$FA,129)</f>
        <v>12380400</v>
      </c>
      <c r="G24" s="17"/>
    </row>
    <row r="25" spans="1:7" x14ac:dyDescent="0.25">
      <c r="A25" s="101" t="s">
        <v>210</v>
      </c>
      <c r="B25" s="17">
        <v>14114257</v>
      </c>
      <c r="C25" s="17">
        <v>11000000</v>
      </c>
      <c r="D25" s="17">
        <f t="shared" si="0"/>
        <v>11000000</v>
      </c>
      <c r="E25" s="49">
        <f>VLOOKUP($A25,'Data shares'!$C:$FA,128)*100</f>
        <v>16.25</v>
      </c>
      <c r="F25" s="49">
        <f>VLOOKUP($A25,'Data shares'!$C:$FA,129)</f>
        <v>546300</v>
      </c>
      <c r="G25" s="17"/>
    </row>
    <row r="26" spans="1:7" x14ac:dyDescent="0.25">
      <c r="A26" s="101" t="s">
        <v>267</v>
      </c>
      <c r="B26" s="17">
        <v>229794455</v>
      </c>
      <c r="C26" s="17">
        <v>133289800</v>
      </c>
      <c r="D26" s="17">
        <f t="shared" si="0"/>
        <v>133289800</v>
      </c>
      <c r="E26" s="49">
        <f>VLOOKUP($A26,'Data shares'!$C:$FA,128)*100</f>
        <v>2.69</v>
      </c>
      <c r="F26" s="49">
        <f>VLOOKUP($A26,'Data shares'!$C:$FA,129)</f>
        <v>8586000</v>
      </c>
      <c r="G26" s="17"/>
    </row>
    <row r="27" spans="1:7" x14ac:dyDescent="0.25">
      <c r="A27" s="101" t="s">
        <v>533</v>
      </c>
      <c r="B27" s="17">
        <v>61337685</v>
      </c>
      <c r="C27" s="17">
        <v>24741600</v>
      </c>
      <c r="D27" s="17">
        <f t="shared" si="0"/>
        <v>24741600</v>
      </c>
      <c r="E27" s="49">
        <f>VLOOKUP($A27,'Data shares'!$C:$FA,128)*100</f>
        <v>20.45</v>
      </c>
      <c r="F27" s="49">
        <f>VLOOKUP($A27,'Data shares'!$C:$FA,129)</f>
        <v>1915025</v>
      </c>
      <c r="G27" s="17"/>
    </row>
    <row r="28" spans="1:7" x14ac:dyDescent="0.25">
      <c r="A28" s="101" t="s">
        <v>502</v>
      </c>
      <c r="B28" s="17">
        <v>5165920</v>
      </c>
      <c r="C28" s="17">
        <v>1179400</v>
      </c>
      <c r="D28" s="17">
        <f t="shared" si="0"/>
        <v>1179400</v>
      </c>
      <c r="E28" s="49">
        <f>VLOOKUP($A28,'Data shares'!$C:$FA,128)*100</f>
        <v>3.7800000000000002</v>
      </c>
      <c r="F28" s="49">
        <f>VLOOKUP($A28,'Data shares'!$C:$FA,129)</f>
        <v>497025</v>
      </c>
      <c r="G28" s="17"/>
    </row>
    <row r="29" spans="1:7" x14ac:dyDescent="0.25">
      <c r="A29" s="101" t="s">
        <v>474</v>
      </c>
      <c r="B29" s="17">
        <v>7339737</v>
      </c>
      <c r="C29" s="17">
        <v>979625</v>
      </c>
      <c r="D29" s="17">
        <f t="shared" si="0"/>
        <v>979625</v>
      </c>
      <c r="E29" s="49">
        <f>VLOOKUP($A29,'Data shares'!$C:$FA,128)*100</f>
        <v>4.96</v>
      </c>
      <c r="F29" s="49">
        <f>VLOOKUP($A29,'Data shares'!$C:$FA,129)</f>
        <v>220975</v>
      </c>
      <c r="G29" s="17"/>
    </row>
    <row r="30" spans="1:7" x14ac:dyDescent="0.25">
      <c r="A30" s="101" t="s">
        <v>158</v>
      </c>
      <c r="B30" s="17">
        <v>17078428</v>
      </c>
      <c r="C30" s="17">
        <v>3648750</v>
      </c>
      <c r="D30" s="17">
        <f t="shared" si="0"/>
        <v>3648750</v>
      </c>
      <c r="E30" s="49">
        <f>VLOOKUP($A30,'Data shares'!$C:$FA,128)*100</f>
        <v>2.44</v>
      </c>
      <c r="F30" s="49">
        <f>VLOOKUP($A30,'Data shares'!$C:$FA,129)</f>
        <v>948600</v>
      </c>
      <c r="G30" s="17"/>
    </row>
    <row r="31" spans="1:7" x14ac:dyDescent="0.25">
      <c r="A31" s="101" t="s">
        <v>268</v>
      </c>
      <c r="B31" s="17">
        <v>948263976</v>
      </c>
      <c r="C31" s="17">
        <v>170042400</v>
      </c>
      <c r="D31" s="17">
        <f t="shared" si="0"/>
        <v>170042400</v>
      </c>
      <c r="E31" s="49">
        <f>VLOOKUP($A31,'Data shares'!$C:$FA,128)*100</f>
        <v>10.190000000000001</v>
      </c>
      <c r="F31" s="49">
        <f>VLOOKUP($A31,'Data shares'!$C:$FA,129)</f>
        <v>10714500</v>
      </c>
      <c r="G31" s="17"/>
    </row>
    <row r="32" spans="1:7" x14ac:dyDescent="0.25">
      <c r="A32" s="101" t="s">
        <v>556</v>
      </c>
      <c r="B32" s="17">
        <v>51441633</v>
      </c>
      <c r="C32" s="17">
        <v>26329600</v>
      </c>
      <c r="D32" s="17">
        <f t="shared" si="0"/>
        <v>26329600</v>
      </c>
      <c r="E32" s="49">
        <f>VLOOKUP($A32,'Data shares'!$C:$FA,128)*100</f>
        <v>3.38</v>
      </c>
      <c r="F32" s="49">
        <f>VLOOKUP($A32,'Data shares'!$C:$FA,129)</f>
        <v>280800</v>
      </c>
      <c r="G32" s="17"/>
    </row>
    <row r="33" spans="1:7" x14ac:dyDescent="0.25">
      <c r="A33" s="101" t="s">
        <v>549</v>
      </c>
      <c r="B33" s="17">
        <v>319287188</v>
      </c>
      <c r="C33" s="17">
        <v>149780000</v>
      </c>
      <c r="D33" s="17">
        <f t="shared" si="0"/>
        <v>149780000</v>
      </c>
      <c r="E33" s="49">
        <f>VLOOKUP($A33,'Data shares'!$C:$FA,128)*100</f>
        <v>3.36</v>
      </c>
      <c r="F33" s="49">
        <f>VLOOKUP($A33,'Data shares'!$C:$FA,129)</f>
        <v>227076075</v>
      </c>
      <c r="G33" s="17"/>
    </row>
    <row r="34" spans="1:7" x14ac:dyDescent="0.25">
      <c r="A34" s="101" t="s">
        <v>536</v>
      </c>
      <c r="B34" s="17">
        <v>57585215</v>
      </c>
      <c r="C34" s="17">
        <v>5314000</v>
      </c>
      <c r="D34" s="17">
        <f t="shared" si="0"/>
        <v>5314000</v>
      </c>
      <c r="E34" s="49">
        <f>VLOOKUP($A34,'Data shares'!$C:$FA,128)*100</f>
        <v>11.34</v>
      </c>
      <c r="F34" s="49">
        <f>VLOOKUP($A34,'Data shares'!$C:$FA,129)</f>
        <v>2740800</v>
      </c>
      <c r="G34" s="17"/>
    </row>
    <row r="35" spans="1:7" x14ac:dyDescent="0.25">
      <c r="A35" s="101" t="s">
        <v>270</v>
      </c>
      <c r="B35" s="17">
        <v>1178038</v>
      </c>
      <c r="C35" s="17">
        <v>100890</v>
      </c>
      <c r="D35" s="17">
        <f t="shared" si="0"/>
        <v>100890</v>
      </c>
      <c r="E35" s="49">
        <f>VLOOKUP($A35,'Data shares'!$C:$FA,128)*100</f>
        <v>1.23</v>
      </c>
      <c r="F35" s="49">
        <f>VLOOKUP($A35,'Data shares'!$C:$FA,129)</f>
        <v>3540</v>
      </c>
      <c r="G35" s="17"/>
    </row>
    <row r="36" spans="1:7" x14ac:dyDescent="0.25">
      <c r="A36" s="101" t="s">
        <v>258</v>
      </c>
      <c r="B36" s="17">
        <v>13335005</v>
      </c>
      <c r="C36" s="17">
        <v>5970600</v>
      </c>
      <c r="D36" s="17">
        <f t="shared" si="0"/>
        <v>5970600</v>
      </c>
      <c r="E36" s="49">
        <f>VLOOKUP($A36,'Data shares'!$C:$FA,128)*100</f>
        <v>0.33999999999999997</v>
      </c>
      <c r="F36" s="49">
        <f>VLOOKUP($A36,'Data shares'!$C:$FA,129)</f>
        <v>29600</v>
      </c>
      <c r="G36" s="17"/>
    </row>
    <row r="37" spans="1:7" x14ac:dyDescent="0.25">
      <c r="A37" s="101" t="s">
        <v>301</v>
      </c>
      <c r="B37" s="17">
        <v>14428803</v>
      </c>
      <c r="C37" s="17">
        <v>2171400</v>
      </c>
      <c r="D37" s="17">
        <f t="shared" si="0"/>
        <v>2171400</v>
      </c>
      <c r="E37" s="49">
        <f>VLOOKUP($A37,'Data shares'!$C:$FA,128)*100</f>
        <v>4.53</v>
      </c>
      <c r="F37" s="49">
        <f>VLOOKUP($A37,'Data shares'!$C:$FA,129)</f>
        <v>391475</v>
      </c>
      <c r="G37" s="17"/>
    </row>
    <row r="38" spans="1:7" x14ac:dyDescent="0.25">
      <c r="A38" s="101" t="s">
        <v>283</v>
      </c>
      <c r="B38" s="17">
        <v>747713393</v>
      </c>
      <c r="C38" s="17">
        <v>158166000</v>
      </c>
      <c r="D38" s="17">
        <f t="shared" si="0"/>
        <v>158166000</v>
      </c>
      <c r="E38" s="49">
        <f>VLOOKUP($A38,'Data shares'!$C:$FA,128)*100</f>
        <v>21.64</v>
      </c>
      <c r="F38" s="49">
        <f>VLOOKUP($A38,'Data shares'!$C:$FA,129)</f>
        <v>21263250</v>
      </c>
      <c r="G38" s="17"/>
    </row>
    <row r="39" spans="1:7" x14ac:dyDescent="0.25">
      <c r="A39" s="101" t="s">
        <v>281</v>
      </c>
      <c r="B39" s="17">
        <v>648405756</v>
      </c>
      <c r="C39" s="17">
        <v>61815500</v>
      </c>
      <c r="D39" s="17">
        <f t="shared" si="0"/>
        <v>61815500</v>
      </c>
      <c r="E39" s="49">
        <f>VLOOKUP($A39,'Data shares'!$C:$FA,128)*100</f>
        <v>20.72</v>
      </c>
      <c r="F39" s="49">
        <f>VLOOKUP($A39,'Data shares'!$C:$FA,129)</f>
        <v>19479500</v>
      </c>
      <c r="G39" s="17"/>
    </row>
    <row r="40" spans="1:7" x14ac:dyDescent="0.25">
      <c r="A40" s="101" t="s">
        <v>198</v>
      </c>
      <c r="B40" s="17">
        <v>79546680</v>
      </c>
      <c r="C40" s="17">
        <v>13283750</v>
      </c>
      <c r="D40" s="17">
        <f t="shared" si="0"/>
        <v>13283750</v>
      </c>
      <c r="E40" s="49">
        <f>VLOOKUP($A40,'Data shares'!$C:$FA,128)*100</f>
        <v>5.54</v>
      </c>
      <c r="F40" s="49">
        <f>VLOOKUP($A40,'Data shares'!$C:$FA,129)</f>
        <v>1010000</v>
      </c>
      <c r="G40" s="17"/>
    </row>
    <row r="41" spans="1:7" x14ac:dyDescent="0.25">
      <c r="A41" s="101" t="s">
        <v>299</v>
      </c>
      <c r="B41" s="17">
        <v>44634693</v>
      </c>
      <c r="C41" s="17">
        <v>3805500</v>
      </c>
      <c r="D41" s="17">
        <f t="shared" si="0"/>
        <v>3805500</v>
      </c>
      <c r="E41" s="49">
        <f>VLOOKUP($A41,'Data shares'!$C:$FA,128)*100</f>
        <v>0.33999999999999997</v>
      </c>
      <c r="F41" s="49">
        <f>VLOOKUP($A41,'Data shares'!$C:$FA,129)</f>
        <v>6375</v>
      </c>
      <c r="G41" s="17"/>
    </row>
    <row r="42" spans="1:7" x14ac:dyDescent="0.25">
      <c r="A42" s="101" t="s">
        <v>273</v>
      </c>
      <c r="B42" s="17">
        <v>232357926</v>
      </c>
      <c r="C42" s="17">
        <v>67053000</v>
      </c>
      <c r="D42" s="17">
        <f t="shared" si="0"/>
        <v>67053000</v>
      </c>
      <c r="E42" s="49">
        <f>VLOOKUP($A42,'Data shares'!$C:$FA,128)*100</f>
        <v>2.78</v>
      </c>
      <c r="F42" s="49">
        <f>VLOOKUP($A42,'Data shares'!$C:$FA,129)</f>
        <v>1549600</v>
      </c>
      <c r="G42" s="17"/>
    </row>
    <row r="43" spans="1:7" x14ac:dyDescent="0.25">
      <c r="A43" s="101" t="s">
        <v>207</v>
      </c>
      <c r="B43" s="17">
        <v>124016568</v>
      </c>
      <c r="C43" s="17">
        <v>57530550</v>
      </c>
      <c r="D43" s="17">
        <f t="shared" si="0"/>
        <v>57530550</v>
      </c>
      <c r="E43" s="49">
        <f>VLOOKUP($A43,'Data shares'!$C:$FA,128)*100</f>
        <v>6.7299999999999995</v>
      </c>
      <c r="F43" s="49">
        <f>VLOOKUP($A43,'Data shares'!$C:$FA,129)</f>
        <v>3026150</v>
      </c>
      <c r="G43" s="17"/>
    </row>
    <row r="44" spans="1:7" x14ac:dyDescent="0.25">
      <c r="A44" s="101" t="s">
        <v>191</v>
      </c>
      <c r="B44" s="17">
        <v>92946457</v>
      </c>
      <c r="C44" s="17">
        <v>36478000</v>
      </c>
      <c r="D44" s="17">
        <f t="shared" si="0"/>
        <v>36478000</v>
      </c>
      <c r="E44" s="49">
        <f>VLOOKUP($A44,'Data shares'!$C:$FA,128)*100</f>
        <v>2.46</v>
      </c>
      <c r="F44" s="49">
        <f>VLOOKUP($A44,'Data shares'!$C:$FA,129)</f>
        <v>762500</v>
      </c>
      <c r="G44" s="17"/>
    </row>
    <row r="45" spans="1:7" x14ac:dyDescent="0.25">
      <c r="A45" s="101" t="s">
        <v>288</v>
      </c>
      <c r="B45" s="17">
        <v>218440087</v>
      </c>
      <c r="C45" s="17">
        <v>44080400</v>
      </c>
      <c r="D45" s="17">
        <f t="shared" si="0"/>
        <v>44080400</v>
      </c>
      <c r="E45" s="49">
        <f>VLOOKUP($A45,'Data shares'!$C:$FA,128)*100</f>
        <v>13.320000000000002</v>
      </c>
      <c r="F45" s="49">
        <f>VLOOKUP($A45,'Data shares'!$C:$FA,129)</f>
        <v>3677450</v>
      </c>
      <c r="G45" s="17"/>
    </row>
    <row r="46" spans="1:7" x14ac:dyDescent="0.25">
      <c r="A46" s="101" t="s">
        <v>275</v>
      </c>
      <c r="B46" s="17">
        <v>591377974</v>
      </c>
      <c r="C46" s="17">
        <v>493488000</v>
      </c>
      <c r="D46" s="17">
        <f t="shared" si="0"/>
        <v>493488000</v>
      </c>
      <c r="E46" s="49">
        <f>VLOOKUP($A46,'Data shares'!$C:$FA,128)*100</f>
        <v>8.15</v>
      </c>
      <c r="F46" s="49">
        <f>VLOOKUP($A46,'Data shares'!$C:$FA,129)</f>
        <v>22616000</v>
      </c>
      <c r="G46" s="17"/>
    </row>
    <row r="47" spans="1:7" x14ac:dyDescent="0.25">
      <c r="A47" s="101" t="s">
        <v>277</v>
      </c>
      <c r="B47" s="17">
        <v>10116165</v>
      </c>
      <c r="C47" s="17">
        <v>7378910</v>
      </c>
      <c r="D47" s="17">
        <f t="shared" si="0"/>
        <v>7378910</v>
      </c>
      <c r="E47" s="49">
        <f>VLOOKUP($A47,'Data shares'!$C:$FA,128)*100</f>
        <v>4.1500000000000004</v>
      </c>
      <c r="F47" s="49">
        <f>VLOOKUP($A47,'Data shares'!$C:$FA,129)</f>
        <v>246150</v>
      </c>
      <c r="G47" s="17"/>
    </row>
    <row r="48" spans="1:7" x14ac:dyDescent="0.25">
      <c r="A48" s="101" t="s">
        <v>196</v>
      </c>
      <c r="B48" s="17">
        <v>134484114</v>
      </c>
      <c r="C48" s="17">
        <v>73278000</v>
      </c>
      <c r="D48" s="17">
        <f t="shared" si="0"/>
        <v>73278000</v>
      </c>
      <c r="E48" s="49">
        <f>VLOOKUP($A48,'Data shares'!$C:$FA,128)*100</f>
        <v>11.129999999999999</v>
      </c>
      <c r="F48" s="49">
        <f>VLOOKUP($A48,'Data shares'!$C:$FA,129)</f>
        <v>23456250</v>
      </c>
      <c r="G48" s="17"/>
    </row>
    <row r="49" spans="1:7" x14ac:dyDescent="0.25">
      <c r="A49" s="101" t="s">
        <v>287</v>
      </c>
      <c r="B49" s="17">
        <v>40005132</v>
      </c>
      <c r="C49" s="17">
        <v>6264400</v>
      </c>
      <c r="D49" s="17">
        <f t="shared" si="0"/>
        <v>6264400</v>
      </c>
      <c r="E49" s="49">
        <f>VLOOKUP($A49,'Data shares'!$C:$FA,128)*100</f>
        <v>1.95</v>
      </c>
      <c r="F49" s="49">
        <f>VLOOKUP($A49,'Data shares'!$C:$FA,129)</f>
        <v>64400</v>
      </c>
      <c r="G49" s="17"/>
    </row>
    <row r="50" spans="1:7" x14ac:dyDescent="0.25">
      <c r="A50" s="101" t="s">
        <v>553</v>
      </c>
      <c r="B50" s="17">
        <v>10595418</v>
      </c>
      <c r="C50" s="17">
        <v>250250</v>
      </c>
      <c r="D50" s="17">
        <f t="shared" si="0"/>
        <v>250250</v>
      </c>
      <c r="E50" s="49">
        <f>VLOOKUP($A50,'Data shares'!$C:$FA,128)*100</f>
        <v>2.6</v>
      </c>
      <c r="F50" s="49">
        <f>VLOOKUP($A50,'Data shares'!$C:$FA,129)</f>
        <v>46500</v>
      </c>
      <c r="G50" s="17"/>
    </row>
    <row r="51" spans="1:7" x14ac:dyDescent="0.25">
      <c r="A51" s="101" t="s">
        <v>519</v>
      </c>
      <c r="B51" s="17">
        <v>9516271</v>
      </c>
      <c r="C51" s="17">
        <v>1000800</v>
      </c>
      <c r="D51" s="17">
        <f t="shared" si="0"/>
        <v>1000800</v>
      </c>
      <c r="E51" s="49">
        <f>VLOOKUP($A51,'Data shares'!$C:$FA,128)*100</f>
        <v>1.97</v>
      </c>
      <c r="F51" s="49">
        <f>VLOOKUP($A51,'Data shares'!$C:$FA,129)</f>
        <v>31750</v>
      </c>
      <c r="G51" s="17"/>
    </row>
    <row r="52" spans="1:7" x14ac:dyDescent="0.25">
      <c r="A52" s="101" t="s">
        <v>550</v>
      </c>
      <c r="B52" s="17">
        <v>137684181</v>
      </c>
      <c r="C52" s="17">
        <v>42696000</v>
      </c>
      <c r="D52" s="17">
        <f t="shared" si="0"/>
        <v>42696000</v>
      </c>
      <c r="E52" s="49">
        <f>VLOOKUP($A52,'Data shares'!$C:$FA,128)*100</f>
        <v>2.52</v>
      </c>
      <c r="F52" s="49">
        <f>VLOOKUP($A52,'Data shares'!$C:$FA,129)</f>
        <v>1761500</v>
      </c>
      <c r="G52" s="17"/>
    </row>
    <row r="53" spans="1:7" x14ac:dyDescent="0.25">
      <c r="A53" s="101" t="s">
        <v>284</v>
      </c>
      <c r="B53" s="17">
        <v>2702190</v>
      </c>
      <c r="C53" s="17">
        <v>250575</v>
      </c>
      <c r="D53" s="17">
        <f t="shared" si="0"/>
        <v>250575</v>
      </c>
      <c r="E53" s="49">
        <f>VLOOKUP($A53,'Data shares'!$C:$FA,128)*100</f>
        <v>2.25</v>
      </c>
      <c r="F53" s="49">
        <f>VLOOKUP($A53,'Data shares'!$C:$FA,129)</f>
        <v>8450</v>
      </c>
      <c r="G53" s="17"/>
    </row>
    <row r="54" spans="1:7" x14ac:dyDescent="0.25">
      <c r="A54" s="101" t="s">
        <v>488</v>
      </c>
      <c r="B54" s="17">
        <v>5499709</v>
      </c>
      <c r="C54" s="17">
        <v>1097600</v>
      </c>
      <c r="D54" s="17">
        <f t="shared" si="0"/>
        <v>1097600</v>
      </c>
      <c r="E54" s="49">
        <f>VLOOKUP($A54,'Data shares'!$C:$FA,128)*100</f>
        <v>11.06</v>
      </c>
      <c r="F54" s="49">
        <f>VLOOKUP($A54,'Data shares'!$C:$FA,129)</f>
        <v>296550</v>
      </c>
      <c r="G54" s="17"/>
    </row>
    <row r="55" spans="1:7" x14ac:dyDescent="0.25">
      <c r="A55" s="101" t="s">
        <v>523</v>
      </c>
      <c r="B55" s="17">
        <v>118085392</v>
      </c>
      <c r="C55" s="17">
        <v>6549400</v>
      </c>
      <c r="D55" s="17">
        <f t="shared" si="0"/>
        <v>6549400</v>
      </c>
      <c r="E55" s="49">
        <f>VLOOKUP($A55,'Data shares'!$C:$FA,128)*100</f>
        <v>1.59</v>
      </c>
      <c r="F55" s="49">
        <f>VLOOKUP($A55,'Data shares'!$C:$FA,129)</f>
        <v>809350</v>
      </c>
      <c r="G55" s="17"/>
    </row>
    <row r="56" spans="1:7" x14ac:dyDescent="0.25">
      <c r="A56" s="101" t="s">
        <v>485</v>
      </c>
      <c r="B56" s="17">
        <v>6917069</v>
      </c>
      <c r="C56" s="17">
        <v>762075</v>
      </c>
      <c r="D56" s="17">
        <f t="shared" si="0"/>
        <v>762075</v>
      </c>
      <c r="E56" s="49">
        <f>VLOOKUP($A56,'Data shares'!$C:$FA,128)*100</f>
        <v>1.41</v>
      </c>
      <c r="F56" s="49">
        <f>VLOOKUP($A56,'Data shares'!$C:$FA,129)</f>
        <v>136850</v>
      </c>
      <c r="G56" s="17"/>
    </row>
    <row r="57" spans="1:7" x14ac:dyDescent="0.25">
      <c r="A57" s="101" t="s">
        <v>178</v>
      </c>
      <c r="B57" s="17">
        <v>16125398</v>
      </c>
      <c r="C57" s="17">
        <v>1552600</v>
      </c>
      <c r="D57" s="17">
        <f t="shared" si="0"/>
        <v>1552600</v>
      </c>
      <c r="E57" s="49">
        <f>VLOOKUP($A57,'Data shares'!$C:$FA,128)*100</f>
        <v>15.6</v>
      </c>
      <c r="F57" s="49">
        <f>VLOOKUP($A57,'Data shares'!$C:$FA,129)</f>
        <v>10850250</v>
      </c>
      <c r="G57" s="17"/>
    </row>
    <row r="58" spans="1:7" x14ac:dyDescent="0.25">
      <c r="A58" s="101" t="s">
        <v>240</v>
      </c>
      <c r="B58" s="17">
        <v>727896180</v>
      </c>
      <c r="C58" s="17">
        <v>46526100</v>
      </c>
      <c r="D58" s="17">
        <f t="shared" si="0"/>
        <v>46526100</v>
      </c>
      <c r="E58" s="49">
        <f>VLOOKUP($A58,'Data shares'!$C:$FA,128)*100</f>
        <v>6.98</v>
      </c>
      <c r="F58" s="49">
        <f>VLOOKUP($A58,'Data shares'!$C:$FA,129)</f>
        <v>5464400</v>
      </c>
      <c r="G58" s="17"/>
    </row>
    <row r="59" spans="1:7" x14ac:dyDescent="0.25">
      <c r="A59" s="101" t="s">
        <v>202</v>
      </c>
      <c r="B59" s="17">
        <v>55081874</v>
      </c>
      <c r="C59" s="17">
        <v>10856000</v>
      </c>
      <c r="D59" s="17">
        <f t="shared" si="0"/>
        <v>10856000</v>
      </c>
      <c r="E59" s="49">
        <f>VLOOKUP($A59,'Data shares'!$C:$FA,128)*100</f>
        <v>2.29</v>
      </c>
      <c r="F59" s="49">
        <f>VLOOKUP($A59,'Data shares'!$C:$FA,129)</f>
        <v>505000</v>
      </c>
      <c r="G59" s="17"/>
    </row>
    <row r="60" spans="1:7" x14ac:dyDescent="0.25">
      <c r="A60" s="101" t="s">
        <v>245</v>
      </c>
      <c r="B60" s="17">
        <v>15273675</v>
      </c>
      <c r="C60" s="17">
        <v>5077125</v>
      </c>
      <c r="D60" s="17">
        <f t="shared" si="0"/>
        <v>5077125</v>
      </c>
      <c r="E60" s="49">
        <f>VLOOKUP($A60,'Data shares'!$C:$FA,128)*100</f>
        <v>4.9399999999999995</v>
      </c>
      <c r="F60" s="49">
        <f>VLOOKUP($A60,'Data shares'!$C:$FA,129)</f>
        <v>1820000</v>
      </c>
      <c r="G60" s="17"/>
    </row>
    <row r="61" spans="1:7" x14ac:dyDescent="0.25">
      <c r="A61" s="101" t="s">
        <v>173</v>
      </c>
      <c r="B61" s="17">
        <v>541823383</v>
      </c>
      <c r="C61" s="17">
        <v>95378400</v>
      </c>
      <c r="D61" s="17">
        <f t="shared" si="0"/>
        <v>95378400</v>
      </c>
      <c r="E61" s="49">
        <f>VLOOKUP($A61,'Data shares'!$C:$FA,128)*100</f>
        <v>13.41</v>
      </c>
      <c r="F61" s="49">
        <f>VLOOKUP($A61,'Data shares'!$C:$FA,129)</f>
        <v>8655625</v>
      </c>
      <c r="G61" s="17"/>
    </row>
    <row r="62" spans="1:7" x14ac:dyDescent="0.25">
      <c r="A62" s="101" t="s">
        <v>234</v>
      </c>
      <c r="B62" s="17">
        <v>1606294231</v>
      </c>
      <c r="C62" s="17">
        <v>1302000000</v>
      </c>
      <c r="D62" s="17">
        <f t="shared" si="0"/>
        <v>1302000000</v>
      </c>
      <c r="E62" s="49">
        <f>VLOOKUP($A62,'Data shares'!$C:$FA,128)*100</f>
        <v>3.36</v>
      </c>
      <c r="F62" s="49">
        <f>VLOOKUP($A62,'Data shares'!$C:$FA,129)</f>
        <v>227076075</v>
      </c>
      <c r="G62" s="17"/>
    </row>
    <row r="63" spans="1:7" x14ac:dyDescent="0.25">
      <c r="A63" s="101" t="s">
        <v>235</v>
      </c>
      <c r="B63" s="17">
        <v>789260827</v>
      </c>
      <c r="C63" s="17">
        <v>462303900</v>
      </c>
      <c r="D63" s="17">
        <f t="shared" si="0"/>
        <v>462303900</v>
      </c>
      <c r="E63" s="49">
        <f>VLOOKUP($A63,'Data shares'!$C:$FA,128)*100</f>
        <v>11.43</v>
      </c>
      <c r="F63" s="49">
        <f>VLOOKUP($A63,'Data shares'!$C:$FA,129)</f>
        <v>45020850</v>
      </c>
      <c r="G63" s="17"/>
    </row>
    <row r="64" spans="1:7" x14ac:dyDescent="0.25">
      <c r="A64" s="101" t="s">
        <v>482</v>
      </c>
      <c r="B64" s="17">
        <v>44785930</v>
      </c>
      <c r="C64" s="17">
        <v>4025925</v>
      </c>
      <c r="D64" s="17">
        <f t="shared" si="0"/>
        <v>4025925</v>
      </c>
      <c r="E64" s="49">
        <f>VLOOKUP($A64,'Data shares'!$C:$FA,128)*100</f>
        <v>4.8899999999999997</v>
      </c>
      <c r="F64" s="49">
        <f>VLOOKUP($A64,'Data shares'!$C:$FA,129)</f>
        <v>339900</v>
      </c>
      <c r="G64" s="17"/>
    </row>
    <row r="65" spans="1:7" x14ac:dyDescent="0.25">
      <c r="A65" s="101" t="s">
        <v>475</v>
      </c>
      <c r="B65" s="17">
        <v>13287700</v>
      </c>
      <c r="C65" s="17">
        <v>3968400</v>
      </c>
      <c r="D65" s="17">
        <f t="shared" si="0"/>
        <v>3968400</v>
      </c>
      <c r="E65" s="49">
        <f>VLOOKUP($A65,'Data shares'!$C:$FA,128)*100</f>
        <v>1.53</v>
      </c>
      <c r="F65" s="49">
        <f>VLOOKUP($A65,'Data shares'!$C:$FA,129)</f>
        <v>93000</v>
      </c>
      <c r="G65" s="17"/>
    </row>
    <row r="66" spans="1:7" x14ac:dyDescent="0.25">
      <c r="A66" s="101" t="s">
        <v>306</v>
      </c>
      <c r="B66" s="17">
        <v>292716179</v>
      </c>
      <c r="C66" s="17">
        <v>57797600</v>
      </c>
      <c r="D66" s="17">
        <f t="shared" si="0"/>
        <v>57797600</v>
      </c>
      <c r="E66" s="49">
        <f>VLOOKUP($A66,'Data shares'!$C:$FA,128)*100</f>
        <v>10.220000000000001</v>
      </c>
      <c r="F66" s="49">
        <f>VLOOKUP($A66,'Data shares'!$C:$FA,129)</f>
        <v>30417000</v>
      </c>
      <c r="G66" s="17"/>
    </row>
    <row r="67" spans="1:7" x14ac:dyDescent="0.25">
      <c r="A67" s="101" t="s">
        <v>262</v>
      </c>
      <c r="B67" s="17">
        <v>21376133</v>
      </c>
      <c r="C67" s="17">
        <v>5958375</v>
      </c>
      <c r="D67" s="17">
        <f t="shared" si="0"/>
        <v>5958375</v>
      </c>
      <c r="E67" s="49">
        <f>VLOOKUP($A67,'Data shares'!$C:$FA,128)*100</f>
        <v>1.67</v>
      </c>
      <c r="F67" s="49">
        <f>VLOOKUP($A67,'Data shares'!$C:$FA,129)</f>
        <v>68200</v>
      </c>
      <c r="G67" s="17"/>
    </row>
    <row r="68" spans="1:7" x14ac:dyDescent="0.25">
      <c r="A68" s="101" t="s">
        <v>174</v>
      </c>
      <c r="B68" s="17">
        <v>26775498</v>
      </c>
      <c r="C68" s="17">
        <v>3494750</v>
      </c>
      <c r="D68" s="17">
        <f t="shared" si="0"/>
        <v>3494750</v>
      </c>
      <c r="E68" s="49">
        <f>VLOOKUP($A68,'Data shares'!$C:$FA,128)*100</f>
        <v>5.25</v>
      </c>
      <c r="F68" s="49">
        <f>VLOOKUP($A68,'Data shares'!$C:$FA,129)</f>
        <v>125475</v>
      </c>
      <c r="G68" s="17"/>
    </row>
    <row r="69" spans="1:7" x14ac:dyDescent="0.25">
      <c r="A69" s="101" t="s">
        <v>286</v>
      </c>
      <c r="B69" s="17">
        <v>29168705</v>
      </c>
      <c r="C69" s="17">
        <v>6373125</v>
      </c>
      <c r="D69" s="17">
        <f t="shared" si="0"/>
        <v>6373125</v>
      </c>
      <c r="E69" s="49">
        <f>VLOOKUP($A69,'Data shares'!$C:$FA,128)*100</f>
        <v>1.95</v>
      </c>
      <c r="F69" s="49">
        <f>VLOOKUP($A69,'Data shares'!$C:$FA,129)</f>
        <v>64400</v>
      </c>
      <c r="G69" s="17"/>
    </row>
    <row r="70" spans="1:7" x14ac:dyDescent="0.25">
      <c r="A70" s="101" t="s">
        <v>297</v>
      </c>
      <c r="B70" s="17">
        <v>83636848</v>
      </c>
      <c r="C70" s="17">
        <v>13455750</v>
      </c>
      <c r="D70" s="17">
        <f t="shared" si="0"/>
        <v>13455750</v>
      </c>
      <c r="E70" s="49">
        <f>VLOOKUP($A70,'Data shares'!$C:$FA,128)*100</f>
        <v>10.56</v>
      </c>
      <c r="F70" s="49">
        <f>VLOOKUP($A70,'Data shares'!$C:$FA,129)</f>
        <v>899500</v>
      </c>
      <c r="G70" s="17"/>
    </row>
    <row r="71" spans="1:7" x14ac:dyDescent="0.25">
      <c r="A71" s="101" t="s">
        <v>302</v>
      </c>
      <c r="B71" s="17">
        <v>23058222</v>
      </c>
      <c r="C71" s="17">
        <v>3980500</v>
      </c>
      <c r="D71" s="17">
        <f t="shared" ref="D71:D134" si="1">C71</f>
        <v>3980500</v>
      </c>
      <c r="E71" s="49">
        <f>VLOOKUP($A71,'Data shares'!$C:$FA,128)*100</f>
        <v>16.760000000000002</v>
      </c>
      <c r="F71" s="49">
        <f>VLOOKUP($A71,'Data shares'!$C:$FA,129)</f>
        <v>460600</v>
      </c>
      <c r="G71" s="17"/>
    </row>
    <row r="72" spans="1:7" x14ac:dyDescent="0.25">
      <c r="A72" s="101" t="s">
        <v>307</v>
      </c>
      <c r="B72" s="17">
        <v>184439886</v>
      </c>
      <c r="C72" s="17">
        <v>122460000</v>
      </c>
      <c r="D72" s="17">
        <f t="shared" si="1"/>
        <v>122460000</v>
      </c>
      <c r="E72" s="49">
        <f>VLOOKUP($A72,'Data shares'!$C:$FA,128)*100</f>
        <v>8.39</v>
      </c>
      <c r="F72" s="49">
        <f>VLOOKUP($A72,'Data shares'!$C:$FA,129)</f>
        <v>99986500</v>
      </c>
      <c r="G72" s="17"/>
    </row>
    <row r="73" spans="1:7" x14ac:dyDescent="0.25">
      <c r="A73" s="101" t="s">
        <v>177</v>
      </c>
      <c r="B73" s="17">
        <v>52956314</v>
      </c>
      <c r="C73" s="17">
        <v>7784625</v>
      </c>
      <c r="D73" s="17">
        <f t="shared" si="1"/>
        <v>7784625</v>
      </c>
      <c r="E73" s="49">
        <f>VLOOKUP($A73,'Data shares'!$C:$FA,128)*100</f>
        <v>15.6</v>
      </c>
      <c r="F73" s="49">
        <f>VLOOKUP($A73,'Data shares'!$C:$FA,129)</f>
        <v>10850250</v>
      </c>
      <c r="G73" s="17"/>
    </row>
    <row r="74" spans="1:7" x14ac:dyDescent="0.25">
      <c r="A74" s="101" t="s">
        <v>545</v>
      </c>
      <c r="B74" s="17">
        <v>23498849</v>
      </c>
      <c r="C74" s="17">
        <v>15745600</v>
      </c>
      <c r="D74" s="17">
        <f t="shared" si="1"/>
        <v>15745600</v>
      </c>
      <c r="E74" s="49">
        <f>VLOOKUP($A74,'Data shares'!$C:$FA,128)*100</f>
        <v>15.6</v>
      </c>
      <c r="F74" s="49">
        <f>VLOOKUP($A74,'Data shares'!$C:$FA,129)</f>
        <v>10850250</v>
      </c>
      <c r="G74" s="17"/>
    </row>
    <row r="75" spans="1:7" x14ac:dyDescent="0.25">
      <c r="A75" s="101" t="s">
        <v>185</v>
      </c>
      <c r="B75" s="17">
        <v>238123793</v>
      </c>
      <c r="C75" s="17">
        <v>59926000</v>
      </c>
      <c r="D75" s="17">
        <f t="shared" si="1"/>
        <v>59926000</v>
      </c>
      <c r="E75" s="49">
        <f>VLOOKUP($A75,'Data shares'!$C:$FA,128)*100</f>
        <v>12.809999999999999</v>
      </c>
      <c r="F75" s="49">
        <f>VLOOKUP($A75,'Data shares'!$C:$FA,129)</f>
        <v>14728800</v>
      </c>
      <c r="G75" s="17"/>
    </row>
    <row r="76" spans="1:7" x14ac:dyDescent="0.25">
      <c r="A76" s="101" t="s">
        <v>219</v>
      </c>
      <c r="B76" s="17">
        <v>75317259</v>
      </c>
      <c r="C76" s="17">
        <v>12188500</v>
      </c>
      <c r="D76" s="17">
        <f t="shared" si="1"/>
        <v>12188500</v>
      </c>
      <c r="E76" s="49">
        <f>VLOOKUP($A76,'Data shares'!$C:$FA,128)*100</f>
        <v>5.52</v>
      </c>
      <c r="F76" s="49">
        <f>VLOOKUP($A76,'Data shares'!$C:$FA,129)</f>
        <v>813750</v>
      </c>
      <c r="G76" s="17"/>
    </row>
    <row r="77" spans="1:7" x14ac:dyDescent="0.25">
      <c r="A77" s="101" t="s">
        <v>534</v>
      </c>
      <c r="B77" s="17">
        <v>70381221</v>
      </c>
      <c r="C77" s="17">
        <v>3354100</v>
      </c>
      <c r="D77" s="17">
        <f t="shared" si="1"/>
        <v>3354100</v>
      </c>
      <c r="E77" s="49">
        <f>VLOOKUP($A77,'Data shares'!$C:$FA,128)*100</f>
        <v>5.52</v>
      </c>
      <c r="F77" s="49">
        <f>VLOOKUP($A77,'Data shares'!$C:$FA,129)</f>
        <v>813750</v>
      </c>
      <c r="G77" s="17"/>
    </row>
    <row r="78" spans="1:7" x14ac:dyDescent="0.25">
      <c r="A78" s="101" t="s">
        <v>516</v>
      </c>
      <c r="B78" s="17">
        <v>27254349</v>
      </c>
      <c r="C78" s="17">
        <v>1133550</v>
      </c>
      <c r="D78" s="17">
        <f t="shared" si="1"/>
        <v>1133550</v>
      </c>
      <c r="E78" s="49">
        <f>VLOOKUP($A78,'Data shares'!$C:$FA,128)*100</f>
        <v>7.8299999999999992</v>
      </c>
      <c r="F78" s="49">
        <f>VLOOKUP($A78,'Data shares'!$C:$FA,129)</f>
        <v>8575125</v>
      </c>
      <c r="G78" s="17"/>
    </row>
    <row r="79" spans="1:7" x14ac:dyDescent="0.25">
      <c r="A79" s="101" t="s">
        <v>271</v>
      </c>
      <c r="B79" s="17">
        <v>26746179</v>
      </c>
      <c r="C79" s="17">
        <v>5445825</v>
      </c>
      <c r="D79" s="17">
        <f t="shared" si="1"/>
        <v>5445825</v>
      </c>
      <c r="E79" s="49">
        <f>VLOOKUP($A79,'Data shares'!$C:$FA,128)*100</f>
        <v>2.2999999999999998</v>
      </c>
      <c r="F79" s="49">
        <f>VLOOKUP($A79,'Data shares'!$C:$FA,129)</f>
        <v>300150</v>
      </c>
      <c r="G79" s="17"/>
    </row>
    <row r="80" spans="1:7" x14ac:dyDescent="0.25">
      <c r="A80" s="101" t="s">
        <v>264</v>
      </c>
      <c r="B80" s="17">
        <v>15844192</v>
      </c>
      <c r="C80" s="17">
        <v>2354125</v>
      </c>
      <c r="D80" s="17">
        <f t="shared" si="1"/>
        <v>2354125</v>
      </c>
      <c r="E80" s="49">
        <f>VLOOKUP($A80,'Data shares'!$C:$FA,128)*100</f>
        <v>1.41</v>
      </c>
      <c r="F80" s="49">
        <f>VLOOKUP($A80,'Data shares'!$C:$FA,129)</f>
        <v>136850</v>
      </c>
      <c r="G80" s="17"/>
    </row>
    <row r="81" spans="1:7" x14ac:dyDescent="0.25">
      <c r="A81" s="101" t="s">
        <v>208</v>
      </c>
      <c r="B81" s="17">
        <v>24296838</v>
      </c>
      <c r="C81" s="17">
        <v>5125750</v>
      </c>
      <c r="D81" s="17">
        <f t="shared" si="1"/>
        <v>5125750</v>
      </c>
      <c r="E81" s="49">
        <f>VLOOKUP($A81,'Data shares'!$C:$FA,128)*100</f>
        <v>3.0300000000000002</v>
      </c>
      <c r="F81" s="49">
        <f>VLOOKUP($A81,'Data shares'!$C:$FA,129)</f>
        <v>458750</v>
      </c>
      <c r="G81" s="17"/>
    </row>
    <row r="82" spans="1:7" x14ac:dyDescent="0.25">
      <c r="A82" s="101" t="s">
        <v>552</v>
      </c>
      <c r="B82" s="17">
        <v>23447901</v>
      </c>
      <c r="C82" s="17">
        <v>3785600</v>
      </c>
      <c r="D82" s="17">
        <f t="shared" si="1"/>
        <v>3785600</v>
      </c>
      <c r="E82" s="49">
        <f>VLOOKUP($A82,'Data shares'!$C:$FA,128)*100</f>
        <v>3.0700000000000003</v>
      </c>
      <c r="F82" s="49">
        <f>VLOOKUP($A82,'Data shares'!$C:$FA,129)</f>
        <v>1299450</v>
      </c>
      <c r="G82" s="17"/>
    </row>
    <row r="83" spans="1:7" x14ac:dyDescent="0.25">
      <c r="A83" s="101" t="s">
        <v>204</v>
      </c>
      <c r="B83" s="17">
        <v>115362060</v>
      </c>
      <c r="C83" s="17">
        <v>19043750</v>
      </c>
      <c r="D83" s="17">
        <f t="shared" si="1"/>
        <v>19043750</v>
      </c>
      <c r="E83" s="49">
        <f>VLOOKUP($A83,'Data shares'!$C:$FA,128)*100</f>
        <v>2.44</v>
      </c>
      <c r="F83" s="49">
        <f>VLOOKUP($A83,'Data shares'!$C:$FA,129)</f>
        <v>616250</v>
      </c>
      <c r="G83" s="17"/>
    </row>
    <row r="84" spans="1:7" x14ac:dyDescent="0.25">
      <c r="A84" s="101" t="s">
        <v>528</v>
      </c>
      <c r="B84" s="17">
        <v>23485458</v>
      </c>
      <c r="C84" s="17">
        <v>4272800</v>
      </c>
      <c r="D84" s="17">
        <f t="shared" si="1"/>
        <v>4272800</v>
      </c>
      <c r="E84" s="49">
        <f>VLOOKUP($A84,'Data shares'!$C:$FA,128)*100</f>
        <v>1.38</v>
      </c>
      <c r="F84" s="49">
        <f>VLOOKUP($A84,'Data shares'!$C:$FA,129)</f>
        <v>79450</v>
      </c>
      <c r="G84" s="17"/>
    </row>
    <row r="85" spans="1:7" x14ac:dyDescent="0.25">
      <c r="A85" s="101" t="s">
        <v>551</v>
      </c>
      <c r="B85" s="17">
        <v>39593365</v>
      </c>
      <c r="C85" s="17">
        <v>12215000</v>
      </c>
      <c r="D85" s="17">
        <f t="shared" si="1"/>
        <v>12215000</v>
      </c>
      <c r="E85" s="49">
        <f>VLOOKUP($A85,'Data shares'!$C:$FA,128)*100</f>
        <v>4.1500000000000004</v>
      </c>
      <c r="F85" s="49">
        <f>VLOOKUP($A85,'Data shares'!$C:$FA,129)</f>
        <v>246150</v>
      </c>
      <c r="G85" s="17"/>
    </row>
    <row r="86" spans="1:7" x14ac:dyDescent="0.25">
      <c r="A86" s="101" t="s">
        <v>292</v>
      </c>
      <c r="B86" s="17">
        <v>355933451</v>
      </c>
      <c r="C86" s="17">
        <v>204117000</v>
      </c>
      <c r="D86" s="17">
        <f t="shared" si="1"/>
        <v>204117000</v>
      </c>
      <c r="E86" s="49">
        <f>VLOOKUP($A86,'Data shares'!$C:$FA,128)*100</f>
        <v>8.74</v>
      </c>
      <c r="F86" s="49">
        <f>VLOOKUP($A86,'Data shares'!$C:$FA,129)</f>
        <v>200600</v>
      </c>
      <c r="G86" s="17"/>
    </row>
    <row r="87" spans="1:7" x14ac:dyDescent="0.25">
      <c r="A87" s="101" t="s">
        <v>239</v>
      </c>
      <c r="B87" s="17">
        <v>117569462</v>
      </c>
      <c r="C87" s="17">
        <v>39785400</v>
      </c>
      <c r="D87" s="17">
        <f t="shared" si="1"/>
        <v>39785400</v>
      </c>
      <c r="E87" s="49">
        <f>VLOOKUP($A87,'Data shares'!$C:$FA,128)*100</f>
        <v>5.71</v>
      </c>
      <c r="F87" s="49">
        <f>VLOOKUP($A87,'Data shares'!$C:$FA,129)</f>
        <v>1823500</v>
      </c>
      <c r="G87" s="17"/>
    </row>
    <row r="88" spans="1:7" x14ac:dyDescent="0.25">
      <c r="A88" s="101" t="s">
        <v>513</v>
      </c>
      <c r="B88" s="17">
        <v>16619018</v>
      </c>
      <c r="C88" s="17">
        <v>3155425</v>
      </c>
      <c r="D88" s="17">
        <f t="shared" si="1"/>
        <v>3155425</v>
      </c>
      <c r="E88" s="49">
        <f>VLOOKUP($A88,'Data shares'!$C:$FA,128)*100</f>
        <v>13.84</v>
      </c>
      <c r="F88" s="49">
        <f>VLOOKUP($A88,'Data shares'!$C:$FA,129)</f>
        <v>901800</v>
      </c>
      <c r="G88" s="17"/>
    </row>
    <row r="89" spans="1:7" x14ac:dyDescent="0.25">
      <c r="A89" s="101" t="s">
        <v>224</v>
      </c>
      <c r="B89" s="17">
        <v>669931623</v>
      </c>
      <c r="C89" s="17">
        <v>82663350</v>
      </c>
      <c r="D89" s="17">
        <f t="shared" si="1"/>
        <v>82663350</v>
      </c>
      <c r="E89" s="49">
        <f>VLOOKUP($A89,'Data shares'!$C:$FA,128)*100</f>
        <v>24.55</v>
      </c>
      <c r="F89" s="49">
        <f>VLOOKUP($A89,'Data shares'!$C:$FA,129)</f>
        <v>82997300</v>
      </c>
      <c r="G89" s="17"/>
    </row>
    <row r="90" spans="1:7" x14ac:dyDescent="0.25">
      <c r="A90" s="101" t="s">
        <v>232</v>
      </c>
      <c r="B90" s="17">
        <v>1110506052</v>
      </c>
      <c r="C90" s="17">
        <v>174065375</v>
      </c>
      <c r="D90" s="17">
        <f t="shared" si="1"/>
        <v>174065375</v>
      </c>
      <c r="E90" s="49">
        <f>VLOOKUP($A90,'Data shares'!$C:$FA,128)*100</f>
        <v>19.900000000000002</v>
      </c>
      <c r="F90" s="49">
        <f>VLOOKUP($A90,'Data shares'!$C:$FA,129)</f>
        <v>28944300</v>
      </c>
      <c r="G90" s="17"/>
    </row>
    <row r="91" spans="1:7" x14ac:dyDescent="0.25">
      <c r="A91" s="101" t="s">
        <v>223</v>
      </c>
      <c r="B91" s="17">
        <v>362202362</v>
      </c>
      <c r="C91" s="17">
        <v>34249800</v>
      </c>
      <c r="D91" s="17">
        <f t="shared" si="1"/>
        <v>34249800</v>
      </c>
      <c r="E91" s="49">
        <f>VLOOKUP($A91,'Data shares'!$C:$FA,128)*100</f>
        <v>5.75</v>
      </c>
      <c r="F91" s="49">
        <f>VLOOKUP($A91,'Data shares'!$C:$FA,129)</f>
        <v>2234150</v>
      </c>
      <c r="G91" s="17"/>
    </row>
    <row r="92" spans="1:7" x14ac:dyDescent="0.25">
      <c r="A92" s="101" t="s">
        <v>218</v>
      </c>
      <c r="B92" s="17">
        <v>23110810</v>
      </c>
      <c r="C92" s="17">
        <v>6940375</v>
      </c>
      <c r="D92" s="17">
        <f t="shared" si="1"/>
        <v>6940375</v>
      </c>
      <c r="E92" s="49">
        <f>VLOOKUP($A92,'Data shares'!$C:$FA,128)*100</f>
        <v>10.459999999999999</v>
      </c>
      <c r="F92" s="49">
        <f>VLOOKUP($A92,'Data shares'!$C:$FA,129)</f>
        <v>842775</v>
      </c>
      <c r="G92" s="17"/>
    </row>
    <row r="93" spans="1:7" x14ac:dyDescent="0.25">
      <c r="A93" s="101" t="s">
        <v>236</v>
      </c>
      <c r="B93" s="17">
        <v>77000080</v>
      </c>
      <c r="C93" s="17">
        <v>25785375</v>
      </c>
      <c r="D93" s="17">
        <f t="shared" si="1"/>
        <v>25785375</v>
      </c>
      <c r="E93" s="49">
        <f>VLOOKUP($A93,'Data shares'!$C:$FA,128)*100</f>
        <v>4.5999999999999996</v>
      </c>
      <c r="F93" s="49">
        <f>VLOOKUP($A93,'Data shares'!$C:$FA,129)</f>
        <v>3303000</v>
      </c>
      <c r="G93" s="17"/>
    </row>
    <row r="94" spans="1:7" x14ac:dyDescent="0.25">
      <c r="A94" s="101" t="s">
        <v>246</v>
      </c>
      <c r="B94" s="17">
        <v>293666614</v>
      </c>
      <c r="C94" s="17">
        <v>30730800</v>
      </c>
      <c r="D94" s="17">
        <f t="shared" si="1"/>
        <v>30730800</v>
      </c>
      <c r="E94" s="49">
        <f>VLOOKUP($A94,'Data shares'!$C:$FA,128)*100</f>
        <v>19.850000000000001</v>
      </c>
      <c r="F94" s="49">
        <f>VLOOKUP($A94,'Data shares'!$C:$FA,129)</f>
        <v>42468000</v>
      </c>
      <c r="G94" s="17"/>
    </row>
    <row r="95" spans="1:7" x14ac:dyDescent="0.25">
      <c r="A95" s="101" t="s">
        <v>532</v>
      </c>
      <c r="B95" s="17">
        <v>32892110</v>
      </c>
      <c r="C95" s="17">
        <v>6216000</v>
      </c>
      <c r="D95" s="17">
        <f t="shared" si="1"/>
        <v>6216000</v>
      </c>
      <c r="E95" s="49">
        <f>VLOOKUP($A95,'Data shares'!$C:$FA,128)*100</f>
        <v>11.4</v>
      </c>
      <c r="F95" s="49">
        <f>VLOOKUP($A95,'Data shares'!$C:$FA,129)</f>
        <v>2792250</v>
      </c>
      <c r="G95" s="17"/>
    </row>
    <row r="96" spans="1:7" x14ac:dyDescent="0.25">
      <c r="A96" s="101" t="s">
        <v>242</v>
      </c>
      <c r="B96" s="17">
        <v>2461627231</v>
      </c>
      <c r="C96" s="17">
        <v>322832000</v>
      </c>
      <c r="D96" s="17">
        <f t="shared" si="1"/>
        <v>322832000</v>
      </c>
      <c r="E96" s="49">
        <f>VLOOKUP($A96,'Data shares'!$C:$FA,128)*100</f>
        <v>12.73</v>
      </c>
      <c r="F96" s="49">
        <f>VLOOKUP($A96,'Data shares'!$C:$FA,129)</f>
        <v>21816450</v>
      </c>
      <c r="G96" s="17"/>
    </row>
    <row r="97" spans="1:7" x14ac:dyDescent="0.25">
      <c r="A97" s="101" t="s">
        <v>165</v>
      </c>
      <c r="B97" s="17">
        <v>20321931</v>
      </c>
      <c r="C97" s="17">
        <v>3675125</v>
      </c>
      <c r="D97" s="17">
        <f t="shared" si="1"/>
        <v>3675125</v>
      </c>
      <c r="E97" s="49">
        <f>VLOOKUP($A97,'Data shares'!$C:$FA,128)*100</f>
        <v>9.1399999999999988</v>
      </c>
      <c r="F97" s="49">
        <f>VLOOKUP($A97,'Data shares'!$C:$FA,129)</f>
        <v>176125</v>
      </c>
      <c r="G97" s="17"/>
    </row>
    <row r="98" spans="1:7" x14ac:dyDescent="0.25">
      <c r="A98" s="101" t="s">
        <v>503</v>
      </c>
      <c r="B98" s="17">
        <v>17788750</v>
      </c>
      <c r="C98" s="17">
        <v>925925</v>
      </c>
      <c r="D98" s="17">
        <f t="shared" si="1"/>
        <v>925925</v>
      </c>
      <c r="E98" s="49">
        <f>VLOOKUP($A98,'Data shares'!$C:$FA,128)*100</f>
        <v>6.1</v>
      </c>
      <c r="F98" s="49">
        <f>VLOOKUP($A98,'Data shares'!$C:$FA,129)</f>
        <v>485775</v>
      </c>
      <c r="G98" s="17"/>
    </row>
    <row r="99" spans="1:7" x14ac:dyDescent="0.25">
      <c r="A99" s="101" t="s">
        <v>192</v>
      </c>
      <c r="B99" s="17">
        <v>1737683</v>
      </c>
      <c r="C99" s="17">
        <v>235900</v>
      </c>
      <c r="D99" s="17">
        <f t="shared" si="1"/>
        <v>235900</v>
      </c>
      <c r="E99" s="49">
        <f>VLOOKUP($A99,'Data shares'!$C:$FA,128)*100</f>
        <v>1.26</v>
      </c>
      <c r="F99" s="49">
        <f>VLOOKUP($A99,'Data shares'!$C:$FA,129)</f>
        <v>3025</v>
      </c>
      <c r="G99" s="17"/>
    </row>
    <row r="100" spans="1:7" x14ac:dyDescent="0.25">
      <c r="A100" s="101" t="s">
        <v>531</v>
      </c>
      <c r="B100" s="17">
        <v>33015657</v>
      </c>
      <c r="C100" s="17">
        <v>9033700</v>
      </c>
      <c r="D100" s="17">
        <f t="shared" si="1"/>
        <v>9033700</v>
      </c>
      <c r="E100" s="49">
        <f>VLOOKUP($A100,'Data shares'!$C:$FA,128)*100</f>
        <v>8.44</v>
      </c>
      <c r="F100" s="49">
        <f>VLOOKUP($A100,'Data shares'!$C:$FA,129)</f>
        <v>643800</v>
      </c>
      <c r="G100" s="17"/>
    </row>
    <row r="101" spans="1:7" x14ac:dyDescent="0.25">
      <c r="A101" s="101" t="s">
        <v>494</v>
      </c>
      <c r="B101" s="17">
        <v>147873568</v>
      </c>
      <c r="C101" s="17">
        <v>20386400</v>
      </c>
      <c r="D101" s="17">
        <f t="shared" si="1"/>
        <v>20386400</v>
      </c>
      <c r="E101" s="49">
        <f>VLOOKUP($A101,'Data shares'!$C:$FA,128)*100</f>
        <v>1.59</v>
      </c>
      <c r="F101" s="49">
        <f>VLOOKUP($A101,'Data shares'!$C:$FA,129)</f>
        <v>809350</v>
      </c>
      <c r="G101" s="17"/>
    </row>
    <row r="102" spans="1:7" x14ac:dyDescent="0.25">
      <c r="A102" s="101" t="s">
        <v>473</v>
      </c>
      <c r="B102" s="17">
        <v>162372116</v>
      </c>
      <c r="C102" s="17">
        <v>43206800</v>
      </c>
      <c r="D102" s="17">
        <f t="shared" si="1"/>
        <v>43206800</v>
      </c>
      <c r="E102" s="49">
        <f>VLOOKUP($A102,'Data shares'!$C:$FA,128)*100</f>
        <v>4.62</v>
      </c>
      <c r="F102" s="49">
        <f>VLOOKUP($A102,'Data shares'!$C:$FA,129)</f>
        <v>3785900</v>
      </c>
      <c r="G102" s="17"/>
    </row>
    <row r="103" spans="1:7" x14ac:dyDescent="0.25">
      <c r="A103" s="101" t="s">
        <v>225</v>
      </c>
      <c r="B103" s="17">
        <v>187118353</v>
      </c>
      <c r="C103" s="17">
        <v>49800300</v>
      </c>
      <c r="D103" s="17">
        <f t="shared" si="1"/>
        <v>49800300</v>
      </c>
      <c r="E103" s="49">
        <f>VLOOKUP($A103,'Data shares'!$C:$FA,128)*100</f>
        <v>8.81</v>
      </c>
      <c r="F103" s="49">
        <f>VLOOKUP($A103,'Data shares'!$C:$FA,129)</f>
        <v>4423100</v>
      </c>
      <c r="G103" s="17"/>
    </row>
    <row r="104" spans="1:7" x14ac:dyDescent="0.25">
      <c r="A104" s="101" t="s">
        <v>504</v>
      </c>
      <c r="B104" s="17">
        <v>12641694</v>
      </c>
      <c r="C104" s="17">
        <v>6728400</v>
      </c>
      <c r="D104" s="17">
        <f t="shared" si="1"/>
        <v>6728400</v>
      </c>
      <c r="E104" s="49">
        <f>VLOOKUP($A104,'Data shares'!$C:$FA,128)*100</f>
        <v>1.95</v>
      </c>
      <c r="F104" s="49">
        <f>VLOOKUP($A104,'Data shares'!$C:$FA,129)</f>
        <v>64400</v>
      </c>
      <c r="G104" s="17"/>
    </row>
    <row r="105" spans="1:7" x14ac:dyDescent="0.25">
      <c r="A105" s="101" t="s">
        <v>537</v>
      </c>
      <c r="B105" s="17">
        <v>6343591</v>
      </c>
      <c r="C105" s="17">
        <v>1262250</v>
      </c>
      <c r="D105" s="17">
        <f t="shared" si="1"/>
        <v>1262250</v>
      </c>
      <c r="E105" s="49">
        <f>VLOOKUP($A105,'Data shares'!$C:$FA,128)*100</f>
        <v>8.42</v>
      </c>
      <c r="F105" s="49">
        <f>VLOOKUP($A105,'Data shares'!$C:$FA,129)</f>
        <v>172725</v>
      </c>
      <c r="G105" s="17"/>
    </row>
    <row r="106" spans="1:7" x14ac:dyDescent="0.25">
      <c r="A106" s="101" t="s">
        <v>256</v>
      </c>
      <c r="B106" s="17">
        <v>62880735</v>
      </c>
      <c r="C106" s="17">
        <v>20391250</v>
      </c>
      <c r="D106" s="17">
        <f t="shared" si="1"/>
        <v>20391250</v>
      </c>
      <c r="E106" s="49">
        <f>VLOOKUP($A106,'Data shares'!$C:$FA,128)*100</f>
        <v>4.91</v>
      </c>
      <c r="F106" s="49">
        <f>VLOOKUP($A106,'Data shares'!$C:$FA,129)</f>
        <v>242175</v>
      </c>
      <c r="G106" s="17"/>
    </row>
    <row r="107" spans="1:7" x14ac:dyDescent="0.25">
      <c r="A107" s="101" t="s">
        <v>514</v>
      </c>
      <c r="B107" s="17">
        <v>179174844</v>
      </c>
      <c r="C107" s="17">
        <v>67477500</v>
      </c>
      <c r="D107" s="17">
        <f t="shared" si="1"/>
        <v>67477500</v>
      </c>
      <c r="E107" s="49">
        <f>VLOOKUP($A107,'Data shares'!$C:$FA,128)*100</f>
        <v>4.5999999999999996</v>
      </c>
      <c r="F107" s="49">
        <f>VLOOKUP($A107,'Data shares'!$C:$FA,129)</f>
        <v>3303000</v>
      </c>
      <c r="G107" s="17"/>
    </row>
    <row r="108" spans="1:7" x14ac:dyDescent="0.25">
      <c r="A108" s="101" t="s">
        <v>272</v>
      </c>
      <c r="B108" s="17">
        <v>150000017</v>
      </c>
      <c r="C108" s="17">
        <v>35217000</v>
      </c>
      <c r="D108" s="17">
        <f t="shared" si="1"/>
        <v>35217000</v>
      </c>
      <c r="E108" s="49">
        <f>VLOOKUP($A108,'Data shares'!$C:$FA,128)*100</f>
        <v>1.6500000000000001</v>
      </c>
      <c r="F108" s="49">
        <f>VLOOKUP($A108,'Data shares'!$C:$FA,129)</f>
        <v>475000</v>
      </c>
      <c r="G108" s="17"/>
    </row>
    <row r="109" spans="1:7" x14ac:dyDescent="0.25">
      <c r="A109" s="101" t="s">
        <v>470</v>
      </c>
      <c r="B109" s="17">
        <v>6091932</v>
      </c>
      <c r="C109" s="17">
        <v>1893300</v>
      </c>
      <c r="D109" s="17">
        <f t="shared" si="1"/>
        <v>1893300</v>
      </c>
      <c r="E109" s="49">
        <f>VLOOKUP($A109,'Data shares'!$C:$FA,128)*100</f>
        <v>3.45</v>
      </c>
      <c r="F109" s="49">
        <f>VLOOKUP($A109,'Data shares'!$C:$FA,129)</f>
        <v>583175</v>
      </c>
      <c r="G109" s="17"/>
    </row>
    <row r="110" spans="1:7" x14ac:dyDescent="0.25">
      <c r="A110" s="101" t="s">
        <v>176</v>
      </c>
      <c r="B110" s="17">
        <v>12437219</v>
      </c>
      <c r="C110" s="17">
        <v>1155950</v>
      </c>
      <c r="D110" s="17">
        <f t="shared" si="1"/>
        <v>1155950</v>
      </c>
      <c r="E110" s="49">
        <f>VLOOKUP($A110,'Data shares'!$C:$FA,128)*100</f>
        <v>9.24</v>
      </c>
      <c r="F110" s="49">
        <f>VLOOKUP($A110,'Data shares'!$C:$FA,129)</f>
        <v>1049300</v>
      </c>
      <c r="G110" s="17"/>
    </row>
    <row r="111" spans="1:7" x14ac:dyDescent="0.25">
      <c r="A111" s="101" t="s">
        <v>524</v>
      </c>
      <c r="B111" s="17">
        <v>16479425</v>
      </c>
      <c r="C111" s="17">
        <v>1670750</v>
      </c>
      <c r="D111" s="17">
        <f t="shared" si="1"/>
        <v>1670750</v>
      </c>
      <c r="E111" s="49">
        <f>VLOOKUP($A111,'Data shares'!$C:$FA,128)*100</f>
        <v>0.98</v>
      </c>
      <c r="F111" s="49">
        <f>VLOOKUP($A111,'Data shares'!$C:$FA,129)</f>
        <v>26325</v>
      </c>
      <c r="G111" s="17"/>
    </row>
    <row r="112" spans="1:7" x14ac:dyDescent="0.25">
      <c r="A112" s="101" t="s">
        <v>487</v>
      </c>
      <c r="B112" s="17">
        <v>16533935</v>
      </c>
      <c r="C112" s="17">
        <v>1807050</v>
      </c>
      <c r="D112" s="17">
        <f t="shared" si="1"/>
        <v>1807050</v>
      </c>
      <c r="E112" s="49">
        <f>VLOOKUP($A112,'Data shares'!$C:$FA,128)*100</f>
        <v>1.0900000000000001</v>
      </c>
      <c r="F112" s="49">
        <f>VLOOKUP($A112,'Data shares'!$C:$FA,129)</f>
        <v>40700</v>
      </c>
      <c r="G112" s="17"/>
    </row>
    <row r="113" spans="1:7" x14ac:dyDescent="0.25">
      <c r="A113" s="101" t="s">
        <v>305</v>
      </c>
      <c r="B113" s="17">
        <v>46126252</v>
      </c>
      <c r="C113" s="17">
        <v>7513500</v>
      </c>
      <c r="D113" s="17">
        <f t="shared" si="1"/>
        <v>7513500</v>
      </c>
      <c r="E113" s="49">
        <f>VLOOKUP($A113,'Data shares'!$C:$FA,128)*100</f>
        <v>3.85</v>
      </c>
      <c r="F113" s="49">
        <f>VLOOKUP($A113,'Data shares'!$C:$FA,129)</f>
        <v>366750</v>
      </c>
      <c r="G113" s="17"/>
    </row>
    <row r="114" spans="1:7" x14ac:dyDescent="0.25">
      <c r="A114" s="101" t="s">
        <v>238</v>
      </c>
      <c r="B114" s="17">
        <v>19428657</v>
      </c>
      <c r="C114" s="17">
        <v>5637750</v>
      </c>
      <c r="D114" s="17">
        <f t="shared" si="1"/>
        <v>5637750</v>
      </c>
      <c r="E114" s="49">
        <f>VLOOKUP($A114,'Data shares'!$C:$FA,128)*100</f>
        <v>3.4799999999999995</v>
      </c>
      <c r="F114" s="49">
        <f>VLOOKUP($A114,'Data shares'!$C:$FA,129)</f>
        <v>269550</v>
      </c>
      <c r="G114" s="17"/>
    </row>
    <row r="115" spans="1:7" x14ac:dyDescent="0.25">
      <c r="A115" s="101" t="s">
        <v>527</v>
      </c>
      <c r="B115" s="17">
        <v>7494363</v>
      </c>
      <c r="C115" s="17">
        <v>739375</v>
      </c>
      <c r="D115" s="17">
        <f t="shared" si="1"/>
        <v>739375</v>
      </c>
      <c r="E115" s="49">
        <f>VLOOKUP($A115,'Data shares'!$C:$FA,128)*100</f>
        <v>11.12</v>
      </c>
      <c r="F115" s="49">
        <f>VLOOKUP($A115,'Data shares'!$C:$FA,129)</f>
        <v>21493100</v>
      </c>
      <c r="G115" s="17"/>
    </row>
    <row r="116" spans="1:7" x14ac:dyDescent="0.25">
      <c r="A116" s="101" t="s">
        <v>489</v>
      </c>
      <c r="B116" s="17">
        <v>9087752</v>
      </c>
      <c r="C116" s="17">
        <v>1575750</v>
      </c>
      <c r="D116" s="17">
        <f t="shared" si="1"/>
        <v>1575750</v>
      </c>
      <c r="E116" s="49">
        <f>VLOOKUP($A116,'Data shares'!$C:$FA,128)*100</f>
        <v>3.05</v>
      </c>
      <c r="F116" s="49">
        <f>VLOOKUP($A116,'Data shares'!$C:$FA,129)</f>
        <v>1080000</v>
      </c>
      <c r="G116" s="17"/>
    </row>
    <row r="117" spans="1:7" x14ac:dyDescent="0.25">
      <c r="A117" s="101" t="s">
        <v>484</v>
      </c>
      <c r="B117" s="17">
        <v>3300938</v>
      </c>
      <c r="C117" s="17">
        <v>190125</v>
      </c>
      <c r="D117" s="17">
        <f t="shared" si="1"/>
        <v>190125</v>
      </c>
      <c r="E117" s="49">
        <f>VLOOKUP($A117,'Data shares'!$C:$FA,128)*100</f>
        <v>2.78</v>
      </c>
      <c r="F117" s="49">
        <f>VLOOKUP($A117,'Data shares'!$C:$FA,129)</f>
        <v>1549600</v>
      </c>
      <c r="G117" s="17"/>
    </row>
    <row r="118" spans="1:7" x14ac:dyDescent="0.25">
      <c r="A118" s="101" t="s">
        <v>285</v>
      </c>
      <c r="B118" s="17">
        <v>17806068</v>
      </c>
      <c r="C118" s="17">
        <v>1857900</v>
      </c>
      <c r="D118" s="17">
        <f t="shared" si="1"/>
        <v>1857900</v>
      </c>
      <c r="E118" s="49">
        <f>VLOOKUP($A118,'Data shares'!$C:$FA,128)*100</f>
        <v>1.73</v>
      </c>
      <c r="F118" s="49">
        <f>VLOOKUP($A118,'Data shares'!$C:$FA,129)</f>
        <v>42875</v>
      </c>
      <c r="G118" s="17"/>
    </row>
    <row r="119" spans="1:7" x14ac:dyDescent="0.25">
      <c r="A119" s="101" t="s">
        <v>554</v>
      </c>
      <c r="B119" s="17">
        <v>18562709</v>
      </c>
      <c r="C119" s="17">
        <v>2173500</v>
      </c>
      <c r="D119" s="17">
        <f t="shared" si="1"/>
        <v>2173500</v>
      </c>
      <c r="E119" s="49">
        <f>VLOOKUP($A119,'Data shares'!$C:$FA,128)*100</f>
        <v>3.53</v>
      </c>
      <c r="F119" s="49">
        <f>VLOOKUP($A119,'Data shares'!$C:$FA,129)</f>
        <v>3301750</v>
      </c>
      <c r="G119" s="17"/>
    </row>
    <row r="120" spans="1:7" x14ac:dyDescent="0.25">
      <c r="A120" s="101" t="s">
        <v>293</v>
      </c>
      <c r="B120" s="17">
        <v>339616396</v>
      </c>
      <c r="C120" s="17">
        <v>214528500</v>
      </c>
      <c r="D120" s="17">
        <f t="shared" si="1"/>
        <v>214528500</v>
      </c>
      <c r="E120" s="49">
        <f>VLOOKUP($A120,'Data shares'!$C:$FA,128)*100</f>
        <v>3.18</v>
      </c>
      <c r="F120" s="49">
        <f>VLOOKUP($A120,'Data shares'!$C:$FA,129)</f>
        <v>1525400</v>
      </c>
      <c r="G120" s="17"/>
    </row>
    <row r="121" spans="1:7" x14ac:dyDescent="0.25">
      <c r="A121" s="101" t="s">
        <v>282</v>
      </c>
      <c r="B121" s="17">
        <v>289139949</v>
      </c>
      <c r="C121" s="17">
        <v>230878500</v>
      </c>
      <c r="D121" s="17">
        <f t="shared" si="1"/>
        <v>230878500</v>
      </c>
      <c r="E121" s="49">
        <f>VLOOKUP($A121,'Data shares'!$C:$FA,128)*100</f>
        <v>1.63</v>
      </c>
      <c r="F121" s="49">
        <f>VLOOKUP($A121,'Data shares'!$C:$FA,129)</f>
        <v>2679000</v>
      </c>
      <c r="G121" s="17"/>
    </row>
    <row r="122" spans="1:7" x14ac:dyDescent="0.25">
      <c r="A122" s="101" t="s">
        <v>248</v>
      </c>
      <c r="B122" s="17">
        <v>60244101</v>
      </c>
      <c r="C122" s="17">
        <v>36578000</v>
      </c>
      <c r="D122" s="17">
        <f t="shared" si="1"/>
        <v>36578000</v>
      </c>
      <c r="E122" s="49">
        <f>VLOOKUP($A122,'Data shares'!$C:$FA,128)*100</f>
        <v>1.46</v>
      </c>
      <c r="F122" s="49">
        <f>VLOOKUP($A122,'Data shares'!$C:$FA,129)</f>
        <v>424000</v>
      </c>
      <c r="G122" s="17"/>
    </row>
    <row r="123" spans="1:7" x14ac:dyDescent="0.25">
      <c r="A123" s="101" t="s">
        <v>189</v>
      </c>
      <c r="B123" s="17">
        <v>510707358</v>
      </c>
      <c r="C123" s="17">
        <v>94385350</v>
      </c>
      <c r="D123" s="17">
        <f t="shared" si="1"/>
        <v>94385350</v>
      </c>
      <c r="E123" s="49">
        <f>VLOOKUP($A123,'Data shares'!$C:$FA,128)*100</f>
        <v>17.32</v>
      </c>
      <c r="F123" s="49">
        <f>VLOOKUP($A123,'Data shares'!$C:$FA,129)</f>
        <v>10573025</v>
      </c>
      <c r="G123" s="17"/>
    </row>
    <row r="124" spans="1:7" x14ac:dyDescent="0.25">
      <c r="A124" s="101" t="s">
        <v>213</v>
      </c>
      <c r="B124" s="17">
        <v>425164259</v>
      </c>
      <c r="C124" s="17">
        <v>85375600</v>
      </c>
      <c r="D124" s="17">
        <f t="shared" si="1"/>
        <v>85375600</v>
      </c>
      <c r="E124" s="49">
        <f>VLOOKUP($A124,'Data shares'!$C:$FA,128)*100</f>
        <v>8.18</v>
      </c>
      <c r="F124" s="49">
        <f>VLOOKUP($A124,'Data shares'!$C:$FA,129)</f>
        <v>6020550</v>
      </c>
      <c r="G124" s="17"/>
    </row>
    <row r="125" spans="1:7" x14ac:dyDescent="0.25">
      <c r="A125" s="101" t="s">
        <v>295</v>
      </c>
      <c r="B125" s="17">
        <v>205769415</v>
      </c>
      <c r="C125" s="17">
        <v>21452100</v>
      </c>
      <c r="D125" s="17">
        <f t="shared" si="1"/>
        <v>21452100</v>
      </c>
      <c r="E125" s="49">
        <f>VLOOKUP($A125,'Data shares'!$C:$FA,128)*100</f>
        <v>8.2000000000000011</v>
      </c>
      <c r="F125" s="49">
        <f>VLOOKUP($A125,'Data shares'!$C:$FA,129)</f>
        <v>2763400</v>
      </c>
      <c r="G125" s="17"/>
    </row>
    <row r="126" spans="1:7" x14ac:dyDescent="0.25">
      <c r="A126" s="101" t="s">
        <v>490</v>
      </c>
      <c r="B126" s="17">
        <v>52165566</v>
      </c>
      <c r="C126" s="17">
        <v>22212750</v>
      </c>
      <c r="D126" s="17">
        <f t="shared" si="1"/>
        <v>22212750</v>
      </c>
      <c r="E126" s="49">
        <f>VLOOKUP($A126,'Data shares'!$C:$FA,128)*100</f>
        <v>7.8299999999999992</v>
      </c>
      <c r="F126" s="49">
        <f>VLOOKUP($A126,'Data shares'!$C:$FA,129)</f>
        <v>8575125</v>
      </c>
      <c r="G126" s="17"/>
    </row>
    <row r="127" spans="1:7" x14ac:dyDescent="0.25">
      <c r="A127" s="101" t="s">
        <v>260</v>
      </c>
      <c r="B127" s="17">
        <v>241729538</v>
      </c>
      <c r="C127" s="17">
        <v>65383500</v>
      </c>
      <c r="D127" s="17">
        <f t="shared" si="1"/>
        <v>65383500</v>
      </c>
      <c r="E127" s="49">
        <f>VLOOKUP($A127,'Data shares'!$C:$FA,128)*100</f>
        <v>7.5600000000000005</v>
      </c>
      <c r="F127" s="49">
        <f>VLOOKUP($A127,'Data shares'!$C:$FA,129)</f>
        <v>10387350</v>
      </c>
      <c r="G127" s="17"/>
    </row>
    <row r="128" spans="1:7" x14ac:dyDescent="0.25">
      <c r="A128" s="101" t="s">
        <v>171</v>
      </c>
      <c r="B128" s="17">
        <v>56444627</v>
      </c>
      <c r="C128" s="17">
        <v>23336250</v>
      </c>
      <c r="D128" s="17">
        <f t="shared" si="1"/>
        <v>23336250</v>
      </c>
      <c r="E128" s="49">
        <f>VLOOKUP($A128,'Data shares'!$C:$FA,128)*100</f>
        <v>0.76</v>
      </c>
      <c r="F128" s="49">
        <f>VLOOKUP($A128,'Data shares'!$C:$FA,129)</f>
        <v>61600</v>
      </c>
      <c r="G128" s="17"/>
    </row>
    <row r="129" spans="1:7" x14ac:dyDescent="0.25">
      <c r="A129" s="101" t="s">
        <v>462</v>
      </c>
      <c r="B129" s="17">
        <v>88648462</v>
      </c>
      <c r="C129" s="17">
        <v>11150250</v>
      </c>
      <c r="D129" s="17">
        <f t="shared" si="1"/>
        <v>11150250</v>
      </c>
      <c r="E129" s="49">
        <f>VLOOKUP($A129,'Data shares'!$C:$FA,128)*100</f>
        <v>12.790000000000001</v>
      </c>
      <c r="F129" s="49">
        <f>VLOOKUP($A129,'Data shares'!$C:$FA,129)</f>
        <v>1320750</v>
      </c>
      <c r="G129" s="17"/>
    </row>
    <row r="130" spans="1:7" x14ac:dyDescent="0.25">
      <c r="A130" s="101" t="s">
        <v>274</v>
      </c>
      <c r="B130" s="17">
        <v>30511703</v>
      </c>
      <c r="C130" s="17">
        <v>3556000</v>
      </c>
      <c r="D130" s="17">
        <f t="shared" si="1"/>
        <v>3556000</v>
      </c>
      <c r="E130" s="49">
        <f>VLOOKUP($A130,'Data shares'!$C:$FA,128)*100</f>
        <v>1.1199999999999999</v>
      </c>
      <c r="F130" s="49">
        <f>VLOOKUP($A130,'Data shares'!$C:$FA,129)</f>
        <v>84500</v>
      </c>
      <c r="G130" s="17"/>
    </row>
    <row r="131" spans="1:7" x14ac:dyDescent="0.25">
      <c r="A131" s="101" t="s">
        <v>279</v>
      </c>
      <c r="B131" s="17">
        <v>119890099</v>
      </c>
      <c r="C131" s="17">
        <v>77232800</v>
      </c>
      <c r="D131" s="17">
        <f t="shared" si="1"/>
        <v>77232800</v>
      </c>
      <c r="E131" s="49">
        <f>VLOOKUP($A131,'Data shares'!$C:$FA,128)*100</f>
        <v>0.82000000000000006</v>
      </c>
      <c r="F131" s="49">
        <f>VLOOKUP($A131,'Data shares'!$C:$FA,129)</f>
        <v>542925</v>
      </c>
      <c r="G131" s="17"/>
    </row>
    <row r="132" spans="1:7" x14ac:dyDescent="0.25">
      <c r="A132" s="101" t="s">
        <v>247</v>
      </c>
      <c r="B132" s="17">
        <v>180580821</v>
      </c>
      <c r="C132" s="17">
        <v>128041552</v>
      </c>
      <c r="D132" s="17">
        <f t="shared" si="1"/>
        <v>128041552</v>
      </c>
      <c r="E132" s="49">
        <f>VLOOKUP($A132,'Data shares'!$C:$FA,128)*100</f>
        <v>4.96</v>
      </c>
      <c r="F132" s="49">
        <f>VLOOKUP($A132,'Data shares'!$C:$FA,129)</f>
        <v>220975</v>
      </c>
      <c r="G132" s="17"/>
    </row>
    <row r="133" spans="1:7" x14ac:dyDescent="0.25">
      <c r="A133" s="101" t="s">
        <v>291</v>
      </c>
      <c r="B133" s="17">
        <v>120211514</v>
      </c>
      <c r="C133" s="17">
        <v>18359325</v>
      </c>
      <c r="D133" s="17">
        <f t="shared" si="1"/>
        <v>18359325</v>
      </c>
      <c r="E133" s="49">
        <f>VLOOKUP($A133,'Data shares'!$C:$FA,128)*100</f>
        <v>10.32</v>
      </c>
      <c r="F133" s="49">
        <f>VLOOKUP($A133,'Data shares'!$C:$FA,129)</f>
        <v>969650</v>
      </c>
      <c r="G133" s="17"/>
    </row>
    <row r="134" spans="1:7" x14ac:dyDescent="0.25">
      <c r="A134" s="101" t="s">
        <v>269</v>
      </c>
      <c r="B134" s="17">
        <v>996134149</v>
      </c>
      <c r="C134" s="17">
        <v>204565900</v>
      </c>
      <c r="D134" s="17">
        <f t="shared" si="1"/>
        <v>204565900</v>
      </c>
      <c r="E134" s="49">
        <f>VLOOKUP($A134,'Data shares'!$C:$FA,128)*100</f>
        <v>18.64</v>
      </c>
      <c r="F134" s="49">
        <f>VLOOKUP($A134,'Data shares'!$C:$FA,129)</f>
        <v>18668250</v>
      </c>
      <c r="G134" s="17"/>
    </row>
    <row r="135" spans="1:7" x14ac:dyDescent="0.25">
      <c r="A135" s="101" t="s">
        <v>217</v>
      </c>
      <c r="B135" s="17">
        <v>75218562</v>
      </c>
      <c r="C135" s="17">
        <v>11613000</v>
      </c>
      <c r="D135" s="17">
        <f t="shared" ref="D135:D161" si="2">C135</f>
        <v>11613000</v>
      </c>
      <c r="E135" s="49">
        <f>VLOOKUP($A135,'Data shares'!$C:$FA,128)*100</f>
        <v>5.46</v>
      </c>
      <c r="F135" s="49">
        <f>VLOOKUP($A135,'Data shares'!$C:$FA,129)</f>
        <v>708000</v>
      </c>
      <c r="G135" s="17"/>
    </row>
    <row r="136" spans="1:7" x14ac:dyDescent="0.25">
      <c r="A136" s="101" t="s">
        <v>495</v>
      </c>
      <c r="B136" s="17">
        <v>44974045</v>
      </c>
      <c r="C136" s="17">
        <v>4232500</v>
      </c>
      <c r="D136" s="17">
        <f t="shared" si="2"/>
        <v>4232500</v>
      </c>
      <c r="E136" s="49">
        <f>VLOOKUP($A136,'Data shares'!$C:$FA,128)*100</f>
        <v>5.67</v>
      </c>
      <c r="F136" s="49">
        <f>VLOOKUP($A136,'Data shares'!$C:$FA,129)</f>
        <v>1423000</v>
      </c>
      <c r="G136" s="17"/>
    </row>
    <row r="137" spans="1:7" x14ac:dyDescent="0.25">
      <c r="A137" s="101" t="s">
        <v>250</v>
      </c>
      <c r="B137" s="17">
        <v>48318354</v>
      </c>
      <c r="C137" s="17">
        <v>18007250</v>
      </c>
      <c r="D137" s="17">
        <f t="shared" si="2"/>
        <v>18007250</v>
      </c>
      <c r="E137" s="49">
        <f>VLOOKUP($A137,'Data shares'!$C:$FA,128)*100</f>
        <v>5.6800000000000006</v>
      </c>
      <c r="F137" s="49">
        <f>VLOOKUP($A137,'Data shares'!$C:$FA,129)</f>
        <v>407150</v>
      </c>
      <c r="G137" s="17"/>
    </row>
    <row r="138" spans="1:7" x14ac:dyDescent="0.25">
      <c r="A138" s="101" t="s">
        <v>278</v>
      </c>
      <c r="B138" s="17">
        <v>27187764</v>
      </c>
      <c r="C138" s="17">
        <v>3521550</v>
      </c>
      <c r="D138" s="17">
        <f t="shared" si="2"/>
        <v>3521550</v>
      </c>
      <c r="E138" s="49">
        <f>VLOOKUP($A138,'Data shares'!$C:$FA,128)*100</f>
        <v>4.1500000000000004</v>
      </c>
      <c r="F138" s="49">
        <f>VLOOKUP($A138,'Data shares'!$C:$FA,129)</f>
        <v>246150</v>
      </c>
      <c r="G138" s="17"/>
    </row>
    <row r="139" spans="1:7" x14ac:dyDescent="0.25">
      <c r="A139" s="101" t="s">
        <v>163</v>
      </c>
      <c r="B139" s="17">
        <v>24576009</v>
      </c>
      <c r="C139" s="17">
        <v>11979000</v>
      </c>
      <c r="D139" s="17">
        <f t="shared" si="2"/>
        <v>11979000</v>
      </c>
      <c r="E139" s="49">
        <f>VLOOKUP($A139,'Data shares'!$C:$FA,128)*100</f>
        <v>0.89999999999999991</v>
      </c>
      <c r="F139" s="49">
        <f>VLOOKUP($A139,'Data shares'!$C:$FA,129)</f>
        <v>7625</v>
      </c>
      <c r="G139" s="17"/>
    </row>
    <row r="140" spans="1:7" x14ac:dyDescent="0.25">
      <c r="A140" s="101" t="s">
        <v>289</v>
      </c>
      <c r="B140" s="17">
        <v>19704232</v>
      </c>
      <c r="C140" s="17">
        <v>15520500</v>
      </c>
      <c r="D140" s="17">
        <f t="shared" si="2"/>
        <v>15520500</v>
      </c>
      <c r="E140" s="49">
        <f>VLOOKUP($A140,'Data shares'!$C:$FA,128)*100</f>
        <v>13.320000000000002</v>
      </c>
      <c r="F140" s="49">
        <f>VLOOKUP($A140,'Data shares'!$C:$FA,129)</f>
        <v>3677450</v>
      </c>
      <c r="G140" s="17"/>
    </row>
    <row r="141" spans="1:7" x14ac:dyDescent="0.25">
      <c r="A141" s="101" t="s">
        <v>529</v>
      </c>
      <c r="B141" s="17">
        <v>10012679</v>
      </c>
      <c r="C141" s="17">
        <v>530550</v>
      </c>
      <c r="D141" s="17">
        <f t="shared" si="2"/>
        <v>530550</v>
      </c>
      <c r="E141" s="49">
        <f>VLOOKUP($A141,'Data shares'!$C:$FA,128)*100</f>
        <v>3.11</v>
      </c>
      <c r="F141" s="49">
        <f>VLOOKUP($A141,'Data shares'!$C:$FA,129)</f>
        <v>120100</v>
      </c>
      <c r="G141" s="17"/>
    </row>
    <row r="142" spans="1:7" x14ac:dyDescent="0.25">
      <c r="A142" s="101" t="s">
        <v>265</v>
      </c>
      <c r="B142" s="17">
        <v>7180127</v>
      </c>
      <c r="C142" s="17">
        <v>429550</v>
      </c>
      <c r="D142" s="17">
        <f t="shared" si="2"/>
        <v>429550</v>
      </c>
      <c r="E142" s="49">
        <f>VLOOKUP($A142,'Data shares'!$C:$FA,128)*100</f>
        <v>8.1100000000000012</v>
      </c>
      <c r="F142" s="49">
        <f>VLOOKUP($A142,'Data shares'!$C:$FA,129)</f>
        <v>1087500</v>
      </c>
      <c r="G142" s="17"/>
    </row>
    <row r="143" spans="1:7" x14ac:dyDescent="0.25">
      <c r="A143" s="101" t="s">
        <v>486</v>
      </c>
      <c r="B143" s="17">
        <v>32559242</v>
      </c>
      <c r="C143" s="17">
        <v>4156800</v>
      </c>
      <c r="D143" s="17">
        <f t="shared" si="2"/>
        <v>4156800</v>
      </c>
      <c r="E143" s="49">
        <f>VLOOKUP($A143,'Data shares'!$C:$FA,128)*100</f>
        <v>2.88</v>
      </c>
      <c r="F143" s="49">
        <f>VLOOKUP($A143,'Data shares'!$C:$FA,129)</f>
        <v>60000</v>
      </c>
      <c r="G143" s="17"/>
    </row>
    <row r="144" spans="1:7" x14ac:dyDescent="0.25">
      <c r="A144" s="101" t="s">
        <v>190</v>
      </c>
      <c r="B144" s="17">
        <v>256482590</v>
      </c>
      <c r="C144" s="17">
        <v>208761000</v>
      </c>
      <c r="D144" s="17">
        <f t="shared" si="2"/>
        <v>208761000</v>
      </c>
      <c r="E144" s="49">
        <f>VLOOKUP($A144,'Data shares'!$C:$FA,128)*100</f>
        <v>3.34</v>
      </c>
      <c r="F144" s="49">
        <f>VLOOKUP($A144,'Data shares'!$C:$FA,129)</f>
        <v>4520250</v>
      </c>
      <c r="G144" s="17"/>
    </row>
    <row r="145" spans="1:7" x14ac:dyDescent="0.25">
      <c r="A145" s="101" t="s">
        <v>303</v>
      </c>
      <c r="B145" s="17">
        <v>109653438</v>
      </c>
      <c r="C145" s="17">
        <v>37709100</v>
      </c>
      <c r="D145" s="17">
        <f t="shared" si="2"/>
        <v>37709100</v>
      </c>
      <c r="E145" s="49">
        <f>VLOOKUP($A145,'Data shares'!$C:$FA,128)*100</f>
        <v>1.1400000000000001</v>
      </c>
      <c r="F145" s="49">
        <f>VLOOKUP($A145,'Data shares'!$C:$FA,129)</f>
        <v>329265</v>
      </c>
      <c r="G145" s="17"/>
    </row>
    <row r="146" spans="1:7" x14ac:dyDescent="0.25">
      <c r="A146" s="101" t="s">
        <v>255</v>
      </c>
      <c r="B146" s="17">
        <v>26359259</v>
      </c>
      <c r="C146" s="17">
        <v>6916100</v>
      </c>
      <c r="D146" s="17">
        <f t="shared" si="2"/>
        <v>6916100</v>
      </c>
      <c r="E146" s="49">
        <f>VLOOKUP($A146,'Data shares'!$C:$FA,128)*100</f>
        <v>19.79</v>
      </c>
      <c r="F146" s="49">
        <f>VLOOKUP($A146,'Data shares'!$C:$FA,129)</f>
        <v>620250</v>
      </c>
      <c r="G146" s="17"/>
    </row>
    <row r="147" spans="1:7" x14ac:dyDescent="0.25">
      <c r="A147" s="101" t="s">
        <v>180</v>
      </c>
      <c r="B147" s="17">
        <v>372635498</v>
      </c>
      <c r="C147" s="17">
        <v>233426700</v>
      </c>
      <c r="D147" s="17">
        <f t="shared" si="2"/>
        <v>233426700</v>
      </c>
      <c r="E147" s="49">
        <f>VLOOKUP($A147,'Data shares'!$C:$FA,128)*100</f>
        <v>9</v>
      </c>
      <c r="F147" s="49">
        <f>VLOOKUP($A147,'Data shares'!$C:$FA,129)</f>
        <v>9933300</v>
      </c>
      <c r="G147" s="17"/>
    </row>
    <row r="148" spans="1:7" x14ac:dyDescent="0.25">
      <c r="A148" s="101" t="s">
        <v>179</v>
      </c>
      <c r="B148" s="17">
        <v>193321473</v>
      </c>
      <c r="C148" s="17">
        <v>47098800</v>
      </c>
      <c r="D148" s="17">
        <f t="shared" si="2"/>
        <v>47098800</v>
      </c>
      <c r="E148" s="49">
        <f>VLOOKUP($A148,'Data shares'!$C:$FA,128)*100</f>
        <v>2.4699999999999998</v>
      </c>
      <c r="F148" s="49">
        <f>VLOOKUP($A148,'Data shares'!$C:$FA,129)</f>
        <v>2228400</v>
      </c>
    </row>
    <row r="149" spans="1:7" x14ac:dyDescent="0.25">
      <c r="A149" s="101" t="s">
        <v>253</v>
      </c>
      <c r="B149" s="17">
        <v>109926618</v>
      </c>
      <c r="C149" s="17">
        <v>54285000</v>
      </c>
      <c r="D149" s="17">
        <f t="shared" si="2"/>
        <v>54285000</v>
      </c>
      <c r="E149" s="49">
        <f>VLOOKUP($A149,'Data shares'!$C:$FA,128)*100</f>
        <v>0.89</v>
      </c>
      <c r="F149" s="49">
        <f>VLOOKUP($A149,'Data shares'!$C:$FA,129)</f>
        <v>408000</v>
      </c>
    </row>
    <row r="150" spans="1:7" x14ac:dyDescent="0.25">
      <c r="A150" s="101" t="s">
        <v>261</v>
      </c>
      <c r="B150" s="17">
        <v>611563</v>
      </c>
      <c r="C150" s="17">
        <v>120180</v>
      </c>
      <c r="D150" s="17">
        <f t="shared" si="2"/>
        <v>120180</v>
      </c>
      <c r="E150" s="49">
        <f>VLOOKUP($A150,'Data shares'!$C:$FA,128)*100</f>
        <v>1.0900000000000001</v>
      </c>
      <c r="F150" s="49">
        <f>VLOOKUP($A150,'Data shares'!$C:$FA,129)</f>
        <v>40700</v>
      </c>
    </row>
    <row r="151" spans="1:7" x14ac:dyDescent="0.25">
      <c r="A151" s="101" t="s">
        <v>164</v>
      </c>
      <c r="B151" s="17">
        <v>145854205</v>
      </c>
      <c r="C151" s="17">
        <v>46824000</v>
      </c>
      <c r="D151" s="17">
        <f t="shared" si="2"/>
        <v>46824000</v>
      </c>
      <c r="E151" s="49">
        <f>VLOOKUP($A151,'Data shares'!$C:$FA,128)*100</f>
        <v>2.48</v>
      </c>
      <c r="F151" s="49">
        <f>VLOOKUP($A151,'Data shares'!$C:$FA,129)</f>
        <v>1727850</v>
      </c>
    </row>
    <row r="152" spans="1:7" x14ac:dyDescent="0.25">
      <c r="A152" s="101" t="s">
        <v>526</v>
      </c>
      <c r="B152" s="17">
        <v>44365911</v>
      </c>
      <c r="C152" s="17">
        <v>20668300</v>
      </c>
      <c r="D152" s="17">
        <f t="shared" si="2"/>
        <v>20668300</v>
      </c>
      <c r="E152" s="49">
        <f>VLOOKUP($A152,'Data shares'!$C:$FA,128)*100</f>
        <v>8.42</v>
      </c>
      <c r="F152" s="49">
        <f>VLOOKUP($A152,'Data shares'!$C:$FA,129)</f>
        <v>1762000</v>
      </c>
    </row>
    <row r="153" spans="1:7" x14ac:dyDescent="0.25">
      <c r="A153" s="101" t="s">
        <v>515</v>
      </c>
      <c r="B153" s="17">
        <v>3083179</v>
      </c>
      <c r="C153" s="17">
        <v>492075</v>
      </c>
      <c r="D153" s="17">
        <f t="shared" si="2"/>
        <v>492075</v>
      </c>
      <c r="E153" s="49">
        <f>VLOOKUP($A153,'Data shares'!$C:$FA,128)*100</f>
        <v>8.42</v>
      </c>
      <c r="F153" s="49">
        <f>VLOOKUP($A153,'Data shares'!$C:$FA,129)</f>
        <v>1762000</v>
      </c>
    </row>
    <row r="154" spans="1:7" x14ac:dyDescent="0.25">
      <c r="A154" s="101" t="s">
        <v>226</v>
      </c>
      <c r="B154" s="17">
        <v>26072630</v>
      </c>
      <c r="C154" s="17">
        <v>9897900</v>
      </c>
      <c r="D154" s="17">
        <f t="shared" si="2"/>
        <v>9897900</v>
      </c>
      <c r="E154" s="49">
        <f>VLOOKUP($A154,'Data shares'!$C:$FA,128)*100</f>
        <v>7.64</v>
      </c>
      <c r="F154" s="49">
        <f>VLOOKUP($A154,'Data shares'!$C:$FA,129)</f>
        <v>312900</v>
      </c>
    </row>
    <row r="155" spans="1:7" x14ac:dyDescent="0.25">
      <c r="A155" s="101" t="s">
        <v>544</v>
      </c>
      <c r="B155" s="17">
        <v>139989683</v>
      </c>
      <c r="C155" s="17">
        <v>28415200</v>
      </c>
      <c r="D155" s="17">
        <f t="shared" si="2"/>
        <v>28415200</v>
      </c>
      <c r="E155" s="49">
        <f>VLOOKUP($A155,'Data shares'!$C:$FA,128)*100</f>
        <v>2.44</v>
      </c>
      <c r="F155" s="49">
        <f>VLOOKUP($A155,'Data shares'!$C:$FA,129)</f>
        <v>948600</v>
      </c>
    </row>
    <row r="156" spans="1:7" x14ac:dyDescent="0.25">
      <c r="A156" s="101" t="s">
        <v>547</v>
      </c>
      <c r="B156" s="17">
        <v>65482129</v>
      </c>
      <c r="C156" s="17">
        <v>33944200</v>
      </c>
      <c r="D156" s="17">
        <f t="shared" si="2"/>
        <v>33944200</v>
      </c>
      <c r="E156" s="49">
        <f>VLOOKUP($A156,'Data shares'!$C:$FA,128)*100</f>
        <v>10.23</v>
      </c>
      <c r="F156" s="49">
        <f>VLOOKUP($A156,'Data shares'!$C:$FA,129)</f>
        <v>3341100</v>
      </c>
    </row>
    <row r="157" spans="1:7" x14ac:dyDescent="0.25">
      <c r="A157" s="101" t="s">
        <v>499</v>
      </c>
      <c r="B157" s="17">
        <v>66687240</v>
      </c>
      <c r="C157" s="17">
        <v>16125200</v>
      </c>
      <c r="D157" s="17">
        <f t="shared" si="2"/>
        <v>16125200</v>
      </c>
      <c r="E157" s="49">
        <f>VLOOKUP($A157,'Data shares'!$C:$FA,128)*100</f>
        <v>2.44</v>
      </c>
      <c r="F157" s="49">
        <f>VLOOKUP($A157,'Data shares'!$C:$FA,129)</f>
        <v>948600</v>
      </c>
    </row>
    <row r="158" spans="1:7" x14ac:dyDescent="0.25">
      <c r="A158" s="101" t="s">
        <v>483</v>
      </c>
      <c r="B158" s="17">
        <v>16146181</v>
      </c>
      <c r="C158" s="17">
        <v>1914250</v>
      </c>
      <c r="D158" s="17">
        <f t="shared" si="2"/>
        <v>1914250</v>
      </c>
      <c r="E158" s="49">
        <f>VLOOKUP($A158,'Data shares'!$C:$FA,128)*100</f>
        <v>2.6100000000000003</v>
      </c>
      <c r="F158" s="49">
        <f>VLOOKUP($A158,'Data shares'!$C:$FA,129)</f>
        <v>59500</v>
      </c>
    </row>
    <row r="159" spans="1:7" x14ac:dyDescent="0.25">
      <c r="A159" s="101" t="s">
        <v>546</v>
      </c>
      <c r="B159" s="17">
        <v>18282414</v>
      </c>
      <c r="C159" s="17">
        <v>13742300</v>
      </c>
      <c r="D159" s="17">
        <f t="shared" si="2"/>
        <v>13742300</v>
      </c>
      <c r="E159" s="49">
        <f>VLOOKUP($A159,'Data shares'!$C:$FA,128)*100</f>
        <v>5.3100000000000005</v>
      </c>
      <c r="F159" s="49">
        <f>VLOOKUP($A159,'Data shares'!$C:$FA,129)</f>
        <v>7247025</v>
      </c>
    </row>
    <row r="160" spans="1:7" x14ac:dyDescent="0.25">
      <c r="A160" s="101" t="s">
        <v>220</v>
      </c>
      <c r="B160" s="17">
        <v>50687734</v>
      </c>
      <c r="C160" s="17">
        <v>6783500</v>
      </c>
      <c r="D160" s="17">
        <f t="shared" si="2"/>
        <v>6783500</v>
      </c>
      <c r="E160" s="49">
        <f>VLOOKUP($A160,'Data shares'!$C:$FA,128)*100</f>
        <v>5</v>
      </c>
      <c r="F160" s="49">
        <f>VLOOKUP($A160,'Data shares'!$C:$FA,129)</f>
        <v>495000</v>
      </c>
    </row>
    <row r="161" spans="1:6" x14ac:dyDescent="0.25">
      <c r="A161" s="101" t="s">
        <v>472</v>
      </c>
      <c r="B161" s="17">
        <v>50993734</v>
      </c>
      <c r="C161" s="17">
        <v>3803750</v>
      </c>
      <c r="D161" s="17">
        <f t="shared" si="2"/>
        <v>3803750</v>
      </c>
      <c r="E161" s="49">
        <f>VLOOKUP($A161,'Data shares'!$C:$FA,128)*100</f>
        <v>5.74</v>
      </c>
      <c r="F161" s="49">
        <f>VLOOKUP($A161,'Data shares'!$C:$FA,129)</f>
        <v>301925</v>
      </c>
    </row>
    <row r="162" spans="1:6" x14ac:dyDescent="0.25">
      <c r="A162" t="s">
        <v>535</v>
      </c>
      <c r="B162">
        <v>78168147</v>
      </c>
      <c r="C162">
        <v>9571500</v>
      </c>
      <c r="D162" s="17">
        <f t="shared" ref="D162:D204" si="3">C162</f>
        <v>9571500</v>
      </c>
      <c r="E162" s="49">
        <f>VLOOKUP($A162,'Data shares'!$C:$FA,128)*100</f>
        <v>1.25</v>
      </c>
      <c r="F162" s="49">
        <f>VLOOKUP($A162,'Data shares'!$C:$FA,129)</f>
        <v>235450</v>
      </c>
    </row>
    <row r="163" spans="1:6" x14ac:dyDescent="0.25">
      <c r="A163" t="s">
        <v>492</v>
      </c>
      <c r="B163">
        <v>28779078</v>
      </c>
      <c r="C163">
        <v>14404150</v>
      </c>
      <c r="D163" s="17">
        <f t="shared" si="3"/>
        <v>14404150</v>
      </c>
      <c r="E163" s="49">
        <f>VLOOKUP($A163,'Data shares'!$C:$FA,128)*100</f>
        <v>10.459999999999999</v>
      </c>
      <c r="F163" s="49">
        <f>VLOOKUP($A163,'Data shares'!$C:$FA,129)</f>
        <v>842775</v>
      </c>
    </row>
    <row r="164" spans="1:6" x14ac:dyDescent="0.25">
      <c r="A164" t="s">
        <v>298</v>
      </c>
      <c r="B164">
        <v>9731600</v>
      </c>
      <c r="C164">
        <v>863500</v>
      </c>
      <c r="D164" s="17">
        <f t="shared" si="3"/>
        <v>863500</v>
      </c>
      <c r="E164" s="49">
        <f>VLOOKUP($A164,'Data shares'!$C:$FA,128)*100</f>
        <v>0.33999999999999997</v>
      </c>
      <c r="F164" s="49">
        <f>VLOOKUP($A164,'Data shares'!$C:$FA,129)</f>
        <v>6375</v>
      </c>
    </row>
    <row r="165" spans="1:6" x14ac:dyDescent="0.25">
      <c r="A165" t="s">
        <v>548</v>
      </c>
      <c r="B165">
        <v>442076</v>
      </c>
      <c r="C165">
        <v>9615</v>
      </c>
      <c r="D165" s="17">
        <f t="shared" si="3"/>
        <v>9615</v>
      </c>
      <c r="E165" s="49">
        <f>VLOOKUP($A165,'Data shares'!$C:$FA,128)*100</f>
        <v>3.5000000000000004</v>
      </c>
      <c r="F165" s="49">
        <f>VLOOKUP($A165,'Data shares'!$C:$FA,129)</f>
        <v>1145375</v>
      </c>
    </row>
    <row r="166" spans="1:6" x14ac:dyDescent="0.25">
      <c r="A166" t="s">
        <v>530</v>
      </c>
      <c r="B166">
        <v>3258166</v>
      </c>
      <c r="C166">
        <v>219750</v>
      </c>
      <c r="D166" s="17">
        <f t="shared" si="3"/>
        <v>219750</v>
      </c>
      <c r="E166" s="49">
        <f>VLOOKUP($A166,'Data shares'!$C:$FA,128)*100</f>
        <v>6.1</v>
      </c>
      <c r="F166" s="49">
        <f>VLOOKUP($A166,'Data shares'!$C:$FA,129)</f>
        <v>485775</v>
      </c>
    </row>
    <row r="167" spans="1:6" x14ac:dyDescent="0.25">
      <c r="A167" t="s">
        <v>249</v>
      </c>
      <c r="B167">
        <v>277168216</v>
      </c>
      <c r="C167">
        <v>21795375</v>
      </c>
      <c r="D167" s="17">
        <f t="shared" si="3"/>
        <v>21795375</v>
      </c>
      <c r="E167" s="49">
        <f>VLOOKUP($A167,'Data shares'!$C:$FA,128)*100</f>
        <v>5.71</v>
      </c>
      <c r="F167" s="49">
        <f>VLOOKUP($A167,'Data shares'!$C:$FA,129)</f>
        <v>764225</v>
      </c>
    </row>
    <row r="168" spans="1:6" x14ac:dyDescent="0.25">
      <c r="A168" t="s">
        <v>216</v>
      </c>
      <c r="B168">
        <v>484955219</v>
      </c>
      <c r="C168">
        <v>230400000</v>
      </c>
      <c r="D168" s="17">
        <f t="shared" si="3"/>
        <v>230400000</v>
      </c>
      <c r="E168" s="49">
        <f>VLOOKUP($A168,'Data shares'!$C:$FA,128)*100</f>
        <v>5.3100000000000005</v>
      </c>
      <c r="F168" s="49">
        <f>VLOOKUP($A168,'Data shares'!$C:$FA,129)</f>
        <v>7247025</v>
      </c>
    </row>
    <row r="169" spans="1:6" x14ac:dyDescent="0.25">
      <c r="A169" t="s">
        <v>252</v>
      </c>
      <c r="B169">
        <v>117640832</v>
      </c>
      <c r="C169">
        <v>52456000</v>
      </c>
      <c r="D169" s="17">
        <f t="shared" si="3"/>
        <v>52456000</v>
      </c>
      <c r="E169" s="49">
        <f>VLOOKUP($A169,'Data shares'!$C:$FA,128)*100</f>
        <v>16.329999999999998</v>
      </c>
      <c r="F169" s="49">
        <f>VLOOKUP($A169,'Data shares'!$C:$FA,129)</f>
        <v>3139000</v>
      </c>
    </row>
    <row r="170" spans="1:6" x14ac:dyDescent="0.25">
      <c r="A170" t="s">
        <v>205</v>
      </c>
      <c r="B170">
        <v>25513876</v>
      </c>
      <c r="C170">
        <v>3302300</v>
      </c>
      <c r="D170" s="17">
        <f t="shared" si="3"/>
        <v>3302300</v>
      </c>
      <c r="E170" s="49">
        <f>VLOOKUP($A170,'Data shares'!$C:$FA,128)*100</f>
        <v>12.1</v>
      </c>
      <c r="F170" s="49">
        <f>VLOOKUP($A170,'Data shares'!$C:$FA,129)</f>
        <v>293000</v>
      </c>
    </row>
    <row r="171" spans="1:6" x14ac:dyDescent="0.25">
      <c r="A171" t="s">
        <v>194</v>
      </c>
      <c r="B171">
        <v>202646440</v>
      </c>
      <c r="C171">
        <v>52470000</v>
      </c>
      <c r="D171" s="17">
        <f t="shared" si="3"/>
        <v>52470000</v>
      </c>
      <c r="E171" s="49">
        <f>VLOOKUP($A171,'Data shares'!$C:$FA,128)*100</f>
        <v>9</v>
      </c>
      <c r="F171" s="49">
        <f>VLOOKUP($A171,'Data shares'!$C:$FA,129)</f>
        <v>5097475</v>
      </c>
    </row>
    <row r="172" spans="1:6" x14ac:dyDescent="0.25">
      <c r="A172" t="s">
        <v>263</v>
      </c>
      <c r="B172">
        <v>178967755</v>
      </c>
      <c r="C172">
        <v>142910500</v>
      </c>
      <c r="D172" s="17">
        <f t="shared" si="3"/>
        <v>142910500</v>
      </c>
      <c r="E172" s="49">
        <f>VLOOKUP($A172,'Data shares'!$C:$FA,128)*100</f>
        <v>2.75</v>
      </c>
      <c r="F172" s="49">
        <f>VLOOKUP($A172,'Data shares'!$C:$FA,129)</f>
        <v>1288125</v>
      </c>
    </row>
    <row r="173" spans="1:6" x14ac:dyDescent="0.25">
      <c r="A173" t="s">
        <v>476</v>
      </c>
      <c r="B173">
        <v>40446155</v>
      </c>
      <c r="C173">
        <v>4358800</v>
      </c>
      <c r="D173" s="17">
        <f t="shared" si="3"/>
        <v>4358800</v>
      </c>
      <c r="E173" s="49">
        <f>VLOOKUP($A173,'Data shares'!$C:$FA,128)*100</f>
        <v>0.75</v>
      </c>
      <c r="F173" s="49">
        <f>VLOOKUP($A173,'Data shares'!$C:$FA,129)</f>
        <v>40000</v>
      </c>
    </row>
    <row r="174" spans="1:6" x14ac:dyDescent="0.25">
      <c r="A174" t="s">
        <v>187</v>
      </c>
      <c r="B174">
        <v>51436398</v>
      </c>
      <c r="C174">
        <v>7413750</v>
      </c>
      <c r="D174" s="17">
        <f t="shared" si="3"/>
        <v>7413750</v>
      </c>
      <c r="E174" s="49">
        <f>VLOOKUP($A174,'Data shares'!$C:$FA,128)*100</f>
        <v>1.46</v>
      </c>
      <c r="F174" s="49">
        <f>VLOOKUP($A174,'Data shares'!$C:$FA,129)</f>
        <v>87000</v>
      </c>
    </row>
    <row r="175" spans="1:6" x14ac:dyDescent="0.25">
      <c r="A175" t="s">
        <v>493</v>
      </c>
      <c r="B175">
        <v>14814614</v>
      </c>
      <c r="C175">
        <v>3344250</v>
      </c>
      <c r="D175" s="17">
        <f t="shared" si="3"/>
        <v>3344250</v>
      </c>
      <c r="E175" s="49">
        <f>VLOOKUP($A175,'Data shares'!$C:$FA,128)*100</f>
        <v>0.98</v>
      </c>
      <c r="F175" s="49">
        <f>VLOOKUP($A175,'Data shares'!$C:$FA,129)</f>
        <v>26325</v>
      </c>
    </row>
    <row r="176" spans="1:6" x14ac:dyDescent="0.25">
      <c r="A176" t="s">
        <v>525</v>
      </c>
      <c r="B176">
        <v>35635456</v>
      </c>
      <c r="C176">
        <v>28959300</v>
      </c>
      <c r="D176" s="17">
        <f t="shared" si="3"/>
        <v>28959300</v>
      </c>
      <c r="E176" s="49">
        <f>VLOOKUP($A176,'Data shares'!$C:$FA,128)*100</f>
        <v>1.1400000000000001</v>
      </c>
      <c r="F176" s="49">
        <f>VLOOKUP($A176,'Data shares'!$C:$FA,129)</f>
        <v>317475</v>
      </c>
    </row>
    <row r="177" spans="1:6" x14ac:dyDescent="0.25">
      <c r="A177" t="s">
        <v>512</v>
      </c>
      <c r="B177">
        <v>7771646</v>
      </c>
      <c r="C177">
        <v>1119375</v>
      </c>
      <c r="D177" s="17">
        <f t="shared" si="3"/>
        <v>1119375</v>
      </c>
      <c r="E177" s="49">
        <f>VLOOKUP($A177,'Data shares'!$C:$FA,128)*100</f>
        <v>6.13</v>
      </c>
      <c r="F177" s="49">
        <f>VLOOKUP($A177,'Data shares'!$C:$FA,129)</f>
        <v>179200</v>
      </c>
    </row>
    <row r="178" spans="1:6" x14ac:dyDescent="0.25">
      <c r="A178" t="s">
        <v>233</v>
      </c>
      <c r="B178">
        <v>76432837</v>
      </c>
      <c r="C178">
        <v>9804000</v>
      </c>
      <c r="D178" s="17">
        <f t="shared" si="3"/>
        <v>9804000</v>
      </c>
      <c r="E178" s="49">
        <f>VLOOKUP($A178,'Data shares'!$C:$FA,128)*100</f>
        <v>1.22</v>
      </c>
      <c r="F178" s="49">
        <f>VLOOKUP($A178,'Data shares'!$C:$FA,129)</f>
        <v>235875</v>
      </c>
    </row>
    <row r="179" spans="1:6" x14ac:dyDescent="0.25">
      <c r="A179" t="s">
        <v>183</v>
      </c>
      <c r="B179">
        <v>12092405</v>
      </c>
      <c r="C179">
        <v>2606450</v>
      </c>
      <c r="D179" s="17">
        <f t="shared" si="3"/>
        <v>2606450</v>
      </c>
      <c r="E179" s="49">
        <f>VLOOKUP($A179,'Data shares'!$C:$FA,128)*100</f>
        <v>12.139999999999999</v>
      </c>
      <c r="F179" s="49">
        <f>VLOOKUP($A179,'Data shares'!$C:$FA,129)</f>
        <v>269580</v>
      </c>
    </row>
    <row r="180" spans="1:6" x14ac:dyDescent="0.25">
      <c r="A180" t="s">
        <v>280</v>
      </c>
      <c r="B180">
        <v>187084550</v>
      </c>
      <c r="C180">
        <v>50568000</v>
      </c>
      <c r="D180" s="17">
        <f t="shared" si="3"/>
        <v>50568000</v>
      </c>
      <c r="E180" s="49">
        <f>VLOOKUP($A180,'Data shares'!$C:$FA,128)*100</f>
        <v>6.16</v>
      </c>
      <c r="F180" s="49">
        <f>VLOOKUP($A180,'Data shares'!$C:$FA,129)</f>
        <v>3894100</v>
      </c>
    </row>
    <row r="181" spans="1:6" x14ac:dyDescent="0.25">
      <c r="A181" t="s">
        <v>166</v>
      </c>
      <c r="B181">
        <v>79597108</v>
      </c>
      <c r="C181">
        <v>26630000</v>
      </c>
      <c r="D181" s="17">
        <f t="shared" si="3"/>
        <v>26630000</v>
      </c>
      <c r="E181" s="49">
        <f>VLOOKUP($A181,'Data shares'!$C:$FA,128)*100</f>
        <v>9.1399999999999988</v>
      </c>
      <c r="F181" s="49">
        <f>VLOOKUP($A181,'Data shares'!$C:$FA,129)</f>
        <v>176125</v>
      </c>
    </row>
    <row r="182" spans="1:6" x14ac:dyDescent="0.25">
      <c r="A182" t="s">
        <v>241</v>
      </c>
      <c r="B182">
        <v>913205148</v>
      </c>
      <c r="C182">
        <v>118527500</v>
      </c>
      <c r="D182" s="17">
        <f t="shared" si="3"/>
        <v>118527500</v>
      </c>
      <c r="E182" s="49">
        <f>VLOOKUP($A182,'Data shares'!$C:$FA,128)*100</f>
        <v>7.8299999999999992</v>
      </c>
      <c r="F182" s="49">
        <f>VLOOKUP($A182,'Data shares'!$C:$FA,129)</f>
        <v>8575125</v>
      </c>
    </row>
    <row r="183" spans="1:6" x14ac:dyDescent="0.25">
      <c r="A183" t="s">
        <v>517</v>
      </c>
      <c r="B183">
        <v>10180563</v>
      </c>
      <c r="C183">
        <v>3926650</v>
      </c>
      <c r="D183" s="17">
        <f t="shared" si="3"/>
        <v>3926650</v>
      </c>
      <c r="E183" s="49">
        <f>VLOOKUP($A183,'Data shares'!$C:$FA,128)*100</f>
        <v>3.7800000000000002</v>
      </c>
      <c r="F183" s="49">
        <f>VLOOKUP($A183,'Data shares'!$C:$FA,129)</f>
        <v>497025</v>
      </c>
    </row>
    <row r="184" spans="1:6" x14ac:dyDescent="0.25">
      <c r="A184" t="s">
        <v>211</v>
      </c>
      <c r="B184">
        <v>91809066</v>
      </c>
      <c r="C184">
        <v>33516000</v>
      </c>
      <c r="D184" s="17">
        <f t="shared" si="3"/>
        <v>33516000</v>
      </c>
      <c r="E184" s="49">
        <f>VLOOKUP($A184,'Data shares'!$C:$FA,128)*100</f>
        <v>5.42</v>
      </c>
      <c r="F184" s="49">
        <f>VLOOKUP($A184,'Data shares'!$C:$FA,129)</f>
        <v>1175400</v>
      </c>
    </row>
    <row r="185" spans="1:6" x14ac:dyDescent="0.25">
      <c r="A185" t="s">
        <v>518</v>
      </c>
      <c r="B185">
        <v>4636018</v>
      </c>
      <c r="C185">
        <v>608375</v>
      </c>
      <c r="D185" s="17">
        <f t="shared" si="3"/>
        <v>608375</v>
      </c>
      <c r="E185" s="49">
        <f>VLOOKUP($A185,'Data shares'!$C:$FA,128)*100</f>
        <v>2.2200000000000002</v>
      </c>
      <c r="F185" s="49">
        <f>VLOOKUP($A185,'Data shares'!$C:$FA,129)</f>
        <v>25850</v>
      </c>
    </row>
    <row r="186" spans="1:6" x14ac:dyDescent="0.25">
      <c r="A186" t="s">
        <v>511</v>
      </c>
      <c r="B186">
        <v>18644752</v>
      </c>
      <c r="C186">
        <v>4227600</v>
      </c>
      <c r="D186" s="17">
        <f t="shared" si="3"/>
        <v>4227600</v>
      </c>
      <c r="E186" s="49">
        <f>VLOOKUP($A186,'Data shares'!$C:$FA,128)*100</f>
        <v>11.129999999999999</v>
      </c>
      <c r="F186" s="49">
        <f>VLOOKUP($A186,'Data shares'!$C:$FA,129)</f>
        <v>23456250</v>
      </c>
    </row>
    <row r="187" spans="1:6" x14ac:dyDescent="0.25">
      <c r="A187" t="s">
        <v>186</v>
      </c>
      <c r="B187">
        <v>48589957</v>
      </c>
      <c r="C187">
        <v>5942200</v>
      </c>
      <c r="D187" s="17">
        <f t="shared" si="3"/>
        <v>5942200</v>
      </c>
      <c r="E187" s="49">
        <f>VLOOKUP($A187,'Data shares'!$C:$FA,128)*100</f>
        <v>12.809999999999999</v>
      </c>
      <c r="F187" s="49">
        <f>VLOOKUP($A187,'Data shares'!$C:$FA,129)</f>
        <v>14728800</v>
      </c>
    </row>
    <row r="188" spans="1:6" x14ac:dyDescent="0.25">
      <c r="A188" t="s">
        <v>522</v>
      </c>
      <c r="B188">
        <v>1063050</v>
      </c>
      <c r="C188">
        <v>54050</v>
      </c>
      <c r="D188" s="17">
        <f t="shared" si="3"/>
        <v>54050</v>
      </c>
      <c r="E188" s="49">
        <f>VLOOKUP($A188,'Data shares'!$C:$FA,128)*100</f>
        <v>2.6</v>
      </c>
      <c r="F188" s="49">
        <f>VLOOKUP($A188,'Data shares'!$C:$FA,129)</f>
        <v>46500</v>
      </c>
    </row>
    <row r="189" spans="1:6" x14ac:dyDescent="0.25">
      <c r="A189" t="s">
        <v>300</v>
      </c>
      <c r="B189">
        <v>45360865</v>
      </c>
      <c r="C189">
        <v>14277200</v>
      </c>
      <c r="D189" s="17">
        <f t="shared" si="3"/>
        <v>14277200</v>
      </c>
      <c r="E189" s="49">
        <f>VLOOKUP($A189,'Data shares'!$C:$FA,128)*100</f>
        <v>4.53</v>
      </c>
      <c r="F189" s="49">
        <f>VLOOKUP($A189,'Data shares'!$C:$FA,129)</f>
        <v>391475</v>
      </c>
    </row>
    <row r="190" spans="1:6" x14ac:dyDescent="0.25">
      <c r="A190" t="s">
        <v>520</v>
      </c>
      <c r="B190">
        <v>23139622</v>
      </c>
      <c r="C190">
        <v>1555500</v>
      </c>
      <c r="D190" s="17">
        <f t="shared" si="3"/>
        <v>1555500</v>
      </c>
      <c r="E190" s="49">
        <f>VLOOKUP($A190,'Data shares'!$C:$FA,128)*100</f>
        <v>3.0700000000000003</v>
      </c>
      <c r="F190" s="49">
        <f>VLOOKUP($A190,'Data shares'!$C:$FA,129)</f>
        <v>1299450</v>
      </c>
    </row>
    <row r="191" spans="1:6" x14ac:dyDescent="0.25">
      <c r="A191" t="s">
        <v>294</v>
      </c>
      <c r="B191">
        <v>161436977</v>
      </c>
      <c r="C191">
        <v>59382700</v>
      </c>
      <c r="D191" s="17">
        <f t="shared" si="3"/>
        <v>59382700</v>
      </c>
      <c r="E191" s="49">
        <f>VLOOKUP($A191,'Data shares'!$C:$FA,128)*100</f>
        <v>7.84</v>
      </c>
      <c r="F191" s="49">
        <f>VLOOKUP($A191,'Data shares'!$C:$FA,129)</f>
        <v>14242250</v>
      </c>
    </row>
    <row r="192" spans="1:6" x14ac:dyDescent="0.25">
      <c r="A192" t="s">
        <v>244</v>
      </c>
      <c r="B192">
        <v>265685393</v>
      </c>
      <c r="C192">
        <v>44023500</v>
      </c>
      <c r="D192" s="17">
        <f t="shared" si="3"/>
        <v>44023500</v>
      </c>
      <c r="E192" s="49">
        <f>VLOOKUP($A192,'Data shares'!$C:$FA,128)*100</f>
        <v>2.25</v>
      </c>
      <c r="F192" s="49">
        <f>VLOOKUP($A192,'Data shares'!$C:$FA,129)</f>
        <v>1094175</v>
      </c>
    </row>
    <row r="193" spans="1:6" x14ac:dyDescent="0.25">
      <c r="A193" t="s">
        <v>160</v>
      </c>
      <c r="B193">
        <v>145684825</v>
      </c>
      <c r="C193">
        <v>110820000</v>
      </c>
      <c r="D193" s="17">
        <f t="shared" si="3"/>
        <v>110820000</v>
      </c>
      <c r="E193" s="49">
        <f>VLOOKUP($A193,'Data shares'!$C:$FA,128)*100</f>
        <v>5.1100000000000003</v>
      </c>
      <c r="F193" s="49">
        <f>VLOOKUP($A193,'Data shares'!$C:$FA,129)</f>
        <v>1067325</v>
      </c>
    </row>
    <row r="194" spans="1:6" x14ac:dyDescent="0.25">
      <c r="A194" t="s">
        <v>496</v>
      </c>
      <c r="B194">
        <v>11999202</v>
      </c>
      <c r="C194">
        <v>2345700</v>
      </c>
      <c r="D194" s="17">
        <f t="shared" si="3"/>
        <v>2345700</v>
      </c>
      <c r="E194" s="49">
        <f>VLOOKUP($A194,'Data shares'!$C:$FA,128)*100</f>
        <v>9.0499999999999989</v>
      </c>
      <c r="F194" s="49">
        <f>VLOOKUP($A194,'Data shares'!$C:$FA,129)</f>
        <v>544950</v>
      </c>
    </row>
    <row r="195" spans="1:6" x14ac:dyDescent="0.25">
      <c r="A195" t="s">
        <v>230</v>
      </c>
      <c r="B195">
        <v>179034270</v>
      </c>
      <c r="C195">
        <v>24257400</v>
      </c>
      <c r="D195" s="17">
        <f t="shared" si="3"/>
        <v>24257400</v>
      </c>
      <c r="E195" s="49">
        <f>VLOOKUP($A195,'Data shares'!$C:$FA,128)*100</f>
        <v>4.8599999999999994</v>
      </c>
      <c r="F195" s="49">
        <f>VLOOKUP($A195,'Data shares'!$C:$FA,129)</f>
        <v>683100</v>
      </c>
    </row>
    <row r="196" spans="1:6" x14ac:dyDescent="0.25">
      <c r="A196" t="s">
        <v>203</v>
      </c>
      <c r="B196">
        <v>27165463</v>
      </c>
      <c r="C196">
        <v>3318000</v>
      </c>
      <c r="D196" s="17">
        <f t="shared" si="3"/>
        <v>3318000</v>
      </c>
      <c r="E196" s="49">
        <f>VLOOKUP($A196,'Data shares'!$C:$FA,128)*100</f>
        <v>7.8</v>
      </c>
      <c r="F196" s="49">
        <f>VLOOKUP($A196,'Data shares'!$C:$FA,129)</f>
        <v>303400</v>
      </c>
    </row>
    <row r="197" spans="1:6" x14ac:dyDescent="0.25">
      <c r="A197" t="s">
        <v>251</v>
      </c>
      <c r="B197">
        <v>184464522</v>
      </c>
      <c r="C197">
        <v>32566800</v>
      </c>
      <c r="D197" s="17">
        <f t="shared" si="3"/>
        <v>32566800</v>
      </c>
      <c r="E197" s="49">
        <f>VLOOKUP($A197,'Data shares'!$C:$FA,128)*100</f>
        <v>16.329999999999998</v>
      </c>
      <c r="F197" s="49">
        <f>VLOOKUP($A197,'Data shares'!$C:$FA,129)</f>
        <v>3139000</v>
      </c>
    </row>
    <row r="198" spans="1:6" x14ac:dyDescent="0.25">
      <c r="A198" t="s">
        <v>254</v>
      </c>
      <c r="B198">
        <v>104419539</v>
      </c>
      <c r="C198">
        <v>12741000</v>
      </c>
      <c r="D198" s="17">
        <f t="shared" si="3"/>
        <v>12741000</v>
      </c>
      <c r="E198" s="49">
        <f>VLOOKUP($A198,'Data shares'!$C:$FA,128)*100</f>
        <v>6.08</v>
      </c>
      <c r="F198" s="49">
        <f>VLOOKUP($A198,'Data shares'!$C:$FA,129)</f>
        <v>1274400</v>
      </c>
    </row>
    <row r="199" spans="1:6" x14ac:dyDescent="0.25">
      <c r="A199" t="s">
        <v>159</v>
      </c>
      <c r="B199">
        <v>55169320</v>
      </c>
      <c r="C199">
        <v>29565500</v>
      </c>
      <c r="D199" s="17">
        <f t="shared" si="3"/>
        <v>29565500</v>
      </c>
      <c r="E199" s="49">
        <f>VLOOKUP($A199,'Data shares'!$C:$FA,128)*100</f>
        <v>2.35</v>
      </c>
      <c r="F199" s="49">
        <f>VLOOKUP($A199,'Data shares'!$C:$FA,129)</f>
        <v>451140</v>
      </c>
    </row>
    <row r="200" spans="1:6" x14ac:dyDescent="0.25">
      <c r="A200" t="s">
        <v>201</v>
      </c>
      <c r="B200">
        <v>26654592</v>
      </c>
      <c r="C200">
        <v>3469200</v>
      </c>
      <c r="D200" s="17">
        <f t="shared" si="3"/>
        <v>3469200</v>
      </c>
      <c r="E200" s="49">
        <f>VLOOKUP($A200,'Data shares'!$C:$FA,128)*100</f>
        <v>3.62</v>
      </c>
      <c r="F200" s="49">
        <f>VLOOKUP($A200,'Data shares'!$C:$FA,129)</f>
        <v>171725</v>
      </c>
    </row>
    <row r="201" spans="1:6" x14ac:dyDescent="0.25">
      <c r="A201" t="s">
        <v>199</v>
      </c>
      <c r="B201">
        <v>102562642</v>
      </c>
      <c r="C201">
        <v>20641400</v>
      </c>
      <c r="D201" s="17">
        <f t="shared" si="3"/>
        <v>20641400</v>
      </c>
      <c r="E201" s="49">
        <f>VLOOKUP($A201,'Data shares'!$C:$FA,128)*100</f>
        <v>3.2399999999999998</v>
      </c>
      <c r="F201" s="49">
        <f>VLOOKUP($A201,'Data shares'!$C:$FA,129)</f>
        <v>385675</v>
      </c>
    </row>
    <row r="202" spans="1:6" x14ac:dyDescent="0.25">
      <c r="A202" t="s">
        <v>296</v>
      </c>
      <c r="B202">
        <v>124861039</v>
      </c>
      <c r="C202">
        <v>20543400</v>
      </c>
      <c r="D202" s="17">
        <f t="shared" si="3"/>
        <v>20543400</v>
      </c>
      <c r="E202" s="49">
        <f>VLOOKUP($A202,'Data shares'!$C:$FA,128)*100</f>
        <v>2.67</v>
      </c>
      <c r="F202" s="49">
        <f>VLOOKUP($A202,'Data shares'!$C:$FA,129)</f>
        <v>498600</v>
      </c>
    </row>
    <row r="203" spans="1:6" x14ac:dyDescent="0.25">
      <c r="A203" t="s">
        <v>229</v>
      </c>
      <c r="B203">
        <v>127940594</v>
      </c>
      <c r="C203">
        <v>33552900</v>
      </c>
      <c r="D203" s="17">
        <f t="shared" si="3"/>
        <v>33552900</v>
      </c>
      <c r="E203" s="49">
        <f>VLOOKUP($A203,'Data shares'!$C:$FA,128)*100</f>
        <v>3.5900000000000003</v>
      </c>
      <c r="F203" s="49">
        <f>VLOOKUP($A203,'Data shares'!$C:$FA,129)</f>
        <v>1350675</v>
      </c>
    </row>
    <row r="204" spans="1:6" x14ac:dyDescent="0.25">
      <c r="A204" t="s">
        <v>497</v>
      </c>
      <c r="B204">
        <v>10251929</v>
      </c>
      <c r="C204">
        <v>266200</v>
      </c>
      <c r="D204" s="17">
        <f t="shared" si="3"/>
        <v>266200</v>
      </c>
      <c r="E204" s="49">
        <f>VLOOKUP($A204,'Data shares'!$C:$FA,128)*100</f>
        <v>0.89999999999999991</v>
      </c>
      <c r="F204" s="49">
        <f>VLOOKUP($A204,'Data shares'!$C:$FA,129)</f>
        <v>7625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J9" sqref="J9"/>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topLeftCell="A14" zoomScale="87" zoomScaleNormal="87" workbookViewId="0">
      <selection activeCell="C2" sqref="C2:C51"/>
    </sheetView>
  </sheetViews>
  <sheetFormatPr defaultRowHeight="15" x14ac:dyDescent="0.25"/>
  <cols>
    <col min="1" max="1" width="12.85546875"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9"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3.5703125" bestFit="1" customWidth="1"/>
    <col min="82" max="82" width="11.42578125" bestFit="1" customWidth="1"/>
    <col min="83" max="83" width="13.140625" bestFit="1" customWidth="1"/>
    <col min="84" max="84" width="14.42578125" bestFit="1" customWidth="1"/>
    <col min="85" max="85" width="13.5703125" bestFit="1" customWidth="1"/>
    <col min="86" max="87" width="11.42578125" bestFit="1" customWidth="1"/>
    <col min="88" max="88" width="12.85546875" bestFit="1" customWidth="1"/>
    <col min="89" max="89" width="11.5703125" bestFit="1" customWidth="1"/>
    <col min="90" max="90" width="10.42578125" bestFit="1" customWidth="1"/>
    <col min="91" max="92" width="14.28515625" bestFit="1" customWidth="1"/>
    <col min="93" max="93" width="13.140625" bestFit="1" customWidth="1"/>
    <col min="94" max="94" width="10.42578125" bestFit="1" customWidth="1"/>
    <col min="95" max="95" width="13.140625" bestFit="1" customWidth="1"/>
    <col min="96" max="96" width="13.28515625" bestFit="1" customWidth="1"/>
    <col min="97" max="97" width="12.28515625" bestFit="1" customWidth="1"/>
    <col min="98" max="98" width="10.28515625" bestFit="1" customWidth="1"/>
    <col min="99" max="99" width="14.28515625" bestFit="1" customWidth="1"/>
    <col min="100" max="100" width="14.7109375" bestFit="1" customWidth="1"/>
    <col min="101" max="101" width="13.85546875"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57031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46148</v>
      </c>
      <c r="B2" s="227" t="s">
        <v>215</v>
      </c>
      <c r="C2" s="227" t="s">
        <v>159</v>
      </c>
      <c r="D2" s="231">
        <v>2553.3000000000002</v>
      </c>
      <c r="E2" s="231">
        <v>2473.1999999999998</v>
      </c>
      <c r="F2" s="228">
        <v>80.099999999999994</v>
      </c>
      <c r="G2" s="229">
        <v>3.2399999999999998E-2</v>
      </c>
      <c r="H2" s="231">
        <v>2540.3000000000002</v>
      </c>
      <c r="I2" s="231">
        <v>2462</v>
      </c>
      <c r="J2" s="228">
        <v>78.3</v>
      </c>
      <c r="K2" s="229">
        <v>3.1800000000000002E-2</v>
      </c>
      <c r="L2" s="231">
        <v>2553.3000000000002</v>
      </c>
      <c r="M2" s="231">
        <v>2473.1999999999998</v>
      </c>
      <c r="N2" s="228">
        <v>80.099999999999994</v>
      </c>
      <c r="O2" s="229">
        <v>3.2399999999999998E-2</v>
      </c>
      <c r="P2" s="231">
        <v>2568.6</v>
      </c>
      <c r="Q2" s="231">
        <v>2489</v>
      </c>
      <c r="R2" s="228">
        <v>79.599999999999994</v>
      </c>
      <c r="S2" s="229">
        <v>3.2000000000000001E-2</v>
      </c>
      <c r="T2" s="231">
        <v>2581.4</v>
      </c>
      <c r="U2" s="231">
        <v>2499.9</v>
      </c>
      <c r="V2" s="228">
        <v>81.5</v>
      </c>
      <c r="W2" s="229">
        <v>3.2599999999999997E-2</v>
      </c>
      <c r="X2" s="228">
        <v>13</v>
      </c>
      <c r="Y2" s="228">
        <v>11.2</v>
      </c>
      <c r="Z2" s="228">
        <v>1.8</v>
      </c>
      <c r="AA2" s="229">
        <v>5.1000000000000004E-3</v>
      </c>
      <c r="AB2" s="228">
        <v>13</v>
      </c>
      <c r="AC2" s="228">
        <v>11.2</v>
      </c>
      <c r="AD2" s="228">
        <v>1.8</v>
      </c>
      <c r="AE2" s="229">
        <v>5.1000000000000004E-3</v>
      </c>
      <c r="AF2" s="228">
        <v>28.3</v>
      </c>
      <c r="AG2" s="228">
        <v>27</v>
      </c>
      <c r="AH2" s="228">
        <v>1.3</v>
      </c>
      <c r="AI2" s="229">
        <v>1.11E-2</v>
      </c>
      <c r="AJ2" s="228">
        <v>41.1</v>
      </c>
      <c r="AK2" s="228">
        <v>37.9</v>
      </c>
      <c r="AL2" s="228">
        <v>3.2</v>
      </c>
      <c r="AM2" s="229">
        <v>1.6199999999999999E-2</v>
      </c>
      <c r="AN2" s="231">
        <v>2526.41</v>
      </c>
      <c r="AO2" s="231">
        <v>2539.9699999999998</v>
      </c>
      <c r="AP2" s="228">
        <v>0</v>
      </c>
      <c r="AQ2" s="230">
        <v>15111</v>
      </c>
      <c r="AR2" s="230">
        <v>8294</v>
      </c>
      <c r="AS2" s="230">
        <v>6817</v>
      </c>
      <c r="AT2" s="229">
        <v>0.82189999999999996</v>
      </c>
      <c r="AU2" s="230">
        <v>14450</v>
      </c>
      <c r="AV2" s="230">
        <v>7965</v>
      </c>
      <c r="AW2" s="230">
        <v>6485</v>
      </c>
      <c r="AX2" s="229">
        <v>0.81420000000000003</v>
      </c>
      <c r="AY2" s="228">
        <v>553</v>
      </c>
      <c r="AZ2" s="228">
        <v>268</v>
      </c>
      <c r="BA2" s="228">
        <v>285</v>
      </c>
      <c r="BB2" s="229">
        <v>1.0633999999999999</v>
      </c>
      <c r="BC2" s="228">
        <v>108</v>
      </c>
      <c r="BD2" s="228">
        <v>61</v>
      </c>
      <c r="BE2" s="228">
        <v>47</v>
      </c>
      <c r="BF2" s="229">
        <v>0.77049999999999996</v>
      </c>
      <c r="BG2" s="230">
        <v>49889</v>
      </c>
      <c r="BH2" s="230">
        <v>21750</v>
      </c>
      <c r="BI2" s="230">
        <v>28139</v>
      </c>
      <c r="BJ2" s="229">
        <v>1.2937000000000001</v>
      </c>
      <c r="BK2" s="230">
        <v>28499</v>
      </c>
      <c r="BL2" s="230">
        <v>15573</v>
      </c>
      <c r="BM2" s="230">
        <v>12926</v>
      </c>
      <c r="BN2" s="229">
        <v>0.83</v>
      </c>
      <c r="BO2" s="230">
        <v>93499</v>
      </c>
      <c r="BP2" s="230">
        <v>45617</v>
      </c>
      <c r="BQ2" s="230">
        <v>47882</v>
      </c>
      <c r="BR2" s="229">
        <v>1.0497000000000001</v>
      </c>
      <c r="BS2" s="230">
        <v>3516623</v>
      </c>
      <c r="BT2" s="230">
        <v>1735079</v>
      </c>
      <c r="BU2" s="230">
        <v>1781544</v>
      </c>
      <c r="BV2" s="229">
        <v>1.0267999999999999</v>
      </c>
      <c r="BW2" s="230">
        <v>19721616</v>
      </c>
      <c r="BX2" s="230">
        <v>19951512</v>
      </c>
      <c r="BY2" s="230">
        <v>-229896</v>
      </c>
      <c r="BZ2" s="229">
        <v>-1.15E-2</v>
      </c>
      <c r="CA2" s="230">
        <v>19257189</v>
      </c>
      <c r="CB2" s="230">
        <v>19500372</v>
      </c>
      <c r="CC2" s="230">
        <v>-243183</v>
      </c>
      <c r="CD2" s="229">
        <v>-1.2500000000000001E-2</v>
      </c>
      <c r="CE2" s="230">
        <v>434454</v>
      </c>
      <c r="CF2" s="230">
        <v>421785</v>
      </c>
      <c r="CG2" s="230">
        <v>12669</v>
      </c>
      <c r="CH2" s="229">
        <v>0.03</v>
      </c>
      <c r="CI2" s="230">
        <v>29973</v>
      </c>
      <c r="CJ2" s="230">
        <v>29355</v>
      </c>
      <c r="CK2" s="228">
        <v>618</v>
      </c>
      <c r="CL2" s="229">
        <v>2.1100000000000001E-2</v>
      </c>
      <c r="CM2" s="230">
        <v>7301670</v>
      </c>
      <c r="CN2" s="230">
        <v>7588422</v>
      </c>
      <c r="CO2" s="230">
        <v>-286752</v>
      </c>
      <c r="CP2" s="229">
        <v>-3.78E-2</v>
      </c>
      <c r="CQ2" s="230">
        <v>6136122</v>
      </c>
      <c r="CR2" s="230">
        <v>5597226</v>
      </c>
      <c r="CS2" s="230">
        <v>538896</v>
      </c>
      <c r="CT2" s="229">
        <v>9.6299999999999997E-2</v>
      </c>
      <c r="CU2" s="230">
        <v>33159408</v>
      </c>
      <c r="CV2" s="230">
        <v>33137160</v>
      </c>
      <c r="CW2" s="230">
        <v>22248</v>
      </c>
      <c r="CX2" s="229">
        <v>6.9999999999999999E-4</v>
      </c>
      <c r="CY2" s="228">
        <v>37.36</v>
      </c>
      <c r="CZ2" s="228">
        <v>40.229999999999997</v>
      </c>
      <c r="DA2" s="228">
        <v>-2.87</v>
      </c>
      <c r="DB2" s="228">
        <v>-2.87</v>
      </c>
      <c r="DC2" s="228">
        <v>48.92</v>
      </c>
      <c r="DD2" s="228">
        <v>48.85</v>
      </c>
      <c r="DE2" s="228">
        <v>-11.56</v>
      </c>
      <c r="DF2" s="228">
        <v>7.0000000000000007E-2</v>
      </c>
      <c r="DG2" s="228">
        <v>35.86</v>
      </c>
      <c r="DH2" s="228">
        <v>38.85</v>
      </c>
      <c r="DI2" s="228">
        <v>-2.99</v>
      </c>
      <c r="DJ2" s="228">
        <v>-2.99</v>
      </c>
      <c r="DK2" s="228">
        <v>40</v>
      </c>
      <c r="DL2" s="228">
        <v>42.16</v>
      </c>
      <c r="DM2" s="228">
        <v>-2.16</v>
      </c>
      <c r="DN2" s="228">
        <v>-2.16</v>
      </c>
      <c r="DO2" s="228">
        <v>0.84</v>
      </c>
      <c r="DP2" s="228">
        <v>0.74</v>
      </c>
      <c r="DQ2" s="228">
        <v>0.1</v>
      </c>
      <c r="DR2" s="229">
        <v>0.1351</v>
      </c>
      <c r="DS2" s="231">
        <v>2500</v>
      </c>
      <c r="DT2" s="231">
        <v>2500</v>
      </c>
      <c r="DU2" s="228">
        <v>0.56999999999999995</v>
      </c>
      <c r="DV2" s="228">
        <v>0.72</v>
      </c>
      <c r="DW2" s="228">
        <v>-0.15</v>
      </c>
      <c r="DX2" s="229">
        <v>-0.20830000000000001</v>
      </c>
      <c r="DY2" s="229">
        <v>2.35E-2</v>
      </c>
      <c r="DZ2" s="230">
        <v>451140</v>
      </c>
      <c r="EA2" s="229">
        <v>6.0000000000000001E-3</v>
      </c>
      <c r="EB2" s="229">
        <v>2.35E-2</v>
      </c>
      <c r="EC2" s="228">
        <v>13.56</v>
      </c>
      <c r="ED2" s="229">
        <v>5.4000000000000003E-3</v>
      </c>
      <c r="EE2" s="230">
        <v>1307265</v>
      </c>
      <c r="EF2" s="230">
        <v>342962</v>
      </c>
      <c r="EG2" s="229">
        <v>2.8117000000000001</v>
      </c>
      <c r="EH2" s="229">
        <v>0.37169999999999997</v>
      </c>
      <c r="EI2" s="231">
        <v>405612.39</v>
      </c>
      <c r="EJ2" s="231">
        <v>216377.13</v>
      </c>
      <c r="EK2" s="231">
        <v>117998.96</v>
      </c>
      <c r="EL2" s="231">
        <v>17585</v>
      </c>
      <c r="EM2" s="231">
        <v>739988.47999999998</v>
      </c>
      <c r="EN2" s="231">
        <v>353651.78</v>
      </c>
      <c r="EO2" s="231">
        <v>386336.7</v>
      </c>
      <c r="EP2" s="229">
        <v>1.0924</v>
      </c>
      <c r="EQ2" s="231">
        <v>180447</v>
      </c>
      <c r="ER2" s="231">
        <v>143368</v>
      </c>
      <c r="ES2" s="231">
        <v>503627</v>
      </c>
      <c r="ET2" s="231">
        <v>33645895</v>
      </c>
      <c r="EU2" s="231">
        <v>827442</v>
      </c>
      <c r="EV2" s="231">
        <v>809830</v>
      </c>
      <c r="EW2" s="231">
        <v>17612</v>
      </c>
      <c r="EX2" s="229">
        <v>2.1700000000000001E-2</v>
      </c>
      <c r="EY2" s="229">
        <v>0.98550000000000004</v>
      </c>
    </row>
    <row r="3" spans="1:155" ht="17.25" thickBot="1" x14ac:dyDescent="0.3">
      <c r="A3" s="226">
        <v>46148</v>
      </c>
      <c r="B3" s="227" t="s">
        <v>215</v>
      </c>
      <c r="C3" s="227" t="s">
        <v>160</v>
      </c>
      <c r="D3" s="231">
        <v>1758.1</v>
      </c>
      <c r="E3" s="231">
        <v>1730.8</v>
      </c>
      <c r="F3" s="228">
        <v>27.3</v>
      </c>
      <c r="G3" s="229">
        <v>1.5800000000000002E-2</v>
      </c>
      <c r="H3" s="231">
        <v>1748.3</v>
      </c>
      <c r="I3" s="231">
        <v>1725</v>
      </c>
      <c r="J3" s="228">
        <v>23.3</v>
      </c>
      <c r="K3" s="229">
        <v>1.35E-2</v>
      </c>
      <c r="L3" s="231">
        <v>1758.1</v>
      </c>
      <c r="M3" s="231">
        <v>1730.8</v>
      </c>
      <c r="N3" s="228">
        <v>27.3</v>
      </c>
      <c r="O3" s="229">
        <v>1.5800000000000002E-2</v>
      </c>
      <c r="P3" s="231">
        <v>1763.6</v>
      </c>
      <c r="Q3" s="231">
        <v>1734.9</v>
      </c>
      <c r="R3" s="228">
        <v>28.7</v>
      </c>
      <c r="S3" s="229">
        <v>1.6500000000000001E-2</v>
      </c>
      <c r="T3" s="231">
        <v>1769.7</v>
      </c>
      <c r="U3" s="231">
        <v>1745.2</v>
      </c>
      <c r="V3" s="228">
        <v>24.5</v>
      </c>
      <c r="W3" s="229">
        <v>1.4E-2</v>
      </c>
      <c r="X3" s="228">
        <v>9.8000000000000007</v>
      </c>
      <c r="Y3" s="228">
        <v>5.8</v>
      </c>
      <c r="Z3" s="228">
        <v>4</v>
      </c>
      <c r="AA3" s="229">
        <v>5.5999999999999999E-3</v>
      </c>
      <c r="AB3" s="228">
        <v>9.8000000000000007</v>
      </c>
      <c r="AC3" s="228">
        <v>5.8</v>
      </c>
      <c r="AD3" s="228">
        <v>4</v>
      </c>
      <c r="AE3" s="229">
        <v>5.5999999999999999E-3</v>
      </c>
      <c r="AF3" s="228">
        <v>15.3</v>
      </c>
      <c r="AG3" s="228">
        <v>9.9</v>
      </c>
      <c r="AH3" s="228">
        <v>5.4</v>
      </c>
      <c r="AI3" s="229">
        <v>8.8000000000000005E-3</v>
      </c>
      <c r="AJ3" s="228">
        <v>21.4</v>
      </c>
      <c r="AK3" s="228">
        <v>20.2</v>
      </c>
      <c r="AL3" s="228">
        <v>1.2</v>
      </c>
      <c r="AM3" s="229">
        <v>1.2200000000000001E-2</v>
      </c>
      <c r="AN3" s="231">
        <v>1751.67</v>
      </c>
      <c r="AO3" s="231">
        <v>1756.78</v>
      </c>
      <c r="AP3" s="228">
        <v>0</v>
      </c>
      <c r="AQ3" s="230">
        <v>8157</v>
      </c>
      <c r="AR3" s="230">
        <v>9508</v>
      </c>
      <c r="AS3" s="230">
        <v>-1351</v>
      </c>
      <c r="AT3" s="229">
        <v>-0.1421</v>
      </c>
      <c r="AU3" s="230">
        <v>7696</v>
      </c>
      <c r="AV3" s="230">
        <v>9102</v>
      </c>
      <c r="AW3" s="230">
        <v>-1406</v>
      </c>
      <c r="AX3" s="229">
        <v>-0.1545</v>
      </c>
      <c r="AY3" s="228">
        <v>414</v>
      </c>
      <c r="AZ3" s="228">
        <v>353</v>
      </c>
      <c r="BA3" s="228">
        <v>61</v>
      </c>
      <c r="BB3" s="229">
        <v>0.17280000000000001</v>
      </c>
      <c r="BC3" s="228">
        <v>47</v>
      </c>
      <c r="BD3" s="228">
        <v>53</v>
      </c>
      <c r="BE3" s="228">
        <v>-6</v>
      </c>
      <c r="BF3" s="229">
        <v>-0.1132</v>
      </c>
      <c r="BG3" s="230">
        <v>28567</v>
      </c>
      <c r="BH3" s="230">
        <v>36419</v>
      </c>
      <c r="BI3" s="230">
        <v>-7852</v>
      </c>
      <c r="BJ3" s="229">
        <v>-0.21560000000000001</v>
      </c>
      <c r="BK3" s="230">
        <v>16595</v>
      </c>
      <c r="BL3" s="230">
        <v>20449</v>
      </c>
      <c r="BM3" s="230">
        <v>-3854</v>
      </c>
      <c r="BN3" s="229">
        <v>-0.1885</v>
      </c>
      <c r="BO3" s="230">
        <v>53319</v>
      </c>
      <c r="BP3" s="230">
        <v>66376</v>
      </c>
      <c r="BQ3" s="230">
        <v>-13057</v>
      </c>
      <c r="BR3" s="229">
        <v>-0.19670000000000001</v>
      </c>
      <c r="BS3" s="230">
        <v>3252249</v>
      </c>
      <c r="BT3" s="230">
        <v>4752423</v>
      </c>
      <c r="BU3" s="230">
        <v>-1500174</v>
      </c>
      <c r="BV3" s="229">
        <v>-0.31569999999999998</v>
      </c>
      <c r="BW3" s="230">
        <v>22041900</v>
      </c>
      <c r="BX3" s="230">
        <v>22011975</v>
      </c>
      <c r="BY3" s="230">
        <v>29925</v>
      </c>
      <c r="BZ3" s="229">
        <v>1.4E-3</v>
      </c>
      <c r="CA3" s="230">
        <v>20915675</v>
      </c>
      <c r="CB3" s="230">
        <v>20944650</v>
      </c>
      <c r="CC3" s="230">
        <v>-28975</v>
      </c>
      <c r="CD3" s="229">
        <v>-1.4E-3</v>
      </c>
      <c r="CE3" s="230">
        <v>1062575</v>
      </c>
      <c r="CF3" s="230">
        <v>1004625</v>
      </c>
      <c r="CG3" s="230">
        <v>57950</v>
      </c>
      <c r="CH3" s="229">
        <v>5.7700000000000001E-2</v>
      </c>
      <c r="CI3" s="230">
        <v>63650</v>
      </c>
      <c r="CJ3" s="230">
        <v>62700</v>
      </c>
      <c r="CK3" s="228">
        <v>950</v>
      </c>
      <c r="CL3" s="229">
        <v>1.52E-2</v>
      </c>
      <c r="CM3" s="230">
        <v>8611750</v>
      </c>
      <c r="CN3" s="230">
        <v>8705325</v>
      </c>
      <c r="CO3" s="230">
        <v>-93575</v>
      </c>
      <c r="CP3" s="229">
        <v>-1.0699999999999999E-2</v>
      </c>
      <c r="CQ3" s="230">
        <v>6781575</v>
      </c>
      <c r="CR3" s="230">
        <v>6643350</v>
      </c>
      <c r="CS3" s="230">
        <v>138225</v>
      </c>
      <c r="CT3" s="229">
        <v>2.0799999999999999E-2</v>
      </c>
      <c r="CU3" s="230">
        <v>37435225</v>
      </c>
      <c r="CV3" s="230">
        <v>37360650</v>
      </c>
      <c r="CW3" s="230">
        <v>74575</v>
      </c>
      <c r="CX3" s="229">
        <v>2E-3</v>
      </c>
      <c r="CY3" s="228">
        <v>31.12</v>
      </c>
      <c r="CZ3" s="228">
        <v>32.26</v>
      </c>
      <c r="DA3" s="228">
        <v>-1.1399999999999999</v>
      </c>
      <c r="DB3" s="228">
        <v>-1.1399999999999999</v>
      </c>
      <c r="DC3" s="228">
        <v>40.03</v>
      </c>
      <c r="DD3" s="228">
        <v>40.090000000000003</v>
      </c>
      <c r="DE3" s="228">
        <v>-8.91</v>
      </c>
      <c r="DF3" s="228">
        <v>-0.06</v>
      </c>
      <c r="DG3" s="228">
        <v>30.25</v>
      </c>
      <c r="DH3" s="228">
        <v>31.58</v>
      </c>
      <c r="DI3" s="228">
        <v>-1.33</v>
      </c>
      <c r="DJ3" s="228">
        <v>-1.33</v>
      </c>
      <c r="DK3" s="228">
        <v>32.630000000000003</v>
      </c>
      <c r="DL3" s="228">
        <v>33.450000000000003</v>
      </c>
      <c r="DM3" s="228">
        <v>-0.82</v>
      </c>
      <c r="DN3" s="228">
        <v>-0.82</v>
      </c>
      <c r="DO3" s="228">
        <v>0.79</v>
      </c>
      <c r="DP3" s="228">
        <v>0.76</v>
      </c>
      <c r="DQ3" s="228">
        <v>0.03</v>
      </c>
      <c r="DR3" s="229">
        <v>3.95E-2</v>
      </c>
      <c r="DS3" s="231">
        <v>1800</v>
      </c>
      <c r="DT3" s="231">
        <v>1600</v>
      </c>
      <c r="DU3" s="228">
        <v>0.57999999999999996</v>
      </c>
      <c r="DV3" s="228">
        <v>0.56000000000000005</v>
      </c>
      <c r="DW3" s="228">
        <v>0.02</v>
      </c>
      <c r="DX3" s="229">
        <v>3.5700000000000003E-2</v>
      </c>
      <c r="DY3" s="229">
        <v>5.11E-2</v>
      </c>
      <c r="DZ3" s="230">
        <v>1067325</v>
      </c>
      <c r="EA3" s="229">
        <v>3.0999999999999999E-3</v>
      </c>
      <c r="EB3" s="229">
        <v>5.11E-2</v>
      </c>
      <c r="EC3" s="228">
        <v>5.1100000000000003</v>
      </c>
      <c r="ED3" s="229">
        <v>2.8999999999999998E-3</v>
      </c>
      <c r="EE3" s="230">
        <v>1378443</v>
      </c>
      <c r="EF3" s="230">
        <v>1847777</v>
      </c>
      <c r="EG3" s="229">
        <v>-0.254</v>
      </c>
      <c r="EH3" s="229">
        <v>0.42380000000000001</v>
      </c>
      <c r="EI3" s="231">
        <v>248505.56</v>
      </c>
      <c r="EJ3" s="231">
        <v>134034.34</v>
      </c>
      <c r="EK3" s="231">
        <v>67883.11</v>
      </c>
      <c r="EL3" s="231">
        <v>14553</v>
      </c>
      <c r="EM3" s="231">
        <v>450423.01</v>
      </c>
      <c r="EN3" s="231">
        <v>560131.5</v>
      </c>
      <c r="EO3" s="231">
        <v>-109708.49</v>
      </c>
      <c r="EP3" s="229">
        <v>-0.19589999999999999</v>
      </c>
      <c r="EQ3" s="231">
        <v>148849</v>
      </c>
      <c r="ER3" s="231">
        <v>108758</v>
      </c>
      <c r="ES3" s="231">
        <v>387584</v>
      </c>
      <c r="ET3" s="231">
        <v>88142691</v>
      </c>
      <c r="EU3" s="231">
        <v>645192</v>
      </c>
      <c r="EV3" s="231">
        <v>636975</v>
      </c>
      <c r="EW3" s="231">
        <v>8217</v>
      </c>
      <c r="EX3" s="229">
        <v>1.29E-2</v>
      </c>
      <c r="EY3" s="229">
        <v>0.42470000000000002</v>
      </c>
    </row>
    <row r="4" spans="1:155" ht="17.25" thickBot="1" x14ac:dyDescent="0.3">
      <c r="A4" s="226">
        <v>46148</v>
      </c>
      <c r="B4" s="227" t="s">
        <v>170</v>
      </c>
      <c r="C4" s="227" t="s">
        <v>165</v>
      </c>
      <c r="D4" s="231">
        <v>7814.5</v>
      </c>
      <c r="E4" s="231">
        <v>7789.5</v>
      </c>
      <c r="F4" s="228">
        <v>25</v>
      </c>
      <c r="G4" s="229">
        <v>3.2000000000000002E-3</v>
      </c>
      <c r="H4" s="231">
        <v>7760.5</v>
      </c>
      <c r="I4" s="231">
        <v>7772</v>
      </c>
      <c r="J4" s="228">
        <v>-11.5</v>
      </c>
      <c r="K4" s="229">
        <v>-1.5E-3</v>
      </c>
      <c r="L4" s="231">
        <v>7814.5</v>
      </c>
      <c r="M4" s="231">
        <v>7789.5</v>
      </c>
      <c r="N4" s="228">
        <v>25</v>
      </c>
      <c r="O4" s="229">
        <v>3.2000000000000002E-3</v>
      </c>
      <c r="P4" s="231">
        <v>7861.5</v>
      </c>
      <c r="Q4" s="231">
        <v>7844</v>
      </c>
      <c r="R4" s="228">
        <v>17.5</v>
      </c>
      <c r="S4" s="229">
        <v>2.2000000000000001E-3</v>
      </c>
      <c r="T4" s="231">
        <v>7912</v>
      </c>
      <c r="U4" s="231">
        <v>7885.5</v>
      </c>
      <c r="V4" s="228">
        <v>26.5</v>
      </c>
      <c r="W4" s="229">
        <v>3.3999999999999998E-3</v>
      </c>
      <c r="X4" s="228">
        <v>54</v>
      </c>
      <c r="Y4" s="228">
        <v>17.5</v>
      </c>
      <c r="Z4" s="228">
        <v>36.5</v>
      </c>
      <c r="AA4" s="229">
        <v>7.0000000000000001E-3</v>
      </c>
      <c r="AB4" s="228">
        <v>54</v>
      </c>
      <c r="AC4" s="228">
        <v>17.5</v>
      </c>
      <c r="AD4" s="228">
        <v>36.5</v>
      </c>
      <c r="AE4" s="229">
        <v>7.0000000000000001E-3</v>
      </c>
      <c r="AF4" s="228">
        <v>101</v>
      </c>
      <c r="AG4" s="228">
        <v>72</v>
      </c>
      <c r="AH4" s="228">
        <v>29</v>
      </c>
      <c r="AI4" s="229">
        <v>1.2999999999999999E-2</v>
      </c>
      <c r="AJ4" s="228">
        <v>151.5</v>
      </c>
      <c r="AK4" s="228">
        <v>113.5</v>
      </c>
      <c r="AL4" s="228">
        <v>38</v>
      </c>
      <c r="AM4" s="229">
        <v>1.95E-2</v>
      </c>
      <c r="AN4" s="231">
        <v>7818.6</v>
      </c>
      <c r="AO4" s="231">
        <v>7866.05</v>
      </c>
      <c r="AP4" s="228">
        <v>0</v>
      </c>
      <c r="AQ4" s="230">
        <v>1945</v>
      </c>
      <c r="AR4" s="230">
        <v>1598</v>
      </c>
      <c r="AS4" s="228">
        <v>347</v>
      </c>
      <c r="AT4" s="229">
        <v>0.21709999999999999</v>
      </c>
      <c r="AU4" s="230">
        <v>1818</v>
      </c>
      <c r="AV4" s="230">
        <v>1533</v>
      </c>
      <c r="AW4" s="228">
        <v>285</v>
      </c>
      <c r="AX4" s="229">
        <v>0.18590000000000001</v>
      </c>
      <c r="AY4" s="228">
        <v>117</v>
      </c>
      <c r="AZ4" s="228">
        <v>61</v>
      </c>
      <c r="BA4" s="228">
        <v>56</v>
      </c>
      <c r="BB4" s="229">
        <v>0.91800000000000004</v>
      </c>
      <c r="BC4" s="228">
        <v>10</v>
      </c>
      <c r="BD4" s="228">
        <v>4</v>
      </c>
      <c r="BE4" s="228">
        <v>6</v>
      </c>
      <c r="BF4" s="229">
        <v>1.5</v>
      </c>
      <c r="BG4" s="230">
        <v>5426</v>
      </c>
      <c r="BH4" s="230">
        <v>5186</v>
      </c>
      <c r="BI4" s="228">
        <v>240</v>
      </c>
      <c r="BJ4" s="229">
        <v>4.6300000000000001E-2</v>
      </c>
      <c r="BK4" s="230">
        <v>2199</v>
      </c>
      <c r="BL4" s="230">
        <v>2726</v>
      </c>
      <c r="BM4" s="228">
        <v>-527</v>
      </c>
      <c r="BN4" s="229">
        <v>-0.1933</v>
      </c>
      <c r="BO4" s="230">
        <v>9570</v>
      </c>
      <c r="BP4" s="230">
        <v>9510</v>
      </c>
      <c r="BQ4" s="228">
        <v>60</v>
      </c>
      <c r="BR4" s="229">
        <v>6.3E-3</v>
      </c>
      <c r="BS4" s="230">
        <v>442304</v>
      </c>
      <c r="BT4" s="230">
        <v>260156</v>
      </c>
      <c r="BU4" s="230">
        <v>182148</v>
      </c>
      <c r="BV4" s="229">
        <v>0.70009999999999994</v>
      </c>
      <c r="BW4" s="230">
        <v>2015125</v>
      </c>
      <c r="BX4" s="230">
        <v>2017750</v>
      </c>
      <c r="BY4" s="230">
        <v>-2625</v>
      </c>
      <c r="BZ4" s="229">
        <v>-1.2999999999999999E-3</v>
      </c>
      <c r="CA4" s="230">
        <v>1831000</v>
      </c>
      <c r="CB4" s="230">
        <v>1841625</v>
      </c>
      <c r="CC4" s="230">
        <v>-10625</v>
      </c>
      <c r="CD4" s="229">
        <v>-5.7999999999999996E-3</v>
      </c>
      <c r="CE4" s="230">
        <v>180125</v>
      </c>
      <c r="CF4" s="230">
        <v>172625</v>
      </c>
      <c r="CG4" s="230">
        <v>7500</v>
      </c>
      <c r="CH4" s="229">
        <v>4.3400000000000001E-2</v>
      </c>
      <c r="CI4" s="230">
        <v>4000</v>
      </c>
      <c r="CJ4" s="230">
        <v>3500</v>
      </c>
      <c r="CK4" s="228">
        <v>500</v>
      </c>
      <c r="CL4" s="229">
        <v>0.1429</v>
      </c>
      <c r="CM4" s="230">
        <v>770500</v>
      </c>
      <c r="CN4" s="230">
        <v>706500</v>
      </c>
      <c r="CO4" s="230">
        <v>64000</v>
      </c>
      <c r="CP4" s="229">
        <v>9.06E-2</v>
      </c>
      <c r="CQ4" s="230">
        <v>460875</v>
      </c>
      <c r="CR4" s="230">
        <v>443000</v>
      </c>
      <c r="CS4" s="230">
        <v>17875</v>
      </c>
      <c r="CT4" s="229">
        <v>4.0300000000000002E-2</v>
      </c>
      <c r="CU4" s="230">
        <v>3246500</v>
      </c>
      <c r="CV4" s="230">
        <v>3167250</v>
      </c>
      <c r="CW4" s="230">
        <v>79250</v>
      </c>
      <c r="CX4" s="229">
        <v>2.5000000000000001E-2</v>
      </c>
      <c r="CY4" s="228">
        <v>25.58</v>
      </c>
      <c r="CZ4" s="228">
        <v>26.35</v>
      </c>
      <c r="DA4" s="228">
        <v>-0.77</v>
      </c>
      <c r="DB4" s="228">
        <v>-0.77</v>
      </c>
      <c r="DC4" s="228">
        <v>24.87</v>
      </c>
      <c r="DD4" s="228">
        <v>24.93</v>
      </c>
      <c r="DE4" s="228">
        <v>0.71</v>
      </c>
      <c r="DF4" s="228">
        <v>-0.06</v>
      </c>
      <c r="DG4" s="228">
        <v>25.65</v>
      </c>
      <c r="DH4" s="228">
        <v>26.14</v>
      </c>
      <c r="DI4" s="228">
        <v>-0.49</v>
      </c>
      <c r="DJ4" s="228">
        <v>-0.49</v>
      </c>
      <c r="DK4" s="228">
        <v>25.41</v>
      </c>
      <c r="DL4" s="228">
        <v>26.74</v>
      </c>
      <c r="DM4" s="228">
        <v>-1.33</v>
      </c>
      <c r="DN4" s="228">
        <v>-1.33</v>
      </c>
      <c r="DO4" s="228">
        <v>0.6</v>
      </c>
      <c r="DP4" s="228">
        <v>0.63</v>
      </c>
      <c r="DQ4" s="228">
        <v>-0.03</v>
      </c>
      <c r="DR4" s="229">
        <v>-4.7600000000000003E-2</v>
      </c>
      <c r="DS4" s="231">
        <v>8500</v>
      </c>
      <c r="DT4" s="231">
        <v>7000</v>
      </c>
      <c r="DU4" s="228">
        <v>0.41</v>
      </c>
      <c r="DV4" s="228">
        <v>0.53</v>
      </c>
      <c r="DW4" s="228">
        <v>-0.12</v>
      </c>
      <c r="DX4" s="229">
        <v>-0.22639999999999999</v>
      </c>
      <c r="DY4" s="229">
        <v>9.1399999999999995E-2</v>
      </c>
      <c r="DZ4" s="230">
        <v>176125</v>
      </c>
      <c r="EA4" s="229">
        <v>6.0000000000000001E-3</v>
      </c>
      <c r="EB4" s="229">
        <v>9.1399999999999995E-2</v>
      </c>
      <c r="EC4" s="228">
        <v>47.45</v>
      </c>
      <c r="ED4" s="229">
        <v>6.1000000000000004E-3</v>
      </c>
      <c r="EE4" s="230">
        <v>355600</v>
      </c>
      <c r="EF4" s="230">
        <v>174731</v>
      </c>
      <c r="EG4" s="229">
        <v>1.0350999999999999</v>
      </c>
      <c r="EH4" s="229">
        <v>0.80400000000000005</v>
      </c>
      <c r="EI4" s="231">
        <v>55889.77</v>
      </c>
      <c r="EJ4" s="231">
        <v>21026.89</v>
      </c>
      <c r="EK4" s="231">
        <v>19017.080000000002</v>
      </c>
      <c r="EL4" s="231">
        <v>1797</v>
      </c>
      <c r="EM4" s="231">
        <v>95933.74</v>
      </c>
      <c r="EN4" s="231">
        <v>94199.51</v>
      </c>
      <c r="EO4" s="231">
        <v>1734.23</v>
      </c>
      <c r="EP4" s="229">
        <v>1.84E-2</v>
      </c>
      <c r="EQ4" s="231">
        <v>62896</v>
      </c>
      <c r="ER4" s="231">
        <v>33824</v>
      </c>
      <c r="ES4" s="231">
        <v>157561</v>
      </c>
      <c r="ET4" s="231">
        <v>15524629</v>
      </c>
      <c r="EU4" s="231">
        <v>254281</v>
      </c>
      <c r="EV4" s="231">
        <v>247089</v>
      </c>
      <c r="EW4" s="231">
        <v>7192</v>
      </c>
      <c r="EX4" s="229">
        <v>2.9100000000000001E-2</v>
      </c>
      <c r="EY4" s="229">
        <v>0.20910000000000001</v>
      </c>
    </row>
    <row r="5" spans="1:155" ht="17.25" thickBot="1" x14ac:dyDescent="0.3">
      <c r="A5" s="226">
        <v>46148</v>
      </c>
      <c r="B5" s="227" t="s">
        <v>168</v>
      </c>
      <c r="C5" s="227" t="s">
        <v>169</v>
      </c>
      <c r="D5" s="231">
        <v>2530.5</v>
      </c>
      <c r="E5" s="231">
        <v>2441.1</v>
      </c>
      <c r="F5" s="228">
        <v>89.4</v>
      </c>
      <c r="G5" s="229">
        <v>3.6600000000000001E-2</v>
      </c>
      <c r="H5" s="231">
        <v>2519</v>
      </c>
      <c r="I5" s="231">
        <v>2430</v>
      </c>
      <c r="J5" s="228">
        <v>89</v>
      </c>
      <c r="K5" s="229">
        <v>3.6600000000000001E-2</v>
      </c>
      <c r="L5" s="231">
        <v>2530.5</v>
      </c>
      <c r="M5" s="231">
        <v>2441.1</v>
      </c>
      <c r="N5" s="228">
        <v>89.4</v>
      </c>
      <c r="O5" s="229">
        <v>3.6600000000000001E-2</v>
      </c>
      <c r="P5" s="231">
        <v>2525.1999999999998</v>
      </c>
      <c r="Q5" s="231">
        <v>2442.3000000000002</v>
      </c>
      <c r="R5" s="228">
        <v>82.9</v>
      </c>
      <c r="S5" s="229">
        <v>3.39E-2</v>
      </c>
      <c r="T5" s="231">
        <v>2536.1999999999998</v>
      </c>
      <c r="U5" s="231">
        <v>2450.6999999999998</v>
      </c>
      <c r="V5" s="228">
        <v>85.5</v>
      </c>
      <c r="W5" s="229">
        <v>3.49E-2</v>
      </c>
      <c r="X5" s="228">
        <v>11.5</v>
      </c>
      <c r="Y5" s="228">
        <v>11.1</v>
      </c>
      <c r="Z5" s="228">
        <v>0.4</v>
      </c>
      <c r="AA5" s="229">
        <v>4.5999999999999999E-3</v>
      </c>
      <c r="AB5" s="228">
        <v>11.5</v>
      </c>
      <c r="AC5" s="228">
        <v>11.1</v>
      </c>
      <c r="AD5" s="228">
        <v>0.4</v>
      </c>
      <c r="AE5" s="229">
        <v>4.5999999999999999E-3</v>
      </c>
      <c r="AF5" s="228">
        <v>6.2</v>
      </c>
      <c r="AG5" s="228">
        <v>12.3</v>
      </c>
      <c r="AH5" s="228">
        <v>-6.1</v>
      </c>
      <c r="AI5" s="229">
        <v>2.5000000000000001E-3</v>
      </c>
      <c r="AJ5" s="228">
        <v>17.2</v>
      </c>
      <c r="AK5" s="228">
        <v>20.7</v>
      </c>
      <c r="AL5" s="228">
        <v>-3.5</v>
      </c>
      <c r="AM5" s="229">
        <v>6.7999999999999996E-3</v>
      </c>
      <c r="AN5" s="231">
        <v>2510.19</v>
      </c>
      <c r="AO5" s="231">
        <v>2497.44</v>
      </c>
      <c r="AP5" s="228">
        <v>0</v>
      </c>
      <c r="AQ5" s="230">
        <v>8395</v>
      </c>
      <c r="AR5" s="230">
        <v>3237</v>
      </c>
      <c r="AS5" s="230">
        <v>5158</v>
      </c>
      <c r="AT5" s="229">
        <v>1.5934999999999999</v>
      </c>
      <c r="AU5" s="230">
        <v>7831</v>
      </c>
      <c r="AV5" s="230">
        <v>2961</v>
      </c>
      <c r="AW5" s="230">
        <v>4870</v>
      </c>
      <c r="AX5" s="229">
        <v>1.6447000000000001</v>
      </c>
      <c r="AY5" s="228">
        <v>493</v>
      </c>
      <c r="AZ5" s="228">
        <v>247</v>
      </c>
      <c r="BA5" s="228">
        <v>246</v>
      </c>
      <c r="BB5" s="229">
        <v>0.996</v>
      </c>
      <c r="BC5" s="228">
        <v>71</v>
      </c>
      <c r="BD5" s="228">
        <v>29</v>
      </c>
      <c r="BE5" s="228">
        <v>42</v>
      </c>
      <c r="BF5" s="229">
        <v>1.4482999999999999</v>
      </c>
      <c r="BG5" s="230">
        <v>36702</v>
      </c>
      <c r="BH5" s="230">
        <v>11905</v>
      </c>
      <c r="BI5" s="230">
        <v>24797</v>
      </c>
      <c r="BJ5" s="229">
        <v>2.0829</v>
      </c>
      <c r="BK5" s="230">
        <v>21985</v>
      </c>
      <c r="BL5" s="230">
        <v>8551</v>
      </c>
      <c r="BM5" s="230">
        <v>13434</v>
      </c>
      <c r="BN5" s="229">
        <v>1.571</v>
      </c>
      <c r="BO5" s="230">
        <v>67082</v>
      </c>
      <c r="BP5" s="230">
        <v>23693</v>
      </c>
      <c r="BQ5" s="230">
        <v>43389</v>
      </c>
      <c r="BR5" s="229">
        <v>1.8312999999999999</v>
      </c>
      <c r="BS5" s="230">
        <v>1454785</v>
      </c>
      <c r="BT5" s="230">
        <v>346674</v>
      </c>
      <c r="BU5" s="230">
        <v>1108111</v>
      </c>
      <c r="BV5" s="229">
        <v>3.1964000000000001</v>
      </c>
      <c r="BW5" s="230">
        <v>14144000</v>
      </c>
      <c r="BX5" s="230">
        <v>14318750</v>
      </c>
      <c r="BY5" s="230">
        <v>-174750</v>
      </c>
      <c r="BZ5" s="229">
        <v>-1.2200000000000001E-2</v>
      </c>
      <c r="CA5" s="230">
        <v>12915000</v>
      </c>
      <c r="CB5" s="230">
        <v>13111000</v>
      </c>
      <c r="CC5" s="230">
        <v>-196000</v>
      </c>
      <c r="CD5" s="229">
        <v>-1.49E-2</v>
      </c>
      <c r="CE5" s="230">
        <v>1205500</v>
      </c>
      <c r="CF5" s="230">
        <v>1186500</v>
      </c>
      <c r="CG5" s="230">
        <v>19000</v>
      </c>
      <c r="CH5" s="229">
        <v>1.6E-2</v>
      </c>
      <c r="CI5" s="230">
        <v>23500</v>
      </c>
      <c r="CJ5" s="230">
        <v>21250</v>
      </c>
      <c r="CK5" s="230">
        <v>2250</v>
      </c>
      <c r="CL5" s="229">
        <v>0.10589999999999999</v>
      </c>
      <c r="CM5" s="230">
        <v>4351000</v>
      </c>
      <c r="CN5" s="230">
        <v>3882750</v>
      </c>
      <c r="CO5" s="230">
        <v>468250</v>
      </c>
      <c r="CP5" s="229">
        <v>0.1206</v>
      </c>
      <c r="CQ5" s="230">
        <v>3411000</v>
      </c>
      <c r="CR5" s="230">
        <v>3311250</v>
      </c>
      <c r="CS5" s="230">
        <v>99750</v>
      </c>
      <c r="CT5" s="229">
        <v>3.0099999999999998E-2</v>
      </c>
      <c r="CU5" s="230">
        <v>21906000</v>
      </c>
      <c r="CV5" s="230">
        <v>21512750</v>
      </c>
      <c r="CW5" s="230">
        <v>393250</v>
      </c>
      <c r="CX5" s="229">
        <v>1.83E-2</v>
      </c>
      <c r="CY5" s="228">
        <v>27.6</v>
      </c>
      <c r="CZ5" s="228">
        <v>27.18</v>
      </c>
      <c r="DA5" s="228">
        <v>0.42</v>
      </c>
      <c r="DB5" s="228">
        <v>0.42</v>
      </c>
      <c r="DC5" s="228">
        <v>29.12</v>
      </c>
      <c r="DD5" s="228">
        <v>28.78</v>
      </c>
      <c r="DE5" s="228">
        <v>-1.52</v>
      </c>
      <c r="DF5" s="228">
        <v>0.34</v>
      </c>
      <c r="DG5" s="228">
        <v>25.96</v>
      </c>
      <c r="DH5" s="228">
        <v>26.22</v>
      </c>
      <c r="DI5" s="228">
        <v>-0.26</v>
      </c>
      <c r="DJ5" s="228">
        <v>-0.26</v>
      </c>
      <c r="DK5" s="228">
        <v>30.33</v>
      </c>
      <c r="DL5" s="228">
        <v>28.52</v>
      </c>
      <c r="DM5" s="228">
        <v>1.81</v>
      </c>
      <c r="DN5" s="228">
        <v>1.81</v>
      </c>
      <c r="DO5" s="228">
        <v>0.78</v>
      </c>
      <c r="DP5" s="228">
        <v>0.85</v>
      </c>
      <c r="DQ5" s="228">
        <v>-7.0000000000000007E-2</v>
      </c>
      <c r="DR5" s="229">
        <v>-8.2400000000000001E-2</v>
      </c>
      <c r="DS5" s="231">
        <v>2500</v>
      </c>
      <c r="DT5" s="231">
        <v>2300</v>
      </c>
      <c r="DU5" s="228">
        <v>0.6</v>
      </c>
      <c r="DV5" s="228">
        <v>0.72</v>
      </c>
      <c r="DW5" s="228">
        <v>-0.12</v>
      </c>
      <c r="DX5" s="229">
        <v>-0.16669999999999999</v>
      </c>
      <c r="DY5" s="229">
        <v>8.6900000000000005E-2</v>
      </c>
      <c r="DZ5" s="230">
        <v>1207750</v>
      </c>
      <c r="EA5" s="229">
        <v>-2.0999999999999999E-3</v>
      </c>
      <c r="EB5" s="229">
        <v>8.6900000000000005E-2</v>
      </c>
      <c r="EC5" s="228">
        <v>-12.75</v>
      </c>
      <c r="ED5" s="229">
        <v>-5.1000000000000004E-3</v>
      </c>
      <c r="EE5" s="230">
        <v>771892</v>
      </c>
      <c r="EF5" s="230">
        <v>107148</v>
      </c>
      <c r="EG5" s="229">
        <v>6.2039999999999997</v>
      </c>
      <c r="EH5" s="229">
        <v>0.53059999999999996</v>
      </c>
      <c r="EI5" s="231">
        <v>239600.7</v>
      </c>
      <c r="EJ5" s="231">
        <v>133403.29999999999</v>
      </c>
      <c r="EK5" s="231">
        <v>52666.07</v>
      </c>
      <c r="EL5" s="231">
        <v>5301</v>
      </c>
      <c r="EM5" s="231">
        <v>425670.07</v>
      </c>
      <c r="EN5" s="231">
        <v>148112.06</v>
      </c>
      <c r="EO5" s="231">
        <v>277558.01</v>
      </c>
      <c r="EP5" s="229">
        <v>1.8740000000000001</v>
      </c>
      <c r="EQ5" s="231">
        <v>112389</v>
      </c>
      <c r="ER5" s="231">
        <v>79877</v>
      </c>
      <c r="ES5" s="231">
        <v>357851</v>
      </c>
      <c r="ET5" s="231">
        <v>62818628</v>
      </c>
      <c r="EU5" s="231">
        <v>550117</v>
      </c>
      <c r="EV5" s="231">
        <v>526830</v>
      </c>
      <c r="EW5" s="231">
        <v>23287</v>
      </c>
      <c r="EX5" s="229">
        <v>4.4200000000000003E-2</v>
      </c>
      <c r="EY5" s="229">
        <v>0.34870000000000001</v>
      </c>
    </row>
    <row r="6" spans="1:155" ht="17.25" thickBot="1" x14ac:dyDescent="0.3">
      <c r="A6" s="226">
        <v>46148</v>
      </c>
      <c r="B6" s="227" t="s">
        <v>172</v>
      </c>
      <c r="C6" s="227" t="s">
        <v>173</v>
      </c>
      <c r="D6" s="231">
        <v>1304.0999999999999</v>
      </c>
      <c r="E6" s="231">
        <v>1265.7</v>
      </c>
      <c r="F6" s="228">
        <v>38.4</v>
      </c>
      <c r="G6" s="229">
        <v>3.0300000000000001E-2</v>
      </c>
      <c r="H6" s="231">
        <v>1294.2</v>
      </c>
      <c r="I6" s="231">
        <v>1259.7</v>
      </c>
      <c r="J6" s="228">
        <v>34.5</v>
      </c>
      <c r="K6" s="229">
        <v>2.7400000000000001E-2</v>
      </c>
      <c r="L6" s="231">
        <v>1304.0999999999999</v>
      </c>
      <c r="M6" s="231">
        <v>1265.7</v>
      </c>
      <c r="N6" s="228">
        <v>38.4</v>
      </c>
      <c r="O6" s="229">
        <v>3.0300000000000001E-2</v>
      </c>
      <c r="P6" s="231">
        <v>1312.4</v>
      </c>
      <c r="Q6" s="231">
        <v>1275.7</v>
      </c>
      <c r="R6" s="228">
        <v>36.700000000000003</v>
      </c>
      <c r="S6" s="229">
        <v>2.8799999999999999E-2</v>
      </c>
      <c r="T6" s="231">
        <v>1317.9</v>
      </c>
      <c r="U6" s="231">
        <v>1279.5999999999999</v>
      </c>
      <c r="V6" s="228">
        <v>38.299999999999997</v>
      </c>
      <c r="W6" s="229">
        <v>2.9899999999999999E-2</v>
      </c>
      <c r="X6" s="228">
        <v>9.9</v>
      </c>
      <c r="Y6" s="228">
        <v>6</v>
      </c>
      <c r="Z6" s="228">
        <v>3.9</v>
      </c>
      <c r="AA6" s="229">
        <v>7.6E-3</v>
      </c>
      <c r="AB6" s="228">
        <v>9.9</v>
      </c>
      <c r="AC6" s="228">
        <v>6</v>
      </c>
      <c r="AD6" s="228">
        <v>3.9</v>
      </c>
      <c r="AE6" s="229">
        <v>7.6E-3</v>
      </c>
      <c r="AF6" s="228">
        <v>18.2</v>
      </c>
      <c r="AG6" s="228">
        <v>16</v>
      </c>
      <c r="AH6" s="228">
        <v>2.2000000000000002</v>
      </c>
      <c r="AI6" s="229">
        <v>1.41E-2</v>
      </c>
      <c r="AJ6" s="228">
        <v>23.7</v>
      </c>
      <c r="AK6" s="228">
        <v>19.899999999999999</v>
      </c>
      <c r="AL6" s="228">
        <v>3.8</v>
      </c>
      <c r="AM6" s="229">
        <v>1.83E-2</v>
      </c>
      <c r="AN6" s="231">
        <v>1288.99</v>
      </c>
      <c r="AO6" s="231">
        <v>1289.1500000000001</v>
      </c>
      <c r="AP6" s="228">
        <v>0</v>
      </c>
      <c r="AQ6" s="230">
        <v>14201</v>
      </c>
      <c r="AR6" s="230">
        <v>10899</v>
      </c>
      <c r="AS6" s="230">
        <v>3302</v>
      </c>
      <c r="AT6" s="229">
        <v>0.30299999999999999</v>
      </c>
      <c r="AU6" s="230">
        <v>12885</v>
      </c>
      <c r="AV6" s="230">
        <v>9046</v>
      </c>
      <c r="AW6" s="230">
        <v>3839</v>
      </c>
      <c r="AX6" s="229">
        <v>0.4244</v>
      </c>
      <c r="AY6" s="230">
        <v>1229</v>
      </c>
      <c r="AZ6" s="230">
        <v>1793</v>
      </c>
      <c r="BA6" s="228">
        <v>-564</v>
      </c>
      <c r="BB6" s="229">
        <v>-0.31459999999999999</v>
      </c>
      <c r="BC6" s="228">
        <v>87</v>
      </c>
      <c r="BD6" s="228">
        <v>60</v>
      </c>
      <c r="BE6" s="228">
        <v>27</v>
      </c>
      <c r="BF6" s="229">
        <v>0.45</v>
      </c>
      <c r="BG6" s="230">
        <v>56934</v>
      </c>
      <c r="BH6" s="230">
        <v>29593</v>
      </c>
      <c r="BI6" s="230">
        <v>27341</v>
      </c>
      <c r="BJ6" s="229">
        <v>0.92390000000000005</v>
      </c>
      <c r="BK6" s="230">
        <v>31781</v>
      </c>
      <c r="BL6" s="230">
        <v>14332</v>
      </c>
      <c r="BM6" s="230">
        <v>17449</v>
      </c>
      <c r="BN6" s="229">
        <v>1.2175</v>
      </c>
      <c r="BO6" s="230">
        <v>102916</v>
      </c>
      <c r="BP6" s="230">
        <v>54824</v>
      </c>
      <c r="BQ6" s="230">
        <v>48092</v>
      </c>
      <c r="BR6" s="229">
        <v>0.87719999999999998</v>
      </c>
      <c r="BS6" s="230">
        <v>7476815</v>
      </c>
      <c r="BT6" s="230">
        <v>10690137</v>
      </c>
      <c r="BU6" s="230">
        <v>-3213322</v>
      </c>
      <c r="BV6" s="229">
        <v>-0.30059999999999998</v>
      </c>
      <c r="BW6" s="230">
        <v>68474375</v>
      </c>
      <c r="BX6" s="230">
        <v>67488125</v>
      </c>
      <c r="BY6" s="230">
        <v>986250</v>
      </c>
      <c r="BZ6" s="229">
        <v>1.46E-2</v>
      </c>
      <c r="CA6" s="230">
        <v>59293125</v>
      </c>
      <c r="CB6" s="230">
        <v>58832500</v>
      </c>
      <c r="CC6" s="230">
        <v>460625</v>
      </c>
      <c r="CD6" s="229">
        <v>7.7999999999999996E-3</v>
      </c>
      <c r="CE6" s="230">
        <v>9074375</v>
      </c>
      <c r="CF6" s="230">
        <v>8573125</v>
      </c>
      <c r="CG6" s="230">
        <v>501250</v>
      </c>
      <c r="CH6" s="229">
        <v>5.8500000000000003E-2</v>
      </c>
      <c r="CI6" s="230">
        <v>106875</v>
      </c>
      <c r="CJ6" s="230">
        <v>82500</v>
      </c>
      <c r="CK6" s="230">
        <v>24375</v>
      </c>
      <c r="CL6" s="229">
        <v>0.29549999999999998</v>
      </c>
      <c r="CM6" s="230">
        <v>15970000</v>
      </c>
      <c r="CN6" s="230">
        <v>16861875</v>
      </c>
      <c r="CO6" s="230">
        <v>-891875</v>
      </c>
      <c r="CP6" s="229">
        <v>-5.2900000000000003E-2</v>
      </c>
      <c r="CQ6" s="230">
        <v>11578750</v>
      </c>
      <c r="CR6" s="230">
        <v>11182500</v>
      </c>
      <c r="CS6" s="230">
        <v>396250</v>
      </c>
      <c r="CT6" s="229">
        <v>3.5400000000000001E-2</v>
      </c>
      <c r="CU6" s="230">
        <v>96023125</v>
      </c>
      <c r="CV6" s="230">
        <v>95532500</v>
      </c>
      <c r="CW6" s="230">
        <v>490625</v>
      </c>
      <c r="CX6" s="229">
        <v>5.1000000000000004E-3</v>
      </c>
      <c r="CY6" s="228">
        <v>24.25</v>
      </c>
      <c r="CZ6" s="228">
        <v>25.91</v>
      </c>
      <c r="DA6" s="228">
        <v>-1.66</v>
      </c>
      <c r="DB6" s="228">
        <v>-1.66</v>
      </c>
      <c r="DC6" s="228">
        <v>30.21</v>
      </c>
      <c r="DD6" s="228">
        <v>30.07</v>
      </c>
      <c r="DE6" s="228">
        <v>-5.96</v>
      </c>
      <c r="DF6" s="228">
        <v>0.14000000000000001</v>
      </c>
      <c r="DG6" s="228">
        <v>23.55</v>
      </c>
      <c r="DH6" s="228">
        <v>25.68</v>
      </c>
      <c r="DI6" s="228">
        <v>-2.13</v>
      </c>
      <c r="DJ6" s="228">
        <v>-2.13</v>
      </c>
      <c r="DK6" s="228">
        <v>25.51</v>
      </c>
      <c r="DL6" s="228">
        <v>26.39</v>
      </c>
      <c r="DM6" s="228">
        <v>-0.88</v>
      </c>
      <c r="DN6" s="228">
        <v>-0.88</v>
      </c>
      <c r="DO6" s="228">
        <v>0.73</v>
      </c>
      <c r="DP6" s="228">
        <v>0.66</v>
      </c>
      <c r="DQ6" s="228">
        <v>7.0000000000000007E-2</v>
      </c>
      <c r="DR6" s="229">
        <v>0.1061</v>
      </c>
      <c r="DS6" s="231">
        <v>1300</v>
      </c>
      <c r="DT6" s="231">
        <v>1200</v>
      </c>
      <c r="DU6" s="228">
        <v>0.56000000000000005</v>
      </c>
      <c r="DV6" s="228">
        <v>0.48</v>
      </c>
      <c r="DW6" s="228">
        <v>0.08</v>
      </c>
      <c r="DX6" s="229">
        <v>0.16669999999999999</v>
      </c>
      <c r="DY6" s="229">
        <v>0.1341</v>
      </c>
      <c r="DZ6" s="230">
        <v>8655625</v>
      </c>
      <c r="EA6" s="229">
        <v>6.4000000000000003E-3</v>
      </c>
      <c r="EB6" s="229">
        <v>0.1341</v>
      </c>
      <c r="EC6" s="228">
        <v>0.16</v>
      </c>
      <c r="ED6" s="229">
        <v>1E-4</v>
      </c>
      <c r="EE6" s="230">
        <v>4719280</v>
      </c>
      <c r="EF6" s="230">
        <v>5580368</v>
      </c>
      <c r="EG6" s="229">
        <v>-0.15429999999999999</v>
      </c>
      <c r="EH6" s="229">
        <v>0.63119999999999998</v>
      </c>
      <c r="EI6" s="231">
        <v>476898.76</v>
      </c>
      <c r="EJ6" s="231">
        <v>251853.66</v>
      </c>
      <c r="EK6" s="231">
        <v>114413.45</v>
      </c>
      <c r="EL6" s="231">
        <v>12619</v>
      </c>
      <c r="EM6" s="231">
        <v>843165.87</v>
      </c>
      <c r="EN6" s="231">
        <v>447176.21</v>
      </c>
      <c r="EO6" s="231">
        <v>395989.66</v>
      </c>
      <c r="EP6" s="229">
        <v>0.88549999999999995</v>
      </c>
      <c r="EQ6" s="231">
        <v>215027</v>
      </c>
      <c r="ER6" s="231">
        <v>144385</v>
      </c>
      <c r="ES6" s="231">
        <v>893742</v>
      </c>
      <c r="ET6" s="231">
        <v>331596880</v>
      </c>
      <c r="EU6" s="231">
        <v>1253154</v>
      </c>
      <c r="EV6" s="231">
        <v>1221809</v>
      </c>
      <c r="EW6" s="231">
        <v>31345</v>
      </c>
      <c r="EX6" s="229">
        <v>2.5700000000000001E-2</v>
      </c>
      <c r="EY6" s="229">
        <v>0.28960000000000002</v>
      </c>
    </row>
    <row r="7" spans="1:155" ht="17.25" thickBot="1" x14ac:dyDescent="0.3">
      <c r="A7" s="226">
        <v>46148</v>
      </c>
      <c r="B7" s="227" t="s">
        <v>162</v>
      </c>
      <c r="C7" s="227" t="s">
        <v>174</v>
      </c>
      <c r="D7" s="231">
        <v>10361</v>
      </c>
      <c r="E7" s="231">
        <v>10090</v>
      </c>
      <c r="F7" s="228">
        <v>271</v>
      </c>
      <c r="G7" s="229">
        <v>2.69E-2</v>
      </c>
      <c r="H7" s="231">
        <v>10319</v>
      </c>
      <c r="I7" s="231">
        <v>10046</v>
      </c>
      <c r="J7" s="228">
        <v>273</v>
      </c>
      <c r="K7" s="229">
        <v>2.7199999999999998E-2</v>
      </c>
      <c r="L7" s="231">
        <v>10361</v>
      </c>
      <c r="M7" s="231">
        <v>10090</v>
      </c>
      <c r="N7" s="228">
        <v>271</v>
      </c>
      <c r="O7" s="229">
        <v>2.69E-2</v>
      </c>
      <c r="P7" s="231">
        <v>10238.5</v>
      </c>
      <c r="Q7" s="231">
        <v>10000</v>
      </c>
      <c r="R7" s="228">
        <v>238.5</v>
      </c>
      <c r="S7" s="229">
        <v>2.3800000000000002E-2</v>
      </c>
      <c r="T7" s="231">
        <v>10155.5</v>
      </c>
      <c r="U7" s="231">
        <v>9900</v>
      </c>
      <c r="V7" s="228">
        <v>255.5</v>
      </c>
      <c r="W7" s="229">
        <v>2.58E-2</v>
      </c>
      <c r="X7" s="228">
        <v>42</v>
      </c>
      <c r="Y7" s="228">
        <v>44</v>
      </c>
      <c r="Z7" s="228">
        <v>-2</v>
      </c>
      <c r="AA7" s="229">
        <v>4.1000000000000003E-3</v>
      </c>
      <c r="AB7" s="228">
        <v>42</v>
      </c>
      <c r="AC7" s="228">
        <v>44</v>
      </c>
      <c r="AD7" s="228">
        <v>-2</v>
      </c>
      <c r="AE7" s="229">
        <v>4.1000000000000003E-3</v>
      </c>
      <c r="AF7" s="228">
        <v>-80.5</v>
      </c>
      <c r="AG7" s="228">
        <v>-46</v>
      </c>
      <c r="AH7" s="228">
        <v>-34.5</v>
      </c>
      <c r="AI7" s="229">
        <v>-7.7999999999999996E-3</v>
      </c>
      <c r="AJ7" s="228">
        <v>-163.5</v>
      </c>
      <c r="AK7" s="228">
        <v>-146</v>
      </c>
      <c r="AL7" s="228">
        <v>-17.5</v>
      </c>
      <c r="AM7" s="229">
        <v>-1.5800000000000002E-2</v>
      </c>
      <c r="AN7" s="231">
        <v>10272.719999999999</v>
      </c>
      <c r="AO7" s="231">
        <v>10156.07</v>
      </c>
      <c r="AP7" s="228">
        <v>0</v>
      </c>
      <c r="AQ7" s="230">
        <v>9037</v>
      </c>
      <c r="AR7" s="230">
        <v>4518</v>
      </c>
      <c r="AS7" s="230">
        <v>4519</v>
      </c>
      <c r="AT7" s="229">
        <v>1.0002</v>
      </c>
      <c r="AU7" s="230">
        <v>8315</v>
      </c>
      <c r="AV7" s="230">
        <v>4199</v>
      </c>
      <c r="AW7" s="230">
        <v>4116</v>
      </c>
      <c r="AX7" s="229">
        <v>0.98019999999999996</v>
      </c>
      <c r="AY7" s="228">
        <v>652</v>
      </c>
      <c r="AZ7" s="228">
        <v>268</v>
      </c>
      <c r="BA7" s="228">
        <v>384</v>
      </c>
      <c r="BB7" s="229">
        <v>1.4328000000000001</v>
      </c>
      <c r="BC7" s="228">
        <v>70</v>
      </c>
      <c r="BD7" s="228">
        <v>51</v>
      </c>
      <c r="BE7" s="228">
        <v>19</v>
      </c>
      <c r="BF7" s="229">
        <v>0.3725</v>
      </c>
      <c r="BG7" s="230">
        <v>82598</v>
      </c>
      <c r="BH7" s="230">
        <v>20519</v>
      </c>
      <c r="BI7" s="230">
        <v>62079</v>
      </c>
      <c r="BJ7" s="229">
        <v>3.0253999999999999</v>
      </c>
      <c r="BK7" s="230">
        <v>35509</v>
      </c>
      <c r="BL7" s="230">
        <v>14206</v>
      </c>
      <c r="BM7" s="230">
        <v>21303</v>
      </c>
      <c r="BN7" s="229">
        <v>1.4996</v>
      </c>
      <c r="BO7" s="230">
        <v>127144</v>
      </c>
      <c r="BP7" s="230">
        <v>39243</v>
      </c>
      <c r="BQ7" s="230">
        <v>87901</v>
      </c>
      <c r="BR7" s="229">
        <v>2.2399</v>
      </c>
      <c r="BS7" s="230">
        <v>410572</v>
      </c>
      <c r="BT7" s="230">
        <v>239350</v>
      </c>
      <c r="BU7" s="230">
        <v>171222</v>
      </c>
      <c r="BV7" s="229">
        <v>0.71540000000000004</v>
      </c>
      <c r="BW7" s="230">
        <v>2649225</v>
      </c>
      <c r="BX7" s="230">
        <v>2628300</v>
      </c>
      <c r="BY7" s="230">
        <v>20925</v>
      </c>
      <c r="BZ7" s="229">
        <v>8.0000000000000002E-3</v>
      </c>
      <c r="CA7" s="230">
        <v>2510250</v>
      </c>
      <c r="CB7" s="230">
        <v>2502825</v>
      </c>
      <c r="CC7" s="230">
        <v>7425</v>
      </c>
      <c r="CD7" s="229">
        <v>3.0000000000000001E-3</v>
      </c>
      <c r="CE7" s="230">
        <v>130275</v>
      </c>
      <c r="CF7" s="230">
        <v>118125</v>
      </c>
      <c r="CG7" s="230">
        <v>12150</v>
      </c>
      <c r="CH7" s="229">
        <v>0.10290000000000001</v>
      </c>
      <c r="CI7" s="230">
        <v>8700</v>
      </c>
      <c r="CJ7" s="230">
        <v>7350</v>
      </c>
      <c r="CK7" s="230">
        <v>1350</v>
      </c>
      <c r="CL7" s="229">
        <v>0.1837</v>
      </c>
      <c r="CM7" s="230">
        <v>1755150</v>
      </c>
      <c r="CN7" s="230">
        <v>1490025</v>
      </c>
      <c r="CO7" s="230">
        <v>265125</v>
      </c>
      <c r="CP7" s="229">
        <v>0.1779</v>
      </c>
      <c r="CQ7" s="230">
        <v>1343625</v>
      </c>
      <c r="CR7" s="230">
        <v>1174575</v>
      </c>
      <c r="CS7" s="230">
        <v>169050</v>
      </c>
      <c r="CT7" s="229">
        <v>0.1439</v>
      </c>
      <c r="CU7" s="230">
        <v>5748000</v>
      </c>
      <c r="CV7" s="230">
        <v>5292900</v>
      </c>
      <c r="CW7" s="230">
        <v>455100</v>
      </c>
      <c r="CX7" s="229">
        <v>8.5999999999999993E-2</v>
      </c>
      <c r="CY7" s="228">
        <v>32.1</v>
      </c>
      <c r="CZ7" s="228">
        <v>32.47</v>
      </c>
      <c r="DA7" s="228">
        <v>-0.37</v>
      </c>
      <c r="DB7" s="228">
        <v>-0.37</v>
      </c>
      <c r="DC7" s="228">
        <v>30.05</v>
      </c>
      <c r="DD7" s="228">
        <v>29.91</v>
      </c>
      <c r="DE7" s="228">
        <v>2.0499999999999998</v>
      </c>
      <c r="DF7" s="228">
        <v>0.14000000000000001</v>
      </c>
      <c r="DG7" s="228">
        <v>31.85</v>
      </c>
      <c r="DH7" s="228">
        <v>32.49</v>
      </c>
      <c r="DI7" s="228">
        <v>-0.64</v>
      </c>
      <c r="DJ7" s="228">
        <v>-0.64</v>
      </c>
      <c r="DK7" s="228">
        <v>32.67</v>
      </c>
      <c r="DL7" s="228">
        <v>32.44</v>
      </c>
      <c r="DM7" s="228">
        <v>0.23</v>
      </c>
      <c r="DN7" s="228">
        <v>0.23</v>
      </c>
      <c r="DO7" s="228">
        <v>0.77</v>
      </c>
      <c r="DP7" s="228">
        <v>0.79</v>
      </c>
      <c r="DQ7" s="228">
        <v>-0.02</v>
      </c>
      <c r="DR7" s="229">
        <v>-2.53E-2</v>
      </c>
      <c r="DS7" s="231">
        <v>10500</v>
      </c>
      <c r="DT7" s="231">
        <v>9000</v>
      </c>
      <c r="DU7" s="228">
        <v>0.43</v>
      </c>
      <c r="DV7" s="228">
        <v>0.69</v>
      </c>
      <c r="DW7" s="228">
        <v>-0.26</v>
      </c>
      <c r="DX7" s="229">
        <v>-0.37680000000000002</v>
      </c>
      <c r="DY7" s="229">
        <v>5.2499999999999998E-2</v>
      </c>
      <c r="DZ7" s="230">
        <v>125475</v>
      </c>
      <c r="EA7" s="229">
        <v>-1.18E-2</v>
      </c>
      <c r="EB7" s="229">
        <v>5.2499999999999998E-2</v>
      </c>
      <c r="EC7" s="228">
        <v>-116.65</v>
      </c>
      <c r="ED7" s="229">
        <v>-1.14E-2</v>
      </c>
      <c r="EE7" s="230">
        <v>128885</v>
      </c>
      <c r="EF7" s="230">
        <v>100934</v>
      </c>
      <c r="EG7" s="229">
        <v>0.27689999999999998</v>
      </c>
      <c r="EH7" s="229">
        <v>0.31390000000000001</v>
      </c>
      <c r="EI7" s="231">
        <v>674907.58</v>
      </c>
      <c r="EJ7" s="231">
        <v>261854.14</v>
      </c>
      <c r="EK7" s="231">
        <v>69558.98</v>
      </c>
      <c r="EL7" s="231">
        <v>10387</v>
      </c>
      <c r="EM7" s="231">
        <v>1006320.7</v>
      </c>
      <c r="EN7" s="231">
        <v>301840.5</v>
      </c>
      <c r="EO7" s="231">
        <v>704480.2</v>
      </c>
      <c r="EP7" s="229">
        <v>2.3338999999999999</v>
      </c>
      <c r="EQ7" s="231">
        <v>184373</v>
      </c>
      <c r="ER7" s="231">
        <v>128059</v>
      </c>
      <c r="ES7" s="231">
        <v>274309</v>
      </c>
      <c r="ET7" s="231">
        <v>12553818</v>
      </c>
      <c r="EU7" s="231">
        <v>586741</v>
      </c>
      <c r="EV7" s="231">
        <v>530493</v>
      </c>
      <c r="EW7" s="231">
        <v>56248</v>
      </c>
      <c r="EX7" s="229">
        <v>0.106</v>
      </c>
      <c r="EY7" s="229">
        <v>0.45789999999999997</v>
      </c>
    </row>
    <row r="8" spans="1:155" ht="17.25" thickBot="1" x14ac:dyDescent="0.3">
      <c r="A8" s="226">
        <v>46148</v>
      </c>
      <c r="B8" s="227" t="s">
        <v>175</v>
      </c>
      <c r="C8" s="227" t="s">
        <v>176</v>
      </c>
      <c r="D8" s="231">
        <v>1846.9</v>
      </c>
      <c r="E8" s="231">
        <v>1800</v>
      </c>
      <c r="F8" s="228">
        <v>46.9</v>
      </c>
      <c r="G8" s="229">
        <v>2.6100000000000002E-2</v>
      </c>
      <c r="H8" s="231">
        <v>1836.1</v>
      </c>
      <c r="I8" s="231">
        <v>1794.6</v>
      </c>
      <c r="J8" s="228">
        <v>41.5</v>
      </c>
      <c r="K8" s="229">
        <v>2.3099999999999999E-2</v>
      </c>
      <c r="L8" s="231">
        <v>1846.9</v>
      </c>
      <c r="M8" s="231">
        <v>1800</v>
      </c>
      <c r="N8" s="228">
        <v>46.9</v>
      </c>
      <c r="O8" s="229">
        <v>2.6100000000000002E-2</v>
      </c>
      <c r="P8" s="231">
        <v>1856.9</v>
      </c>
      <c r="Q8" s="231">
        <v>1812</v>
      </c>
      <c r="R8" s="228">
        <v>44.9</v>
      </c>
      <c r="S8" s="229">
        <v>2.4799999999999999E-2</v>
      </c>
      <c r="T8" s="231">
        <v>1868.7</v>
      </c>
      <c r="U8" s="231">
        <v>1820.4</v>
      </c>
      <c r="V8" s="228">
        <v>48.3</v>
      </c>
      <c r="W8" s="229">
        <v>2.6499999999999999E-2</v>
      </c>
      <c r="X8" s="228">
        <v>10.8</v>
      </c>
      <c r="Y8" s="228">
        <v>5.4</v>
      </c>
      <c r="Z8" s="228">
        <v>5.4</v>
      </c>
      <c r="AA8" s="229">
        <v>5.8999999999999999E-3</v>
      </c>
      <c r="AB8" s="228">
        <v>10.8</v>
      </c>
      <c r="AC8" s="228">
        <v>5.4</v>
      </c>
      <c r="AD8" s="228">
        <v>5.4</v>
      </c>
      <c r="AE8" s="229">
        <v>5.8999999999999999E-3</v>
      </c>
      <c r="AF8" s="228">
        <v>20.8</v>
      </c>
      <c r="AG8" s="228">
        <v>17.399999999999999</v>
      </c>
      <c r="AH8" s="228">
        <v>3.4</v>
      </c>
      <c r="AI8" s="229">
        <v>1.1299999999999999E-2</v>
      </c>
      <c r="AJ8" s="228">
        <v>32.6</v>
      </c>
      <c r="AK8" s="228">
        <v>25.8</v>
      </c>
      <c r="AL8" s="228">
        <v>6.8</v>
      </c>
      <c r="AM8" s="229">
        <v>1.78E-2</v>
      </c>
      <c r="AN8" s="231">
        <v>1831.73</v>
      </c>
      <c r="AO8" s="231">
        <v>1839.35</v>
      </c>
      <c r="AP8" s="228">
        <v>0</v>
      </c>
      <c r="AQ8" s="230">
        <v>4560</v>
      </c>
      <c r="AR8" s="230">
        <v>3293</v>
      </c>
      <c r="AS8" s="230">
        <v>1267</v>
      </c>
      <c r="AT8" s="229">
        <v>0.38479999999999998</v>
      </c>
      <c r="AU8" s="230">
        <v>4119</v>
      </c>
      <c r="AV8" s="230">
        <v>3083</v>
      </c>
      <c r="AW8" s="230">
        <v>1036</v>
      </c>
      <c r="AX8" s="229">
        <v>0.33600000000000002</v>
      </c>
      <c r="AY8" s="228">
        <v>402</v>
      </c>
      <c r="AZ8" s="228">
        <v>205</v>
      </c>
      <c r="BA8" s="228">
        <v>197</v>
      </c>
      <c r="BB8" s="229">
        <v>0.96099999999999997</v>
      </c>
      <c r="BC8" s="228">
        <v>39</v>
      </c>
      <c r="BD8" s="228">
        <v>5</v>
      </c>
      <c r="BE8" s="228">
        <v>34</v>
      </c>
      <c r="BF8" s="229">
        <v>6.8</v>
      </c>
      <c r="BG8" s="230">
        <v>23764</v>
      </c>
      <c r="BH8" s="230">
        <v>15094</v>
      </c>
      <c r="BI8" s="230">
        <v>8670</v>
      </c>
      <c r="BJ8" s="229">
        <v>0.57440000000000002</v>
      </c>
      <c r="BK8" s="230">
        <v>11924</v>
      </c>
      <c r="BL8" s="230">
        <v>10226</v>
      </c>
      <c r="BM8" s="230">
        <v>1698</v>
      </c>
      <c r="BN8" s="229">
        <v>0.16600000000000001</v>
      </c>
      <c r="BO8" s="230">
        <v>40248</v>
      </c>
      <c r="BP8" s="230">
        <v>28613</v>
      </c>
      <c r="BQ8" s="230">
        <v>11635</v>
      </c>
      <c r="BR8" s="229">
        <v>0.40660000000000002</v>
      </c>
      <c r="BS8" s="230">
        <v>1125230</v>
      </c>
      <c r="BT8" s="230">
        <v>1372034</v>
      </c>
      <c r="BU8" s="230">
        <v>-246804</v>
      </c>
      <c r="BV8" s="229">
        <v>-0.1799</v>
      </c>
      <c r="BW8" s="230">
        <v>11471550</v>
      </c>
      <c r="BX8" s="230">
        <v>11556550</v>
      </c>
      <c r="BY8" s="230">
        <v>-85000</v>
      </c>
      <c r="BZ8" s="229">
        <v>-7.4000000000000003E-3</v>
      </c>
      <c r="CA8" s="230">
        <v>10411750</v>
      </c>
      <c r="CB8" s="230">
        <v>10507250</v>
      </c>
      <c r="CC8" s="230">
        <v>-95500</v>
      </c>
      <c r="CD8" s="229">
        <v>-9.1000000000000004E-3</v>
      </c>
      <c r="CE8" s="230">
        <v>1037000</v>
      </c>
      <c r="CF8" s="230">
        <v>1025000</v>
      </c>
      <c r="CG8" s="230">
        <v>12000</v>
      </c>
      <c r="CH8" s="229">
        <v>1.17E-2</v>
      </c>
      <c r="CI8" s="230">
        <v>22800</v>
      </c>
      <c r="CJ8" s="230">
        <v>24300</v>
      </c>
      <c r="CK8" s="230">
        <v>-1500</v>
      </c>
      <c r="CL8" s="229">
        <v>-6.1699999999999998E-2</v>
      </c>
      <c r="CM8" s="230">
        <v>2966250</v>
      </c>
      <c r="CN8" s="230">
        <v>3012500</v>
      </c>
      <c r="CO8" s="230">
        <v>-46250</v>
      </c>
      <c r="CP8" s="229">
        <v>-1.54E-2</v>
      </c>
      <c r="CQ8" s="230">
        <v>2923250</v>
      </c>
      <c r="CR8" s="230">
        <v>2921500</v>
      </c>
      <c r="CS8" s="230">
        <v>1750</v>
      </c>
      <c r="CT8" s="229">
        <v>5.9999999999999995E-4</v>
      </c>
      <c r="CU8" s="230">
        <v>17361050</v>
      </c>
      <c r="CV8" s="230">
        <v>17490550</v>
      </c>
      <c r="CW8" s="230">
        <v>-129500</v>
      </c>
      <c r="CX8" s="229">
        <v>-7.4000000000000003E-3</v>
      </c>
      <c r="CY8" s="228">
        <v>26.4</v>
      </c>
      <c r="CZ8" s="228">
        <v>27.64</v>
      </c>
      <c r="DA8" s="228">
        <v>-1.24</v>
      </c>
      <c r="DB8" s="228">
        <v>-1.24</v>
      </c>
      <c r="DC8" s="228">
        <v>30.45</v>
      </c>
      <c r="DD8" s="228">
        <v>30.33</v>
      </c>
      <c r="DE8" s="228">
        <v>-4.05</v>
      </c>
      <c r="DF8" s="228">
        <v>0.12</v>
      </c>
      <c r="DG8" s="228">
        <v>25.27</v>
      </c>
      <c r="DH8" s="228">
        <v>26.58</v>
      </c>
      <c r="DI8" s="228">
        <v>-1.31</v>
      </c>
      <c r="DJ8" s="228">
        <v>-1.31</v>
      </c>
      <c r="DK8" s="228">
        <v>28.66</v>
      </c>
      <c r="DL8" s="228">
        <v>29.19</v>
      </c>
      <c r="DM8" s="228">
        <v>-0.53</v>
      </c>
      <c r="DN8" s="228">
        <v>-0.53</v>
      </c>
      <c r="DO8" s="228">
        <v>0.99</v>
      </c>
      <c r="DP8" s="228">
        <v>0.97</v>
      </c>
      <c r="DQ8" s="228">
        <v>0.02</v>
      </c>
      <c r="DR8" s="229">
        <v>2.06E-2</v>
      </c>
      <c r="DS8" s="231">
        <v>2000</v>
      </c>
      <c r="DT8" s="231">
        <v>1680</v>
      </c>
      <c r="DU8" s="228">
        <v>0.5</v>
      </c>
      <c r="DV8" s="228">
        <v>0.68</v>
      </c>
      <c r="DW8" s="228">
        <v>-0.18</v>
      </c>
      <c r="DX8" s="229">
        <v>-0.26469999999999999</v>
      </c>
      <c r="DY8" s="229">
        <v>9.2399999999999996E-2</v>
      </c>
      <c r="DZ8" s="230">
        <v>1049300</v>
      </c>
      <c r="EA8" s="229">
        <v>5.4000000000000003E-3</v>
      </c>
      <c r="EB8" s="229">
        <v>9.2399999999999996E-2</v>
      </c>
      <c r="EC8" s="228">
        <v>7.62</v>
      </c>
      <c r="ED8" s="229">
        <v>4.1999999999999997E-3</v>
      </c>
      <c r="EE8" s="230">
        <v>526706</v>
      </c>
      <c r="EF8" s="230">
        <v>726424</v>
      </c>
      <c r="EG8" s="229">
        <v>-0.27489999999999998</v>
      </c>
      <c r="EH8" s="229">
        <v>0.46810000000000002</v>
      </c>
      <c r="EI8" s="231">
        <v>113657.58</v>
      </c>
      <c r="EJ8" s="231">
        <v>53023.12</v>
      </c>
      <c r="EK8" s="231">
        <v>20926.8</v>
      </c>
      <c r="EL8" s="231">
        <v>5855</v>
      </c>
      <c r="EM8" s="231">
        <v>187607.5</v>
      </c>
      <c r="EN8" s="231">
        <v>130399.42</v>
      </c>
      <c r="EO8" s="231">
        <v>57208.08</v>
      </c>
      <c r="EP8" s="229">
        <v>0.43869999999999998</v>
      </c>
      <c r="EQ8" s="231">
        <v>55679</v>
      </c>
      <c r="ER8" s="231">
        <v>51166</v>
      </c>
      <c r="ES8" s="231">
        <v>211977</v>
      </c>
      <c r="ET8" s="231">
        <v>65784745</v>
      </c>
      <c r="EU8" s="231">
        <v>318822</v>
      </c>
      <c r="EV8" s="231">
        <v>315364</v>
      </c>
      <c r="EW8" s="231">
        <v>3458</v>
      </c>
      <c r="EX8" s="229">
        <v>1.0999999999999999E-2</v>
      </c>
      <c r="EY8" s="229">
        <v>0.26390000000000002</v>
      </c>
    </row>
    <row r="9" spans="1:155" ht="17.25" thickBot="1" x14ac:dyDescent="0.3">
      <c r="A9" s="226">
        <v>46148</v>
      </c>
      <c r="B9" s="227" t="s">
        <v>175</v>
      </c>
      <c r="C9" s="227" t="s">
        <v>177</v>
      </c>
      <c r="D9" s="228">
        <v>985.45</v>
      </c>
      <c r="E9" s="228">
        <v>960.6</v>
      </c>
      <c r="F9" s="228">
        <v>24.85</v>
      </c>
      <c r="G9" s="229">
        <v>2.5899999999999999E-2</v>
      </c>
      <c r="H9" s="228">
        <v>980.75</v>
      </c>
      <c r="I9" s="228">
        <v>958.6</v>
      </c>
      <c r="J9" s="228">
        <v>22.15</v>
      </c>
      <c r="K9" s="229">
        <v>2.3099999999999999E-2</v>
      </c>
      <c r="L9" s="228">
        <v>985.45</v>
      </c>
      <c r="M9" s="228">
        <v>960.6</v>
      </c>
      <c r="N9" s="228">
        <v>24.85</v>
      </c>
      <c r="O9" s="229">
        <v>2.5899999999999999E-2</v>
      </c>
      <c r="P9" s="228">
        <v>985.25</v>
      </c>
      <c r="Q9" s="228">
        <v>961.5</v>
      </c>
      <c r="R9" s="228">
        <v>23.75</v>
      </c>
      <c r="S9" s="229">
        <v>2.47E-2</v>
      </c>
      <c r="T9" s="228">
        <v>990.95</v>
      </c>
      <c r="U9" s="228">
        <v>966</v>
      </c>
      <c r="V9" s="228">
        <v>24.95</v>
      </c>
      <c r="W9" s="229">
        <v>2.58E-2</v>
      </c>
      <c r="X9" s="228">
        <v>4.7</v>
      </c>
      <c r="Y9" s="228">
        <v>2</v>
      </c>
      <c r="Z9" s="228">
        <v>2.7</v>
      </c>
      <c r="AA9" s="229">
        <v>4.7999999999999996E-3</v>
      </c>
      <c r="AB9" s="228">
        <v>4.7</v>
      </c>
      <c r="AC9" s="228">
        <v>2</v>
      </c>
      <c r="AD9" s="228">
        <v>2.7</v>
      </c>
      <c r="AE9" s="229">
        <v>4.7999999999999996E-3</v>
      </c>
      <c r="AF9" s="228">
        <v>4.5</v>
      </c>
      <c r="AG9" s="228">
        <v>2.9</v>
      </c>
      <c r="AH9" s="228">
        <v>1.6</v>
      </c>
      <c r="AI9" s="229">
        <v>4.5999999999999999E-3</v>
      </c>
      <c r="AJ9" s="228">
        <v>10.199999999999999</v>
      </c>
      <c r="AK9" s="228">
        <v>7.4</v>
      </c>
      <c r="AL9" s="228">
        <v>2.8</v>
      </c>
      <c r="AM9" s="229">
        <v>1.04E-2</v>
      </c>
      <c r="AN9" s="228">
        <v>978.92</v>
      </c>
      <c r="AO9" s="228">
        <v>978.81</v>
      </c>
      <c r="AP9" s="228">
        <v>0</v>
      </c>
      <c r="AQ9" s="230">
        <v>12327</v>
      </c>
      <c r="AR9" s="230">
        <v>8114</v>
      </c>
      <c r="AS9" s="230">
        <v>4213</v>
      </c>
      <c r="AT9" s="229">
        <v>0.51919999999999999</v>
      </c>
      <c r="AU9" s="230">
        <v>11368</v>
      </c>
      <c r="AV9" s="230">
        <v>7542</v>
      </c>
      <c r="AW9" s="230">
        <v>3826</v>
      </c>
      <c r="AX9" s="229">
        <v>0.50729999999999997</v>
      </c>
      <c r="AY9" s="228">
        <v>794</v>
      </c>
      <c r="AZ9" s="228">
        <v>487</v>
      </c>
      <c r="BA9" s="228">
        <v>307</v>
      </c>
      <c r="BB9" s="229">
        <v>0.63039999999999996</v>
      </c>
      <c r="BC9" s="228">
        <v>165</v>
      </c>
      <c r="BD9" s="228">
        <v>85</v>
      </c>
      <c r="BE9" s="228">
        <v>80</v>
      </c>
      <c r="BF9" s="229">
        <v>0.94120000000000004</v>
      </c>
      <c r="BG9" s="230">
        <v>52669</v>
      </c>
      <c r="BH9" s="230">
        <v>28207</v>
      </c>
      <c r="BI9" s="230">
        <v>24462</v>
      </c>
      <c r="BJ9" s="229">
        <v>0.86719999999999997</v>
      </c>
      <c r="BK9" s="230">
        <v>26853</v>
      </c>
      <c r="BL9" s="230">
        <v>20943</v>
      </c>
      <c r="BM9" s="230">
        <v>5910</v>
      </c>
      <c r="BN9" s="229">
        <v>0.28220000000000001</v>
      </c>
      <c r="BO9" s="230">
        <v>91849</v>
      </c>
      <c r="BP9" s="230">
        <v>57264</v>
      </c>
      <c r="BQ9" s="230">
        <v>34585</v>
      </c>
      <c r="BR9" s="229">
        <v>0.60399999999999998</v>
      </c>
      <c r="BS9" s="230">
        <v>8016598</v>
      </c>
      <c r="BT9" s="230">
        <v>7528249</v>
      </c>
      <c r="BU9" s="230">
        <v>488349</v>
      </c>
      <c r="BV9" s="229">
        <v>6.4899999999999999E-2</v>
      </c>
      <c r="BW9" s="230">
        <v>69825750</v>
      </c>
      <c r="BX9" s="230">
        <v>70683750</v>
      </c>
      <c r="BY9" s="230">
        <v>-858000</v>
      </c>
      <c r="BZ9" s="229">
        <v>-1.21E-2</v>
      </c>
      <c r="CA9" s="230">
        <v>58934250</v>
      </c>
      <c r="CB9" s="230">
        <v>59833500</v>
      </c>
      <c r="CC9" s="230">
        <v>-899250</v>
      </c>
      <c r="CD9" s="229">
        <v>-1.4999999999999999E-2</v>
      </c>
      <c r="CE9" s="230">
        <v>10722000</v>
      </c>
      <c r="CF9" s="230">
        <v>10716000</v>
      </c>
      <c r="CG9" s="230">
        <v>6000</v>
      </c>
      <c r="CH9" s="229">
        <v>5.9999999999999995E-4</v>
      </c>
      <c r="CI9" s="230">
        <v>169500</v>
      </c>
      <c r="CJ9" s="230">
        <v>134250</v>
      </c>
      <c r="CK9" s="230">
        <v>35250</v>
      </c>
      <c r="CL9" s="229">
        <v>0.2626</v>
      </c>
      <c r="CM9" s="230">
        <v>16050750</v>
      </c>
      <c r="CN9" s="230">
        <v>16617000</v>
      </c>
      <c r="CO9" s="230">
        <v>-566250</v>
      </c>
      <c r="CP9" s="229">
        <v>-3.4099999999999998E-2</v>
      </c>
      <c r="CQ9" s="230">
        <v>13792500</v>
      </c>
      <c r="CR9" s="230">
        <v>12960750</v>
      </c>
      <c r="CS9" s="230">
        <v>831750</v>
      </c>
      <c r="CT9" s="229">
        <v>6.4199999999999993E-2</v>
      </c>
      <c r="CU9" s="230">
        <v>99669000</v>
      </c>
      <c r="CV9" s="230">
        <v>100261500</v>
      </c>
      <c r="CW9" s="230">
        <v>-592500</v>
      </c>
      <c r="CX9" s="229">
        <v>-5.8999999999999999E-3</v>
      </c>
      <c r="CY9" s="228">
        <v>28.86</v>
      </c>
      <c r="CZ9" s="228">
        <v>30.97</v>
      </c>
      <c r="DA9" s="228">
        <v>-2.11</v>
      </c>
      <c r="DB9" s="228">
        <v>-2.11</v>
      </c>
      <c r="DC9" s="228">
        <v>35.409999999999997</v>
      </c>
      <c r="DD9" s="228">
        <v>35.36</v>
      </c>
      <c r="DE9" s="228">
        <v>-6.55</v>
      </c>
      <c r="DF9" s="228">
        <v>0.05</v>
      </c>
      <c r="DG9" s="228">
        <v>28.03</v>
      </c>
      <c r="DH9" s="228">
        <v>30.24</v>
      </c>
      <c r="DI9" s="228">
        <v>-2.21</v>
      </c>
      <c r="DJ9" s="228">
        <v>-2.21</v>
      </c>
      <c r="DK9" s="228">
        <v>30.48</v>
      </c>
      <c r="DL9" s="228">
        <v>31.95</v>
      </c>
      <c r="DM9" s="228">
        <v>-1.47</v>
      </c>
      <c r="DN9" s="228">
        <v>-1.47</v>
      </c>
      <c r="DO9" s="228">
        <v>0.86</v>
      </c>
      <c r="DP9" s="228">
        <v>0.78</v>
      </c>
      <c r="DQ9" s="228">
        <v>0.08</v>
      </c>
      <c r="DR9" s="229">
        <v>0.1026</v>
      </c>
      <c r="DS9" s="231">
        <v>1000</v>
      </c>
      <c r="DT9" s="228">
        <v>900</v>
      </c>
      <c r="DU9" s="228">
        <v>0.51</v>
      </c>
      <c r="DV9" s="228">
        <v>0.74</v>
      </c>
      <c r="DW9" s="228">
        <v>-0.23</v>
      </c>
      <c r="DX9" s="229">
        <v>-0.31080000000000002</v>
      </c>
      <c r="DY9" s="229">
        <v>0.156</v>
      </c>
      <c r="DZ9" s="230">
        <v>10850250</v>
      </c>
      <c r="EA9" s="229">
        <v>-2.0000000000000001E-4</v>
      </c>
      <c r="EB9" s="229">
        <v>0.156</v>
      </c>
      <c r="EC9" s="228">
        <v>-0.11</v>
      </c>
      <c r="ED9" s="229">
        <v>-1E-4</v>
      </c>
      <c r="EE9" s="230">
        <v>3754997</v>
      </c>
      <c r="EF9" s="230">
        <v>2529825</v>
      </c>
      <c r="EG9" s="229">
        <v>0.48430000000000001</v>
      </c>
      <c r="EH9" s="229">
        <v>0.46839999999999998</v>
      </c>
      <c r="EI9" s="231">
        <v>401530.03</v>
      </c>
      <c r="EJ9" s="231">
        <v>192507.51999999999</v>
      </c>
      <c r="EK9" s="231">
        <v>90510.43</v>
      </c>
      <c r="EL9" s="231">
        <v>18385</v>
      </c>
      <c r="EM9" s="231">
        <v>684547.98</v>
      </c>
      <c r="EN9" s="231">
        <v>415084.83</v>
      </c>
      <c r="EO9" s="231">
        <v>269463.15000000002</v>
      </c>
      <c r="EP9" s="229">
        <v>0.6492</v>
      </c>
      <c r="EQ9" s="231">
        <v>156323</v>
      </c>
      <c r="ER9" s="231">
        <v>126824</v>
      </c>
      <c r="ES9" s="231">
        <v>688086</v>
      </c>
      <c r="ET9" s="231">
        <v>387962395</v>
      </c>
      <c r="EU9" s="231">
        <v>971233</v>
      </c>
      <c r="EV9" s="231">
        <v>958277</v>
      </c>
      <c r="EW9" s="231">
        <v>12956</v>
      </c>
      <c r="EX9" s="229">
        <v>1.35E-2</v>
      </c>
      <c r="EY9" s="229">
        <v>0.25690000000000002</v>
      </c>
    </row>
    <row r="10" spans="1:155" ht="17.25" thickBot="1" x14ac:dyDescent="0.3">
      <c r="A10" s="226">
        <v>46148</v>
      </c>
      <c r="B10" s="227" t="s">
        <v>184</v>
      </c>
      <c r="C10" s="227" t="s">
        <v>185</v>
      </c>
      <c r="D10" s="228">
        <v>439.95</v>
      </c>
      <c r="E10" s="228">
        <v>436.6</v>
      </c>
      <c r="F10" s="228">
        <v>3.35</v>
      </c>
      <c r="G10" s="229">
        <v>7.7000000000000002E-3</v>
      </c>
      <c r="H10" s="228">
        <v>438.2</v>
      </c>
      <c r="I10" s="228">
        <v>433.35</v>
      </c>
      <c r="J10" s="228">
        <v>4.8499999999999996</v>
      </c>
      <c r="K10" s="229">
        <v>1.12E-2</v>
      </c>
      <c r="L10" s="228">
        <v>439.95</v>
      </c>
      <c r="M10" s="228">
        <v>436.6</v>
      </c>
      <c r="N10" s="228">
        <v>3.35</v>
      </c>
      <c r="O10" s="229">
        <v>7.7000000000000002E-3</v>
      </c>
      <c r="P10" s="228">
        <v>442.7</v>
      </c>
      <c r="Q10" s="228">
        <v>438.75</v>
      </c>
      <c r="R10" s="228">
        <v>3.95</v>
      </c>
      <c r="S10" s="229">
        <v>8.9999999999999993E-3</v>
      </c>
      <c r="T10" s="228">
        <v>445.3</v>
      </c>
      <c r="U10" s="228">
        <v>441.85</v>
      </c>
      <c r="V10" s="228">
        <v>3.45</v>
      </c>
      <c r="W10" s="229">
        <v>7.7999999999999996E-3</v>
      </c>
      <c r="X10" s="228">
        <v>1.75</v>
      </c>
      <c r="Y10" s="228">
        <v>3.25</v>
      </c>
      <c r="Z10" s="228">
        <v>-1.5</v>
      </c>
      <c r="AA10" s="229">
        <v>4.0000000000000001E-3</v>
      </c>
      <c r="AB10" s="228">
        <v>1.75</v>
      </c>
      <c r="AC10" s="228">
        <v>3.25</v>
      </c>
      <c r="AD10" s="228">
        <v>-1.5</v>
      </c>
      <c r="AE10" s="229">
        <v>4.0000000000000001E-3</v>
      </c>
      <c r="AF10" s="228">
        <v>4.5</v>
      </c>
      <c r="AG10" s="228">
        <v>5.4</v>
      </c>
      <c r="AH10" s="228">
        <v>-0.9</v>
      </c>
      <c r="AI10" s="229">
        <v>1.03E-2</v>
      </c>
      <c r="AJ10" s="228">
        <v>7.1</v>
      </c>
      <c r="AK10" s="228">
        <v>8.5</v>
      </c>
      <c r="AL10" s="228">
        <v>-1.4</v>
      </c>
      <c r="AM10" s="229">
        <v>1.6199999999999999E-2</v>
      </c>
      <c r="AN10" s="228">
        <v>439.09</v>
      </c>
      <c r="AO10" s="228">
        <v>442.04</v>
      </c>
      <c r="AP10" s="228">
        <v>0</v>
      </c>
      <c r="AQ10" s="230">
        <v>9332</v>
      </c>
      <c r="AR10" s="230">
        <v>7566</v>
      </c>
      <c r="AS10" s="230">
        <v>1766</v>
      </c>
      <c r="AT10" s="229">
        <v>0.2334</v>
      </c>
      <c r="AU10" s="230">
        <v>8517</v>
      </c>
      <c r="AV10" s="230">
        <v>6557</v>
      </c>
      <c r="AW10" s="230">
        <v>1960</v>
      </c>
      <c r="AX10" s="229">
        <v>0.2989</v>
      </c>
      <c r="AY10" s="228">
        <v>683</v>
      </c>
      <c r="AZ10" s="228">
        <v>908</v>
      </c>
      <c r="BA10" s="228">
        <v>-225</v>
      </c>
      <c r="BB10" s="229">
        <v>-0.24779999999999999</v>
      </c>
      <c r="BC10" s="228">
        <v>132</v>
      </c>
      <c r="BD10" s="228">
        <v>101</v>
      </c>
      <c r="BE10" s="228">
        <v>31</v>
      </c>
      <c r="BF10" s="229">
        <v>0.30690000000000001</v>
      </c>
      <c r="BG10" s="230">
        <v>27279</v>
      </c>
      <c r="BH10" s="230">
        <v>23345</v>
      </c>
      <c r="BI10" s="230">
        <v>3934</v>
      </c>
      <c r="BJ10" s="229">
        <v>0.16850000000000001</v>
      </c>
      <c r="BK10" s="230">
        <v>11768</v>
      </c>
      <c r="BL10" s="230">
        <v>7929</v>
      </c>
      <c r="BM10" s="230">
        <v>3839</v>
      </c>
      <c r="BN10" s="229">
        <v>0.48420000000000002</v>
      </c>
      <c r="BO10" s="230">
        <v>48379</v>
      </c>
      <c r="BP10" s="230">
        <v>38840</v>
      </c>
      <c r="BQ10" s="230">
        <v>9539</v>
      </c>
      <c r="BR10" s="229">
        <v>0.24560000000000001</v>
      </c>
      <c r="BS10" s="230">
        <v>10546832</v>
      </c>
      <c r="BT10" s="230">
        <v>12415807</v>
      </c>
      <c r="BU10" s="230">
        <v>-1868975</v>
      </c>
      <c r="BV10" s="229">
        <v>-0.15049999999999999</v>
      </c>
      <c r="BW10" s="230">
        <v>117479850</v>
      </c>
      <c r="BX10" s="230">
        <v>117095100</v>
      </c>
      <c r="BY10" s="230">
        <v>384750</v>
      </c>
      <c r="BZ10" s="229">
        <v>3.3E-3</v>
      </c>
      <c r="CA10" s="230">
        <v>102434700</v>
      </c>
      <c r="CB10" s="230">
        <v>102366300</v>
      </c>
      <c r="CC10" s="230">
        <v>68400</v>
      </c>
      <c r="CD10" s="229">
        <v>6.9999999999999999E-4</v>
      </c>
      <c r="CE10" s="230">
        <v>14690325</v>
      </c>
      <c r="CF10" s="230">
        <v>14460900</v>
      </c>
      <c r="CG10" s="230">
        <v>229425</v>
      </c>
      <c r="CH10" s="229">
        <v>1.5900000000000001E-2</v>
      </c>
      <c r="CI10" s="230">
        <v>354825</v>
      </c>
      <c r="CJ10" s="230">
        <v>267900</v>
      </c>
      <c r="CK10" s="230">
        <v>86925</v>
      </c>
      <c r="CL10" s="229">
        <v>0.32450000000000001</v>
      </c>
      <c r="CM10" s="230">
        <v>44065275</v>
      </c>
      <c r="CN10" s="230">
        <v>40643850</v>
      </c>
      <c r="CO10" s="230">
        <v>3421425</v>
      </c>
      <c r="CP10" s="229">
        <v>8.4199999999999997E-2</v>
      </c>
      <c r="CQ10" s="230">
        <v>25353600</v>
      </c>
      <c r="CR10" s="230">
        <v>25477575</v>
      </c>
      <c r="CS10" s="230">
        <v>-123975</v>
      </c>
      <c r="CT10" s="229">
        <v>-4.8999999999999998E-3</v>
      </c>
      <c r="CU10" s="230">
        <v>186898725</v>
      </c>
      <c r="CV10" s="230">
        <v>183216525</v>
      </c>
      <c r="CW10" s="230">
        <v>3682200</v>
      </c>
      <c r="CX10" s="229">
        <v>2.01E-2</v>
      </c>
      <c r="CY10" s="228">
        <v>33.409999999999997</v>
      </c>
      <c r="CZ10" s="228">
        <v>34.46</v>
      </c>
      <c r="DA10" s="228">
        <v>-1.05</v>
      </c>
      <c r="DB10" s="228">
        <v>-1.05</v>
      </c>
      <c r="DC10" s="228">
        <v>36.43</v>
      </c>
      <c r="DD10" s="228">
        <v>36.51</v>
      </c>
      <c r="DE10" s="228">
        <v>-3.02</v>
      </c>
      <c r="DF10" s="228">
        <v>-0.08</v>
      </c>
      <c r="DG10" s="228">
        <v>33.659999999999997</v>
      </c>
      <c r="DH10" s="228">
        <v>34.4</v>
      </c>
      <c r="DI10" s="228">
        <v>-0.74</v>
      </c>
      <c r="DJ10" s="228">
        <v>-0.74</v>
      </c>
      <c r="DK10" s="228">
        <v>32.83</v>
      </c>
      <c r="DL10" s="228">
        <v>34.64</v>
      </c>
      <c r="DM10" s="228">
        <v>-1.81</v>
      </c>
      <c r="DN10" s="228">
        <v>-1.81</v>
      </c>
      <c r="DO10" s="228">
        <v>0.57999999999999996</v>
      </c>
      <c r="DP10" s="228">
        <v>0.63</v>
      </c>
      <c r="DQ10" s="228">
        <v>-0.05</v>
      </c>
      <c r="DR10" s="229">
        <v>-7.9399999999999998E-2</v>
      </c>
      <c r="DS10" s="228">
        <v>450</v>
      </c>
      <c r="DT10" s="228">
        <v>430</v>
      </c>
      <c r="DU10" s="228">
        <v>0.43</v>
      </c>
      <c r="DV10" s="228">
        <v>0.34</v>
      </c>
      <c r="DW10" s="228">
        <v>0.09</v>
      </c>
      <c r="DX10" s="229">
        <v>0.26469999999999999</v>
      </c>
      <c r="DY10" s="229">
        <v>0.12809999999999999</v>
      </c>
      <c r="DZ10" s="230">
        <v>14728800</v>
      </c>
      <c r="EA10" s="229">
        <v>6.3E-3</v>
      </c>
      <c r="EB10" s="229">
        <v>0.12809999999999999</v>
      </c>
      <c r="EC10" s="228">
        <v>2.95</v>
      </c>
      <c r="ED10" s="229">
        <v>6.7000000000000002E-3</v>
      </c>
      <c r="EE10" s="230">
        <v>4976126</v>
      </c>
      <c r="EF10" s="230">
        <v>5748800</v>
      </c>
      <c r="EG10" s="229">
        <v>-0.13439999999999999</v>
      </c>
      <c r="EH10" s="229">
        <v>0.4718</v>
      </c>
      <c r="EI10" s="231">
        <v>180655.26</v>
      </c>
      <c r="EJ10" s="231">
        <v>72440.86</v>
      </c>
      <c r="EK10" s="231">
        <v>58430.26</v>
      </c>
      <c r="EL10" s="231">
        <v>8567</v>
      </c>
      <c r="EM10" s="231">
        <v>311526.38</v>
      </c>
      <c r="EN10" s="231">
        <v>249940.54</v>
      </c>
      <c r="EO10" s="231">
        <v>61585.84</v>
      </c>
      <c r="EP10" s="229">
        <v>0.24640000000000001</v>
      </c>
      <c r="EQ10" s="231">
        <v>204385</v>
      </c>
      <c r="ER10" s="231">
        <v>107848</v>
      </c>
      <c r="ES10" s="231">
        <v>517276</v>
      </c>
      <c r="ET10" s="231">
        <v>535778534</v>
      </c>
      <c r="EU10" s="231">
        <v>829509</v>
      </c>
      <c r="EV10" s="231">
        <v>808112</v>
      </c>
      <c r="EW10" s="231">
        <v>21397</v>
      </c>
      <c r="EX10" s="229">
        <v>2.6499999999999999E-2</v>
      </c>
      <c r="EY10" s="229">
        <v>0.3488</v>
      </c>
    </row>
    <row r="11" spans="1:155" ht="17.25" thickBot="1" x14ac:dyDescent="0.3">
      <c r="A11" s="226">
        <v>46148</v>
      </c>
      <c r="B11" s="227" t="s">
        <v>188</v>
      </c>
      <c r="C11" s="227" t="s">
        <v>189</v>
      </c>
      <c r="D11" s="231">
        <v>1844</v>
      </c>
      <c r="E11" s="231">
        <v>1816.4</v>
      </c>
      <c r="F11" s="228">
        <v>27.6</v>
      </c>
      <c r="G11" s="229">
        <v>1.52E-2</v>
      </c>
      <c r="H11" s="231">
        <v>1833.7</v>
      </c>
      <c r="I11" s="231">
        <v>1806.1</v>
      </c>
      <c r="J11" s="228">
        <v>27.6</v>
      </c>
      <c r="K11" s="229">
        <v>1.5299999999999999E-2</v>
      </c>
      <c r="L11" s="231">
        <v>1844</v>
      </c>
      <c r="M11" s="231">
        <v>1816.4</v>
      </c>
      <c r="N11" s="228">
        <v>27.6</v>
      </c>
      <c r="O11" s="229">
        <v>1.52E-2</v>
      </c>
      <c r="P11" s="231">
        <v>1855</v>
      </c>
      <c r="Q11" s="231">
        <v>1826.2</v>
      </c>
      <c r="R11" s="228">
        <v>28.8</v>
      </c>
      <c r="S11" s="229">
        <v>1.5800000000000002E-2</v>
      </c>
      <c r="T11" s="231">
        <v>1864</v>
      </c>
      <c r="U11" s="231">
        <v>1835.4</v>
      </c>
      <c r="V11" s="228">
        <v>28.6</v>
      </c>
      <c r="W11" s="229">
        <v>1.5599999999999999E-2</v>
      </c>
      <c r="X11" s="228">
        <v>10.3</v>
      </c>
      <c r="Y11" s="228">
        <v>10.3</v>
      </c>
      <c r="Z11" s="228">
        <v>0</v>
      </c>
      <c r="AA11" s="229">
        <v>5.5999999999999999E-3</v>
      </c>
      <c r="AB11" s="228">
        <v>10.3</v>
      </c>
      <c r="AC11" s="228">
        <v>10.3</v>
      </c>
      <c r="AD11" s="228">
        <v>0</v>
      </c>
      <c r="AE11" s="229">
        <v>5.5999999999999999E-3</v>
      </c>
      <c r="AF11" s="228">
        <v>21.3</v>
      </c>
      <c r="AG11" s="228">
        <v>20.100000000000001</v>
      </c>
      <c r="AH11" s="228">
        <v>1.2</v>
      </c>
      <c r="AI11" s="229">
        <v>1.1599999999999999E-2</v>
      </c>
      <c r="AJ11" s="228">
        <v>30.3</v>
      </c>
      <c r="AK11" s="228">
        <v>29.3</v>
      </c>
      <c r="AL11" s="228">
        <v>1</v>
      </c>
      <c r="AM11" s="229">
        <v>1.6500000000000001E-2</v>
      </c>
      <c r="AN11" s="231">
        <v>1841.29</v>
      </c>
      <c r="AO11" s="231">
        <v>1850.97</v>
      </c>
      <c r="AP11" s="228">
        <v>0</v>
      </c>
      <c r="AQ11" s="230">
        <v>8553</v>
      </c>
      <c r="AR11" s="230">
        <v>11455</v>
      </c>
      <c r="AS11" s="230">
        <v>-2902</v>
      </c>
      <c r="AT11" s="229">
        <v>-0.25330000000000003</v>
      </c>
      <c r="AU11" s="230">
        <v>7751</v>
      </c>
      <c r="AV11" s="230">
        <v>9952</v>
      </c>
      <c r="AW11" s="230">
        <v>-2201</v>
      </c>
      <c r="AX11" s="229">
        <v>-0.22120000000000001</v>
      </c>
      <c r="AY11" s="228">
        <v>679</v>
      </c>
      <c r="AZ11" s="230">
        <v>1401</v>
      </c>
      <c r="BA11" s="228">
        <v>-722</v>
      </c>
      <c r="BB11" s="229">
        <v>-0.51529999999999998</v>
      </c>
      <c r="BC11" s="228">
        <v>123</v>
      </c>
      <c r="BD11" s="228">
        <v>102</v>
      </c>
      <c r="BE11" s="228">
        <v>21</v>
      </c>
      <c r="BF11" s="229">
        <v>0.2059</v>
      </c>
      <c r="BG11" s="230">
        <v>38059</v>
      </c>
      <c r="BH11" s="230">
        <v>52694</v>
      </c>
      <c r="BI11" s="230">
        <v>-14635</v>
      </c>
      <c r="BJ11" s="229">
        <v>-0.2777</v>
      </c>
      <c r="BK11" s="230">
        <v>20310</v>
      </c>
      <c r="BL11" s="230">
        <v>22623</v>
      </c>
      <c r="BM11" s="230">
        <v>-2313</v>
      </c>
      <c r="BN11" s="229">
        <v>-0.1022</v>
      </c>
      <c r="BO11" s="230">
        <v>66922</v>
      </c>
      <c r="BP11" s="230">
        <v>86772</v>
      </c>
      <c r="BQ11" s="230">
        <v>-19850</v>
      </c>
      <c r="BR11" s="229">
        <v>-0.2288</v>
      </c>
      <c r="BS11" s="230">
        <v>5744111</v>
      </c>
      <c r="BT11" s="230">
        <v>11623069</v>
      </c>
      <c r="BU11" s="230">
        <v>-5878958</v>
      </c>
      <c r="BV11" s="229">
        <v>-0.50580000000000003</v>
      </c>
      <c r="BW11" s="230">
        <v>62050200</v>
      </c>
      <c r="BX11" s="230">
        <v>61532925</v>
      </c>
      <c r="BY11" s="230">
        <v>517275</v>
      </c>
      <c r="BZ11" s="229">
        <v>8.3999999999999995E-3</v>
      </c>
      <c r="CA11" s="230">
        <v>51301425</v>
      </c>
      <c r="CB11" s="230">
        <v>50959900</v>
      </c>
      <c r="CC11" s="230">
        <v>341525</v>
      </c>
      <c r="CD11" s="229">
        <v>6.7000000000000002E-3</v>
      </c>
      <c r="CE11" s="230">
        <v>10574925</v>
      </c>
      <c r="CF11" s="230">
        <v>10421975</v>
      </c>
      <c r="CG11" s="230">
        <v>152950</v>
      </c>
      <c r="CH11" s="229">
        <v>1.47E-2</v>
      </c>
      <c r="CI11" s="230">
        <v>173850</v>
      </c>
      <c r="CJ11" s="230">
        <v>151050</v>
      </c>
      <c r="CK11" s="230">
        <v>22800</v>
      </c>
      <c r="CL11" s="229">
        <v>0.15090000000000001</v>
      </c>
      <c r="CM11" s="230">
        <v>12585600</v>
      </c>
      <c r="CN11" s="230">
        <v>12831650</v>
      </c>
      <c r="CO11" s="230">
        <v>-246050</v>
      </c>
      <c r="CP11" s="229">
        <v>-1.9199999999999998E-2</v>
      </c>
      <c r="CQ11" s="230">
        <v>7138300</v>
      </c>
      <c r="CR11" s="230">
        <v>7153500</v>
      </c>
      <c r="CS11" s="230">
        <v>-15200</v>
      </c>
      <c r="CT11" s="229">
        <v>-2.0999999999999999E-3</v>
      </c>
      <c r="CU11" s="230">
        <v>81774100</v>
      </c>
      <c r="CV11" s="230">
        <v>81518075</v>
      </c>
      <c r="CW11" s="230">
        <v>256025</v>
      </c>
      <c r="CX11" s="229">
        <v>3.0999999999999999E-3</v>
      </c>
      <c r="CY11" s="228">
        <v>22.15</v>
      </c>
      <c r="CZ11" s="228">
        <v>24.56</v>
      </c>
      <c r="DA11" s="228">
        <v>-2.41</v>
      </c>
      <c r="DB11" s="228">
        <v>-2.41</v>
      </c>
      <c r="DC11" s="228">
        <v>24.47</v>
      </c>
      <c r="DD11" s="228">
        <v>24.45</v>
      </c>
      <c r="DE11" s="228">
        <v>-2.3199999999999998</v>
      </c>
      <c r="DF11" s="228">
        <v>0.02</v>
      </c>
      <c r="DG11" s="228">
        <v>22.53</v>
      </c>
      <c r="DH11" s="228">
        <v>24.67</v>
      </c>
      <c r="DI11" s="228">
        <v>-2.14</v>
      </c>
      <c r="DJ11" s="228">
        <v>-2.14</v>
      </c>
      <c r="DK11" s="228">
        <v>21.43</v>
      </c>
      <c r="DL11" s="228">
        <v>24.32</v>
      </c>
      <c r="DM11" s="228">
        <v>-2.89</v>
      </c>
      <c r="DN11" s="228">
        <v>-2.89</v>
      </c>
      <c r="DO11" s="228">
        <v>0.56999999999999995</v>
      </c>
      <c r="DP11" s="228">
        <v>0.56000000000000005</v>
      </c>
      <c r="DQ11" s="228">
        <v>0.01</v>
      </c>
      <c r="DR11" s="229">
        <v>1.7899999999999999E-2</v>
      </c>
      <c r="DS11" s="231">
        <v>1900</v>
      </c>
      <c r="DT11" s="231">
        <v>1840</v>
      </c>
      <c r="DU11" s="228">
        <v>0.53</v>
      </c>
      <c r="DV11" s="228">
        <v>0.43</v>
      </c>
      <c r="DW11" s="228">
        <v>0.1</v>
      </c>
      <c r="DX11" s="229">
        <v>0.2326</v>
      </c>
      <c r="DY11" s="229">
        <v>0.17319999999999999</v>
      </c>
      <c r="DZ11" s="230">
        <v>10573025</v>
      </c>
      <c r="EA11" s="229">
        <v>6.0000000000000001E-3</v>
      </c>
      <c r="EB11" s="229">
        <v>0.17319999999999999</v>
      </c>
      <c r="EC11" s="228">
        <v>9.68</v>
      </c>
      <c r="ED11" s="229">
        <v>5.3E-3</v>
      </c>
      <c r="EE11" s="230">
        <v>3366232</v>
      </c>
      <c r="EF11" s="230">
        <v>5012788</v>
      </c>
      <c r="EG11" s="229">
        <v>-0.32850000000000001</v>
      </c>
      <c r="EH11" s="229">
        <v>0.58599999999999997</v>
      </c>
      <c r="EI11" s="231">
        <v>345352.6</v>
      </c>
      <c r="EJ11" s="231">
        <v>175947.22</v>
      </c>
      <c r="EK11" s="231">
        <v>74847.62</v>
      </c>
      <c r="EL11" s="231">
        <v>14024</v>
      </c>
      <c r="EM11" s="231">
        <v>596147.43999999994</v>
      </c>
      <c r="EN11" s="231">
        <v>773386.64</v>
      </c>
      <c r="EO11" s="231">
        <v>-177239.2</v>
      </c>
      <c r="EP11" s="229">
        <v>-0.22919999999999999</v>
      </c>
      <c r="EQ11" s="231">
        <v>240536</v>
      </c>
      <c r="ER11" s="231">
        <v>130633</v>
      </c>
      <c r="ES11" s="231">
        <v>1145404</v>
      </c>
      <c r="ET11" s="231">
        <v>342859930</v>
      </c>
      <c r="EU11" s="231">
        <v>1516573</v>
      </c>
      <c r="EV11" s="231">
        <v>1494522</v>
      </c>
      <c r="EW11" s="231">
        <v>22051</v>
      </c>
      <c r="EX11" s="229">
        <v>1.4800000000000001E-2</v>
      </c>
      <c r="EY11" s="229">
        <v>0.23849999999999999</v>
      </c>
    </row>
    <row r="12" spans="1:155" ht="17.25" thickBot="1" x14ac:dyDescent="0.3">
      <c r="A12" s="226">
        <v>46148</v>
      </c>
      <c r="B12" s="227" t="s">
        <v>170</v>
      </c>
      <c r="C12" s="227" t="s">
        <v>199</v>
      </c>
      <c r="D12" s="231">
        <v>1370</v>
      </c>
      <c r="E12" s="231">
        <v>1336.7</v>
      </c>
      <c r="F12" s="228">
        <v>33.299999999999997</v>
      </c>
      <c r="G12" s="229">
        <v>2.4899999999999999E-2</v>
      </c>
      <c r="H12" s="231">
        <v>1364.4</v>
      </c>
      <c r="I12" s="231">
        <v>1333.7</v>
      </c>
      <c r="J12" s="228">
        <v>30.7</v>
      </c>
      <c r="K12" s="229">
        <v>2.3E-2</v>
      </c>
      <c r="L12" s="231">
        <v>1370</v>
      </c>
      <c r="M12" s="231">
        <v>1336.7</v>
      </c>
      <c r="N12" s="228">
        <v>33.299999999999997</v>
      </c>
      <c r="O12" s="229">
        <v>2.4899999999999999E-2</v>
      </c>
      <c r="P12" s="231">
        <v>1371</v>
      </c>
      <c r="Q12" s="231">
        <v>1339.3</v>
      </c>
      <c r="R12" s="228">
        <v>31.7</v>
      </c>
      <c r="S12" s="229">
        <v>2.3699999999999999E-2</v>
      </c>
      <c r="T12" s="231">
        <v>1374.9</v>
      </c>
      <c r="U12" s="231">
        <v>1343</v>
      </c>
      <c r="V12" s="228">
        <v>31.9</v>
      </c>
      <c r="W12" s="229">
        <v>2.3800000000000002E-2</v>
      </c>
      <c r="X12" s="228">
        <v>5.6</v>
      </c>
      <c r="Y12" s="228">
        <v>3</v>
      </c>
      <c r="Z12" s="228">
        <v>2.6</v>
      </c>
      <c r="AA12" s="229">
        <v>4.1000000000000003E-3</v>
      </c>
      <c r="AB12" s="228">
        <v>5.6</v>
      </c>
      <c r="AC12" s="228">
        <v>3</v>
      </c>
      <c r="AD12" s="228">
        <v>2.6</v>
      </c>
      <c r="AE12" s="229">
        <v>4.1000000000000003E-3</v>
      </c>
      <c r="AF12" s="228">
        <v>6.6</v>
      </c>
      <c r="AG12" s="228">
        <v>5.6</v>
      </c>
      <c r="AH12" s="228">
        <v>1</v>
      </c>
      <c r="AI12" s="229">
        <v>4.7999999999999996E-3</v>
      </c>
      <c r="AJ12" s="228">
        <v>10.5</v>
      </c>
      <c r="AK12" s="228">
        <v>9.3000000000000007</v>
      </c>
      <c r="AL12" s="228">
        <v>1.2</v>
      </c>
      <c r="AM12" s="229">
        <v>7.7000000000000002E-3</v>
      </c>
      <c r="AN12" s="231">
        <v>1363.55</v>
      </c>
      <c r="AO12" s="231">
        <v>1360.47</v>
      </c>
      <c r="AP12" s="228">
        <v>0</v>
      </c>
      <c r="AQ12" s="230">
        <v>5046</v>
      </c>
      <c r="AR12" s="230">
        <v>2835</v>
      </c>
      <c r="AS12" s="230">
        <v>2211</v>
      </c>
      <c r="AT12" s="229">
        <v>0.77990000000000004</v>
      </c>
      <c r="AU12" s="230">
        <v>4520</v>
      </c>
      <c r="AV12" s="230">
        <v>2594</v>
      </c>
      <c r="AW12" s="230">
        <v>1926</v>
      </c>
      <c r="AX12" s="229">
        <v>0.74250000000000005</v>
      </c>
      <c r="AY12" s="228">
        <v>514</v>
      </c>
      <c r="AZ12" s="228">
        <v>226</v>
      </c>
      <c r="BA12" s="228">
        <v>288</v>
      </c>
      <c r="BB12" s="229">
        <v>1.2743</v>
      </c>
      <c r="BC12" s="228">
        <v>12</v>
      </c>
      <c r="BD12" s="228">
        <v>15</v>
      </c>
      <c r="BE12" s="228">
        <v>-3</v>
      </c>
      <c r="BF12" s="229">
        <v>-0.2</v>
      </c>
      <c r="BG12" s="230">
        <v>25280</v>
      </c>
      <c r="BH12" s="230">
        <v>10728</v>
      </c>
      <c r="BI12" s="230">
        <v>14552</v>
      </c>
      <c r="BJ12" s="229">
        <v>1.3565</v>
      </c>
      <c r="BK12" s="230">
        <v>8896</v>
      </c>
      <c r="BL12" s="230">
        <v>5174</v>
      </c>
      <c r="BM12" s="230">
        <v>3722</v>
      </c>
      <c r="BN12" s="229">
        <v>0.71940000000000004</v>
      </c>
      <c r="BO12" s="230">
        <v>39222</v>
      </c>
      <c r="BP12" s="230">
        <v>18737</v>
      </c>
      <c r="BQ12" s="230">
        <v>20485</v>
      </c>
      <c r="BR12" s="229">
        <v>1.0932999999999999</v>
      </c>
      <c r="BS12" s="230">
        <v>1919285</v>
      </c>
      <c r="BT12" s="230">
        <v>1078834</v>
      </c>
      <c r="BU12" s="230">
        <v>840451</v>
      </c>
      <c r="BV12" s="229">
        <v>0.77900000000000003</v>
      </c>
      <c r="BW12" s="230">
        <v>13241800</v>
      </c>
      <c r="BX12" s="230">
        <v>13540300</v>
      </c>
      <c r="BY12" s="230">
        <v>-298500</v>
      </c>
      <c r="BZ12" s="229">
        <v>-2.1999999999999999E-2</v>
      </c>
      <c r="CA12" s="230">
        <v>12812250</v>
      </c>
      <c r="CB12" s="230">
        <v>13154625</v>
      </c>
      <c r="CC12" s="230">
        <v>-342375</v>
      </c>
      <c r="CD12" s="229">
        <v>-2.5999999999999999E-2</v>
      </c>
      <c r="CE12" s="230">
        <v>412125</v>
      </c>
      <c r="CF12" s="230">
        <v>368250</v>
      </c>
      <c r="CG12" s="230">
        <v>43875</v>
      </c>
      <c r="CH12" s="229">
        <v>0.1191</v>
      </c>
      <c r="CI12" s="230">
        <v>17425</v>
      </c>
      <c r="CJ12" s="230">
        <v>17425</v>
      </c>
      <c r="CK12" s="228">
        <v>0</v>
      </c>
      <c r="CL12" s="229">
        <v>0</v>
      </c>
      <c r="CM12" s="230">
        <v>5029700</v>
      </c>
      <c r="CN12" s="230">
        <v>4836375</v>
      </c>
      <c r="CO12" s="230">
        <v>193325</v>
      </c>
      <c r="CP12" s="229">
        <v>0.04</v>
      </c>
      <c r="CQ12" s="230">
        <v>3642375</v>
      </c>
      <c r="CR12" s="230">
        <v>3195375</v>
      </c>
      <c r="CS12" s="230">
        <v>447000</v>
      </c>
      <c r="CT12" s="229">
        <v>0.1399</v>
      </c>
      <c r="CU12" s="230">
        <v>21913875</v>
      </c>
      <c r="CV12" s="230">
        <v>21572050</v>
      </c>
      <c r="CW12" s="230">
        <v>341825</v>
      </c>
      <c r="CX12" s="229">
        <v>1.5800000000000002E-2</v>
      </c>
      <c r="CY12" s="228">
        <v>24.93</v>
      </c>
      <c r="CZ12" s="228">
        <v>26.35</v>
      </c>
      <c r="DA12" s="228">
        <v>-1.42</v>
      </c>
      <c r="DB12" s="228">
        <v>-1.42</v>
      </c>
      <c r="DC12" s="228">
        <v>25.86</v>
      </c>
      <c r="DD12" s="228">
        <v>25.72</v>
      </c>
      <c r="DE12" s="228">
        <v>-0.93</v>
      </c>
      <c r="DF12" s="228">
        <v>0.14000000000000001</v>
      </c>
      <c r="DG12" s="228">
        <v>24.3</v>
      </c>
      <c r="DH12" s="228">
        <v>25.64</v>
      </c>
      <c r="DI12" s="228">
        <v>-1.34</v>
      </c>
      <c r="DJ12" s="228">
        <v>-1.34</v>
      </c>
      <c r="DK12" s="228">
        <v>26.73</v>
      </c>
      <c r="DL12" s="228">
        <v>27.83</v>
      </c>
      <c r="DM12" s="228">
        <v>-1.1000000000000001</v>
      </c>
      <c r="DN12" s="228">
        <v>-1.1000000000000001</v>
      </c>
      <c r="DO12" s="228">
        <v>0.72</v>
      </c>
      <c r="DP12" s="228">
        <v>0.66</v>
      </c>
      <c r="DQ12" s="228">
        <v>0.06</v>
      </c>
      <c r="DR12" s="229">
        <v>9.0899999999999995E-2</v>
      </c>
      <c r="DS12" s="231">
        <v>1420</v>
      </c>
      <c r="DT12" s="231">
        <v>1200</v>
      </c>
      <c r="DU12" s="228">
        <v>0.35</v>
      </c>
      <c r="DV12" s="228">
        <v>0.48</v>
      </c>
      <c r="DW12" s="228">
        <v>-0.13</v>
      </c>
      <c r="DX12" s="229">
        <v>-0.27079999999999999</v>
      </c>
      <c r="DY12" s="229">
        <v>3.2399999999999998E-2</v>
      </c>
      <c r="DZ12" s="230">
        <v>385675</v>
      </c>
      <c r="EA12" s="229">
        <v>6.9999999999999999E-4</v>
      </c>
      <c r="EB12" s="229">
        <v>3.2399999999999998E-2</v>
      </c>
      <c r="EC12" s="228">
        <v>-3.08</v>
      </c>
      <c r="ED12" s="229">
        <v>-2.3E-3</v>
      </c>
      <c r="EE12" s="230">
        <v>1037858</v>
      </c>
      <c r="EF12" s="230">
        <v>503942</v>
      </c>
      <c r="EG12" s="229">
        <v>1.0595000000000001</v>
      </c>
      <c r="EH12" s="229">
        <v>0.54079999999999995</v>
      </c>
      <c r="EI12" s="231">
        <v>134640.35</v>
      </c>
      <c r="EJ12" s="231">
        <v>44220.62</v>
      </c>
      <c r="EK12" s="231">
        <v>25804.23</v>
      </c>
      <c r="EL12" s="231">
        <v>3097</v>
      </c>
      <c r="EM12" s="231">
        <v>204665.2</v>
      </c>
      <c r="EN12" s="231">
        <v>95698.19</v>
      </c>
      <c r="EO12" s="231">
        <v>108967.01</v>
      </c>
      <c r="EP12" s="229">
        <v>1.1387</v>
      </c>
      <c r="EQ12" s="231">
        <v>69929</v>
      </c>
      <c r="ER12" s="231">
        <v>46384</v>
      </c>
      <c r="ES12" s="231">
        <v>181418</v>
      </c>
      <c r="ET12" s="231">
        <v>76385219</v>
      </c>
      <c r="EU12" s="231">
        <v>297731</v>
      </c>
      <c r="EV12" s="231">
        <v>288214</v>
      </c>
      <c r="EW12" s="231">
        <v>9517</v>
      </c>
      <c r="EX12" s="229">
        <v>3.3000000000000002E-2</v>
      </c>
      <c r="EY12" s="229">
        <v>0.28689999999999999</v>
      </c>
    </row>
    <row r="13" spans="1:155" ht="17.25" thickBot="1" x14ac:dyDescent="0.3">
      <c r="A13" s="226">
        <v>46148</v>
      </c>
      <c r="B13" s="227" t="s">
        <v>227</v>
      </c>
      <c r="C13" s="227" t="s">
        <v>200</v>
      </c>
      <c r="D13" s="228">
        <v>471.25</v>
      </c>
      <c r="E13" s="228">
        <v>475.1</v>
      </c>
      <c r="F13" s="228">
        <v>-3.85</v>
      </c>
      <c r="G13" s="229">
        <v>-8.0999999999999996E-3</v>
      </c>
      <c r="H13" s="228">
        <v>470.2</v>
      </c>
      <c r="I13" s="228">
        <v>472.6</v>
      </c>
      <c r="J13" s="228">
        <v>-2.4</v>
      </c>
      <c r="K13" s="229">
        <v>-5.1000000000000004E-3</v>
      </c>
      <c r="L13" s="228">
        <v>471.25</v>
      </c>
      <c r="M13" s="228">
        <v>475.1</v>
      </c>
      <c r="N13" s="228">
        <v>-3.85</v>
      </c>
      <c r="O13" s="229">
        <v>-8.0999999999999996E-3</v>
      </c>
      <c r="P13" s="228">
        <v>471.3</v>
      </c>
      <c r="Q13" s="228">
        <v>474.7</v>
      </c>
      <c r="R13" s="228">
        <v>-3.4</v>
      </c>
      <c r="S13" s="229">
        <v>-7.1999999999999998E-3</v>
      </c>
      <c r="T13" s="228">
        <v>470.75</v>
      </c>
      <c r="U13" s="228">
        <v>475.3</v>
      </c>
      <c r="V13" s="228">
        <v>-4.55</v>
      </c>
      <c r="W13" s="229">
        <v>-9.5999999999999992E-3</v>
      </c>
      <c r="X13" s="228">
        <v>1.05</v>
      </c>
      <c r="Y13" s="228">
        <v>2.5</v>
      </c>
      <c r="Z13" s="228">
        <v>-1.45</v>
      </c>
      <c r="AA13" s="229">
        <v>2.2000000000000001E-3</v>
      </c>
      <c r="AB13" s="228">
        <v>1.05</v>
      </c>
      <c r="AC13" s="228">
        <v>2.5</v>
      </c>
      <c r="AD13" s="228">
        <v>-1.45</v>
      </c>
      <c r="AE13" s="229">
        <v>2.2000000000000001E-3</v>
      </c>
      <c r="AF13" s="228">
        <v>1.1000000000000001</v>
      </c>
      <c r="AG13" s="228">
        <v>2.1</v>
      </c>
      <c r="AH13" s="228">
        <v>-1</v>
      </c>
      <c r="AI13" s="229">
        <v>2.3E-3</v>
      </c>
      <c r="AJ13" s="228">
        <v>0.55000000000000004</v>
      </c>
      <c r="AK13" s="228">
        <v>2.7</v>
      </c>
      <c r="AL13" s="228">
        <v>-2.15</v>
      </c>
      <c r="AM13" s="229">
        <v>1.1999999999999999E-3</v>
      </c>
      <c r="AN13" s="228">
        <v>473.8</v>
      </c>
      <c r="AO13" s="228">
        <v>474.25</v>
      </c>
      <c r="AP13" s="228">
        <v>0</v>
      </c>
      <c r="AQ13" s="230">
        <v>6829</v>
      </c>
      <c r="AR13" s="230">
        <v>3441</v>
      </c>
      <c r="AS13" s="230">
        <v>3388</v>
      </c>
      <c r="AT13" s="229">
        <v>0.98460000000000003</v>
      </c>
      <c r="AU13" s="230">
        <v>6447</v>
      </c>
      <c r="AV13" s="230">
        <v>3101</v>
      </c>
      <c r="AW13" s="230">
        <v>3346</v>
      </c>
      <c r="AX13" s="229">
        <v>1.079</v>
      </c>
      <c r="AY13" s="228">
        <v>345</v>
      </c>
      <c r="AZ13" s="228">
        <v>291</v>
      </c>
      <c r="BA13" s="228">
        <v>54</v>
      </c>
      <c r="BB13" s="229">
        <v>0.18559999999999999</v>
      </c>
      <c r="BC13" s="228">
        <v>37</v>
      </c>
      <c r="BD13" s="228">
        <v>49</v>
      </c>
      <c r="BE13" s="228">
        <v>-12</v>
      </c>
      <c r="BF13" s="229">
        <v>-0.24490000000000001</v>
      </c>
      <c r="BG13" s="230">
        <v>29314</v>
      </c>
      <c r="BH13" s="230">
        <v>18607</v>
      </c>
      <c r="BI13" s="230">
        <v>10707</v>
      </c>
      <c r="BJ13" s="229">
        <v>0.57540000000000002</v>
      </c>
      <c r="BK13" s="230">
        <v>18079</v>
      </c>
      <c r="BL13" s="230">
        <v>10986</v>
      </c>
      <c r="BM13" s="230">
        <v>7093</v>
      </c>
      <c r="BN13" s="229">
        <v>0.64559999999999995</v>
      </c>
      <c r="BO13" s="230">
        <v>54222</v>
      </c>
      <c r="BP13" s="230">
        <v>33034</v>
      </c>
      <c r="BQ13" s="230">
        <v>21188</v>
      </c>
      <c r="BR13" s="229">
        <v>0.64139999999999997</v>
      </c>
      <c r="BS13" s="230">
        <v>9177313</v>
      </c>
      <c r="BT13" s="230">
        <v>7186992</v>
      </c>
      <c r="BU13" s="230">
        <v>1990321</v>
      </c>
      <c r="BV13" s="229">
        <v>0.27689999999999998</v>
      </c>
      <c r="BW13" s="230">
        <v>51915600</v>
      </c>
      <c r="BX13" s="230">
        <v>52523100</v>
      </c>
      <c r="BY13" s="230">
        <v>-607500</v>
      </c>
      <c r="BZ13" s="229">
        <v>-1.1599999999999999E-2</v>
      </c>
      <c r="CA13" s="230">
        <v>49740750</v>
      </c>
      <c r="CB13" s="230">
        <v>50464350</v>
      </c>
      <c r="CC13" s="230">
        <v>-723600</v>
      </c>
      <c r="CD13" s="229">
        <v>-1.43E-2</v>
      </c>
      <c r="CE13" s="230">
        <v>2039850</v>
      </c>
      <c r="CF13" s="230">
        <v>1950750</v>
      </c>
      <c r="CG13" s="230">
        <v>89100</v>
      </c>
      <c r="CH13" s="229">
        <v>4.5699999999999998E-2</v>
      </c>
      <c r="CI13" s="230">
        <v>135000</v>
      </c>
      <c r="CJ13" s="230">
        <v>108000</v>
      </c>
      <c r="CK13" s="230">
        <v>27000</v>
      </c>
      <c r="CL13" s="229">
        <v>0.25</v>
      </c>
      <c r="CM13" s="230">
        <v>29600100</v>
      </c>
      <c r="CN13" s="230">
        <v>28159650</v>
      </c>
      <c r="CO13" s="230">
        <v>1440450</v>
      </c>
      <c r="CP13" s="229">
        <v>5.1200000000000002E-2</v>
      </c>
      <c r="CQ13" s="230">
        <v>19187550</v>
      </c>
      <c r="CR13" s="230">
        <v>17911800</v>
      </c>
      <c r="CS13" s="230">
        <v>1275750</v>
      </c>
      <c r="CT13" s="229">
        <v>7.1199999999999999E-2</v>
      </c>
      <c r="CU13" s="230">
        <v>100703250</v>
      </c>
      <c r="CV13" s="230">
        <v>98594550</v>
      </c>
      <c r="CW13" s="230">
        <v>2108700</v>
      </c>
      <c r="CX13" s="229">
        <v>2.1399999999999999E-2</v>
      </c>
      <c r="CY13" s="228">
        <v>26.73</v>
      </c>
      <c r="CZ13" s="228">
        <v>26.37</v>
      </c>
      <c r="DA13" s="228">
        <v>0.36</v>
      </c>
      <c r="DB13" s="228">
        <v>0.36</v>
      </c>
      <c r="DC13" s="228">
        <v>31.03</v>
      </c>
      <c r="DD13" s="228">
        <v>31.09</v>
      </c>
      <c r="DE13" s="228">
        <v>-4.3</v>
      </c>
      <c r="DF13" s="228">
        <v>-0.06</v>
      </c>
      <c r="DG13" s="228">
        <v>26.67</v>
      </c>
      <c r="DH13" s="228">
        <v>26.29</v>
      </c>
      <c r="DI13" s="228">
        <v>0.38</v>
      </c>
      <c r="DJ13" s="228">
        <v>0.38</v>
      </c>
      <c r="DK13" s="228">
        <v>26.83</v>
      </c>
      <c r="DL13" s="228">
        <v>26.51</v>
      </c>
      <c r="DM13" s="228">
        <v>0.32</v>
      </c>
      <c r="DN13" s="228">
        <v>0.32</v>
      </c>
      <c r="DO13" s="228">
        <v>0.65</v>
      </c>
      <c r="DP13" s="228">
        <v>0.64</v>
      </c>
      <c r="DQ13" s="228">
        <v>0.01</v>
      </c>
      <c r="DR13" s="229">
        <v>1.5599999999999999E-2</v>
      </c>
      <c r="DS13" s="228">
        <v>500</v>
      </c>
      <c r="DT13" s="228">
        <v>470</v>
      </c>
      <c r="DU13" s="228">
        <v>0.62</v>
      </c>
      <c r="DV13" s="228">
        <v>0.59</v>
      </c>
      <c r="DW13" s="228">
        <v>0.03</v>
      </c>
      <c r="DX13" s="229">
        <v>5.0799999999999998E-2</v>
      </c>
      <c r="DY13" s="229">
        <v>4.19E-2</v>
      </c>
      <c r="DZ13" s="230">
        <v>2058750</v>
      </c>
      <c r="EA13" s="229">
        <v>1E-4</v>
      </c>
      <c r="EB13" s="229">
        <v>4.19E-2</v>
      </c>
      <c r="EC13" s="228">
        <v>0.45</v>
      </c>
      <c r="ED13" s="229">
        <v>8.9999999999999998E-4</v>
      </c>
      <c r="EE13" s="230">
        <v>5934748</v>
      </c>
      <c r="EF13" s="230">
        <v>3519086</v>
      </c>
      <c r="EG13" s="229">
        <v>0.68640000000000001</v>
      </c>
      <c r="EH13" s="229">
        <v>0.64670000000000005</v>
      </c>
      <c r="EI13" s="231">
        <v>197222.86</v>
      </c>
      <c r="EJ13" s="231">
        <v>114876.81</v>
      </c>
      <c r="EK13" s="231">
        <v>43681.88</v>
      </c>
      <c r="EL13" s="231">
        <v>7861</v>
      </c>
      <c r="EM13" s="231">
        <v>355781.55</v>
      </c>
      <c r="EN13" s="231">
        <v>217731</v>
      </c>
      <c r="EO13" s="231">
        <v>138050.54999999999</v>
      </c>
      <c r="EP13" s="229">
        <v>0.63400000000000001</v>
      </c>
      <c r="EQ13" s="231">
        <v>145984</v>
      </c>
      <c r="ER13" s="231">
        <v>87240</v>
      </c>
      <c r="ES13" s="231">
        <v>244653</v>
      </c>
      <c r="ET13" s="231">
        <v>320531323</v>
      </c>
      <c r="EU13" s="231">
        <v>477877</v>
      </c>
      <c r="EV13" s="231">
        <v>469283</v>
      </c>
      <c r="EW13" s="231">
        <v>8594</v>
      </c>
      <c r="EX13" s="229">
        <v>1.83E-2</v>
      </c>
      <c r="EY13" s="229">
        <v>0.31419999999999998</v>
      </c>
    </row>
    <row r="14" spans="1:155" ht="17.25" thickBot="1" x14ac:dyDescent="0.3">
      <c r="A14" s="226">
        <v>46148</v>
      </c>
      <c r="B14" s="227" t="s">
        <v>170</v>
      </c>
      <c r="C14" s="227" t="s">
        <v>208</v>
      </c>
      <c r="D14" s="231">
        <v>1305.5</v>
      </c>
      <c r="E14" s="231">
        <v>1268.5999999999999</v>
      </c>
      <c r="F14" s="228">
        <v>36.9</v>
      </c>
      <c r="G14" s="229">
        <v>2.9100000000000001E-2</v>
      </c>
      <c r="H14" s="231">
        <v>1311</v>
      </c>
      <c r="I14" s="231">
        <v>1271.2</v>
      </c>
      <c r="J14" s="228">
        <v>39.799999999999997</v>
      </c>
      <c r="K14" s="229">
        <v>3.1300000000000001E-2</v>
      </c>
      <c r="L14" s="231">
        <v>1305.5</v>
      </c>
      <c r="M14" s="231">
        <v>1268.5999999999999</v>
      </c>
      <c r="N14" s="228">
        <v>36.9</v>
      </c>
      <c r="O14" s="229">
        <v>2.9100000000000001E-2</v>
      </c>
      <c r="P14" s="231">
        <v>1305.3</v>
      </c>
      <c r="Q14" s="231">
        <v>1268.4000000000001</v>
      </c>
      <c r="R14" s="228">
        <v>36.9</v>
      </c>
      <c r="S14" s="229">
        <v>2.9100000000000001E-2</v>
      </c>
      <c r="T14" s="231">
        <v>1299</v>
      </c>
      <c r="U14" s="231">
        <v>1265.4000000000001</v>
      </c>
      <c r="V14" s="228">
        <v>33.6</v>
      </c>
      <c r="W14" s="229">
        <v>2.6599999999999999E-2</v>
      </c>
      <c r="X14" s="228">
        <v>-5.5</v>
      </c>
      <c r="Y14" s="228">
        <v>-2.6</v>
      </c>
      <c r="Z14" s="228">
        <v>-2.9</v>
      </c>
      <c r="AA14" s="229">
        <v>-4.1999999999999997E-3</v>
      </c>
      <c r="AB14" s="228">
        <v>-5.5</v>
      </c>
      <c r="AC14" s="228">
        <v>-2.6</v>
      </c>
      <c r="AD14" s="228">
        <v>-2.9</v>
      </c>
      <c r="AE14" s="229">
        <v>-4.1999999999999997E-3</v>
      </c>
      <c r="AF14" s="228">
        <v>-5.7</v>
      </c>
      <c r="AG14" s="228">
        <v>-2.8</v>
      </c>
      <c r="AH14" s="228">
        <v>-2.9</v>
      </c>
      <c r="AI14" s="229">
        <v>-4.3E-3</v>
      </c>
      <c r="AJ14" s="228">
        <v>-12</v>
      </c>
      <c r="AK14" s="228">
        <v>-5.8</v>
      </c>
      <c r="AL14" s="228">
        <v>-6.2</v>
      </c>
      <c r="AM14" s="229">
        <v>-9.1999999999999998E-3</v>
      </c>
      <c r="AN14" s="231">
        <v>1302.45</v>
      </c>
      <c r="AO14" s="231">
        <v>1301.27</v>
      </c>
      <c r="AP14" s="228">
        <v>0</v>
      </c>
      <c r="AQ14" s="230">
        <v>8062</v>
      </c>
      <c r="AR14" s="230">
        <v>4683</v>
      </c>
      <c r="AS14" s="230">
        <v>3379</v>
      </c>
      <c r="AT14" s="229">
        <v>0.72150000000000003</v>
      </c>
      <c r="AU14" s="230">
        <v>7632</v>
      </c>
      <c r="AV14" s="230">
        <v>4401</v>
      </c>
      <c r="AW14" s="230">
        <v>3231</v>
      </c>
      <c r="AX14" s="229">
        <v>0.73419999999999996</v>
      </c>
      <c r="AY14" s="228">
        <v>401</v>
      </c>
      <c r="AZ14" s="228">
        <v>267</v>
      </c>
      <c r="BA14" s="228">
        <v>134</v>
      </c>
      <c r="BB14" s="229">
        <v>0.50190000000000001</v>
      </c>
      <c r="BC14" s="228">
        <v>29</v>
      </c>
      <c r="BD14" s="228">
        <v>15</v>
      </c>
      <c r="BE14" s="228">
        <v>14</v>
      </c>
      <c r="BF14" s="229">
        <v>0.93330000000000002</v>
      </c>
      <c r="BG14" s="230">
        <v>38124</v>
      </c>
      <c r="BH14" s="230">
        <v>13251</v>
      </c>
      <c r="BI14" s="230">
        <v>24873</v>
      </c>
      <c r="BJ14" s="229">
        <v>1.8771</v>
      </c>
      <c r="BK14" s="230">
        <v>15063</v>
      </c>
      <c r="BL14" s="230">
        <v>6002</v>
      </c>
      <c r="BM14" s="230">
        <v>9061</v>
      </c>
      <c r="BN14" s="229">
        <v>1.5097</v>
      </c>
      <c r="BO14" s="230">
        <v>61249</v>
      </c>
      <c r="BP14" s="230">
        <v>23936</v>
      </c>
      <c r="BQ14" s="230">
        <v>37313</v>
      </c>
      <c r="BR14" s="229">
        <v>1.5589</v>
      </c>
      <c r="BS14" s="230">
        <v>3434521</v>
      </c>
      <c r="BT14" s="230">
        <v>1046223</v>
      </c>
      <c r="BU14" s="230">
        <v>2388298</v>
      </c>
      <c r="BV14" s="229">
        <v>2.2827999999999999</v>
      </c>
      <c r="BW14" s="230">
        <v>18201250</v>
      </c>
      <c r="BX14" s="230">
        <v>17041250</v>
      </c>
      <c r="BY14" s="230">
        <v>1160000</v>
      </c>
      <c r="BZ14" s="229">
        <v>6.8099999999999994E-2</v>
      </c>
      <c r="CA14" s="230">
        <v>17650000</v>
      </c>
      <c r="CB14" s="230">
        <v>16582500</v>
      </c>
      <c r="CC14" s="230">
        <v>1067500</v>
      </c>
      <c r="CD14" s="229">
        <v>6.4399999999999999E-2</v>
      </c>
      <c r="CE14" s="230">
        <v>508125</v>
      </c>
      <c r="CF14" s="230">
        <v>426250</v>
      </c>
      <c r="CG14" s="230">
        <v>81875</v>
      </c>
      <c r="CH14" s="229">
        <v>0.19209999999999999</v>
      </c>
      <c r="CI14" s="230">
        <v>43125</v>
      </c>
      <c r="CJ14" s="230">
        <v>32500</v>
      </c>
      <c r="CK14" s="230">
        <v>10625</v>
      </c>
      <c r="CL14" s="229">
        <v>0.32690000000000002</v>
      </c>
      <c r="CM14" s="230">
        <v>10065000</v>
      </c>
      <c r="CN14" s="230">
        <v>9565625</v>
      </c>
      <c r="CO14" s="230">
        <v>499375</v>
      </c>
      <c r="CP14" s="229">
        <v>5.2200000000000003E-2</v>
      </c>
      <c r="CQ14" s="230">
        <v>5222500</v>
      </c>
      <c r="CR14" s="230">
        <v>4390000</v>
      </c>
      <c r="CS14" s="230">
        <v>832500</v>
      </c>
      <c r="CT14" s="229">
        <v>0.18959999999999999</v>
      </c>
      <c r="CU14" s="230">
        <v>33488750</v>
      </c>
      <c r="CV14" s="230">
        <v>30996875</v>
      </c>
      <c r="CW14" s="230">
        <v>2491875</v>
      </c>
      <c r="CX14" s="229">
        <v>8.0399999999999999E-2</v>
      </c>
      <c r="CY14" s="228">
        <v>31.17</v>
      </c>
      <c r="CZ14" s="228">
        <v>30.34</v>
      </c>
      <c r="DA14" s="228">
        <v>0.83</v>
      </c>
      <c r="DB14" s="228">
        <v>0.83</v>
      </c>
      <c r="DC14" s="228">
        <v>28.82</v>
      </c>
      <c r="DD14" s="228">
        <v>28.59</v>
      </c>
      <c r="DE14" s="228">
        <v>2.35</v>
      </c>
      <c r="DF14" s="228">
        <v>0.23</v>
      </c>
      <c r="DG14" s="228">
        <v>31.41</v>
      </c>
      <c r="DH14" s="228">
        <v>30.63</v>
      </c>
      <c r="DI14" s="228">
        <v>0.78</v>
      </c>
      <c r="DJ14" s="228">
        <v>0.78</v>
      </c>
      <c r="DK14" s="228">
        <v>30.57</v>
      </c>
      <c r="DL14" s="228">
        <v>29.69</v>
      </c>
      <c r="DM14" s="228">
        <v>0.88</v>
      </c>
      <c r="DN14" s="228">
        <v>0.88</v>
      </c>
      <c r="DO14" s="228">
        <v>0.52</v>
      </c>
      <c r="DP14" s="228">
        <v>0.46</v>
      </c>
      <c r="DQ14" s="228">
        <v>0.06</v>
      </c>
      <c r="DR14" s="229">
        <v>0.13039999999999999</v>
      </c>
      <c r="DS14" s="231">
        <v>1400</v>
      </c>
      <c r="DT14" s="231">
        <v>1300</v>
      </c>
      <c r="DU14" s="228">
        <v>0.4</v>
      </c>
      <c r="DV14" s="228">
        <v>0.45</v>
      </c>
      <c r="DW14" s="228">
        <v>-0.05</v>
      </c>
      <c r="DX14" s="229">
        <v>-0.1111</v>
      </c>
      <c r="DY14" s="229">
        <v>3.0300000000000001E-2</v>
      </c>
      <c r="DZ14" s="230">
        <v>458750</v>
      </c>
      <c r="EA14" s="229">
        <v>-2.0000000000000001E-4</v>
      </c>
      <c r="EB14" s="229">
        <v>3.0300000000000001E-2</v>
      </c>
      <c r="EC14" s="228">
        <v>-1.18</v>
      </c>
      <c r="ED14" s="229">
        <v>-8.9999999999999998E-4</v>
      </c>
      <c r="EE14" s="230">
        <v>1547705</v>
      </c>
      <c r="EF14" s="230">
        <v>408318</v>
      </c>
      <c r="EG14" s="229">
        <v>2.7904</v>
      </c>
      <c r="EH14" s="229">
        <v>0.4506</v>
      </c>
      <c r="EI14" s="231">
        <v>325697.81</v>
      </c>
      <c r="EJ14" s="231">
        <v>122256.66</v>
      </c>
      <c r="EK14" s="231">
        <v>65624.08</v>
      </c>
      <c r="EL14" s="231">
        <v>7064</v>
      </c>
      <c r="EM14" s="231">
        <v>513578.55</v>
      </c>
      <c r="EN14" s="231">
        <v>197456.75</v>
      </c>
      <c r="EO14" s="231">
        <v>316121.8</v>
      </c>
      <c r="EP14" s="229">
        <v>1.601</v>
      </c>
      <c r="EQ14" s="231">
        <v>137788</v>
      </c>
      <c r="ER14" s="231">
        <v>66378</v>
      </c>
      <c r="ES14" s="231">
        <v>237613</v>
      </c>
      <c r="ET14" s="231">
        <v>61026255</v>
      </c>
      <c r="EU14" s="231">
        <v>441779</v>
      </c>
      <c r="EV14" s="231">
        <v>403186</v>
      </c>
      <c r="EW14" s="231">
        <v>38593</v>
      </c>
      <c r="EX14" s="229">
        <v>9.5699999999999993E-2</v>
      </c>
      <c r="EY14" s="229">
        <v>0.54879999999999995</v>
      </c>
    </row>
    <row r="15" spans="1:155" ht="17.25" thickBot="1" x14ac:dyDescent="0.3">
      <c r="A15" s="226">
        <v>46148</v>
      </c>
      <c r="B15" s="227" t="s">
        <v>162</v>
      </c>
      <c r="C15" s="227" t="s">
        <v>209</v>
      </c>
      <c r="D15" s="231">
        <v>7349.5</v>
      </c>
      <c r="E15" s="231">
        <v>7317.5</v>
      </c>
      <c r="F15" s="228">
        <v>32</v>
      </c>
      <c r="G15" s="229">
        <v>4.4000000000000003E-3</v>
      </c>
      <c r="H15" s="231">
        <v>7310.5</v>
      </c>
      <c r="I15" s="231">
        <v>7301.5</v>
      </c>
      <c r="J15" s="228">
        <v>9</v>
      </c>
      <c r="K15" s="229">
        <v>1.1999999999999999E-3</v>
      </c>
      <c r="L15" s="231">
        <v>7349.5</v>
      </c>
      <c r="M15" s="231">
        <v>7317.5</v>
      </c>
      <c r="N15" s="228">
        <v>32</v>
      </c>
      <c r="O15" s="229">
        <v>4.4000000000000003E-3</v>
      </c>
      <c r="P15" s="231">
        <v>7402</v>
      </c>
      <c r="Q15" s="231">
        <v>7368</v>
      </c>
      <c r="R15" s="228">
        <v>34</v>
      </c>
      <c r="S15" s="229">
        <v>4.5999999999999999E-3</v>
      </c>
      <c r="T15" s="231">
        <v>7435</v>
      </c>
      <c r="U15" s="231">
        <v>7402.5</v>
      </c>
      <c r="V15" s="228">
        <v>32.5</v>
      </c>
      <c r="W15" s="229">
        <v>4.4000000000000003E-3</v>
      </c>
      <c r="X15" s="228">
        <v>39</v>
      </c>
      <c r="Y15" s="228">
        <v>16</v>
      </c>
      <c r="Z15" s="228">
        <v>23</v>
      </c>
      <c r="AA15" s="229">
        <v>5.3E-3</v>
      </c>
      <c r="AB15" s="228">
        <v>39</v>
      </c>
      <c r="AC15" s="228">
        <v>16</v>
      </c>
      <c r="AD15" s="228">
        <v>23</v>
      </c>
      <c r="AE15" s="229">
        <v>5.3E-3</v>
      </c>
      <c r="AF15" s="228">
        <v>91.5</v>
      </c>
      <c r="AG15" s="228">
        <v>66.5</v>
      </c>
      <c r="AH15" s="228">
        <v>25</v>
      </c>
      <c r="AI15" s="229">
        <v>1.2500000000000001E-2</v>
      </c>
      <c r="AJ15" s="228">
        <v>124.5</v>
      </c>
      <c r="AK15" s="228">
        <v>101</v>
      </c>
      <c r="AL15" s="228">
        <v>23.5</v>
      </c>
      <c r="AM15" s="229">
        <v>1.7000000000000001E-2</v>
      </c>
      <c r="AN15" s="231">
        <v>7302.6</v>
      </c>
      <c r="AO15" s="231">
        <v>7359.82</v>
      </c>
      <c r="AP15" s="228">
        <v>0</v>
      </c>
      <c r="AQ15" s="230">
        <v>6051</v>
      </c>
      <c r="AR15" s="230">
        <v>4401</v>
      </c>
      <c r="AS15" s="230">
        <v>1650</v>
      </c>
      <c r="AT15" s="229">
        <v>0.37490000000000001</v>
      </c>
      <c r="AU15" s="230">
        <v>5791</v>
      </c>
      <c r="AV15" s="230">
        <v>4207</v>
      </c>
      <c r="AW15" s="230">
        <v>1584</v>
      </c>
      <c r="AX15" s="229">
        <v>0.3765</v>
      </c>
      <c r="AY15" s="228">
        <v>226</v>
      </c>
      <c r="AZ15" s="228">
        <v>171</v>
      </c>
      <c r="BA15" s="228">
        <v>55</v>
      </c>
      <c r="BB15" s="229">
        <v>0.3216</v>
      </c>
      <c r="BC15" s="228">
        <v>34</v>
      </c>
      <c r="BD15" s="228">
        <v>23</v>
      </c>
      <c r="BE15" s="228">
        <v>11</v>
      </c>
      <c r="BF15" s="229">
        <v>0.4783</v>
      </c>
      <c r="BG15" s="230">
        <v>14378</v>
      </c>
      <c r="BH15" s="230">
        <v>9920</v>
      </c>
      <c r="BI15" s="230">
        <v>4458</v>
      </c>
      <c r="BJ15" s="229">
        <v>0.44940000000000002</v>
      </c>
      <c r="BK15" s="230">
        <v>7283</v>
      </c>
      <c r="BL15" s="230">
        <v>5603</v>
      </c>
      <c r="BM15" s="230">
        <v>1680</v>
      </c>
      <c r="BN15" s="229">
        <v>0.29980000000000001</v>
      </c>
      <c r="BO15" s="230">
        <v>27712</v>
      </c>
      <c r="BP15" s="230">
        <v>19924</v>
      </c>
      <c r="BQ15" s="230">
        <v>7788</v>
      </c>
      <c r="BR15" s="229">
        <v>0.39090000000000003</v>
      </c>
      <c r="BS15" s="230">
        <v>418184</v>
      </c>
      <c r="BT15" s="230">
        <v>502307</v>
      </c>
      <c r="BU15" s="230">
        <v>-84123</v>
      </c>
      <c r="BV15" s="229">
        <v>-0.16750000000000001</v>
      </c>
      <c r="BW15" s="230">
        <v>3399900</v>
      </c>
      <c r="BX15" s="230">
        <v>3569800</v>
      </c>
      <c r="BY15" s="230">
        <v>-169900</v>
      </c>
      <c r="BZ15" s="229">
        <v>-4.7600000000000003E-2</v>
      </c>
      <c r="CA15" s="230">
        <v>2847400</v>
      </c>
      <c r="CB15" s="230">
        <v>3023500</v>
      </c>
      <c r="CC15" s="230">
        <v>-176100</v>
      </c>
      <c r="CD15" s="229">
        <v>-5.8200000000000002E-2</v>
      </c>
      <c r="CE15" s="230">
        <v>546700</v>
      </c>
      <c r="CF15" s="230">
        <v>541100</v>
      </c>
      <c r="CG15" s="230">
        <v>5600</v>
      </c>
      <c r="CH15" s="229">
        <v>1.03E-2</v>
      </c>
      <c r="CI15" s="230">
        <v>5800</v>
      </c>
      <c r="CJ15" s="230">
        <v>5200</v>
      </c>
      <c r="CK15" s="228">
        <v>600</v>
      </c>
      <c r="CL15" s="229">
        <v>0.1154</v>
      </c>
      <c r="CM15" s="230">
        <v>1121600</v>
      </c>
      <c r="CN15" s="230">
        <v>1043100</v>
      </c>
      <c r="CO15" s="230">
        <v>78500</v>
      </c>
      <c r="CP15" s="229">
        <v>7.5300000000000006E-2</v>
      </c>
      <c r="CQ15" s="230">
        <v>852600</v>
      </c>
      <c r="CR15" s="230">
        <v>853600</v>
      </c>
      <c r="CS15" s="230">
        <v>-1000</v>
      </c>
      <c r="CT15" s="229">
        <v>-1.1999999999999999E-3</v>
      </c>
      <c r="CU15" s="230">
        <v>5374100</v>
      </c>
      <c r="CV15" s="230">
        <v>5466500</v>
      </c>
      <c r="CW15" s="230">
        <v>-92400</v>
      </c>
      <c r="CX15" s="229">
        <v>-1.6899999999999998E-2</v>
      </c>
      <c r="CY15" s="228">
        <v>32.4</v>
      </c>
      <c r="CZ15" s="228">
        <v>33.020000000000003</v>
      </c>
      <c r="DA15" s="228">
        <v>-0.62</v>
      </c>
      <c r="DB15" s="228">
        <v>-0.62</v>
      </c>
      <c r="DC15" s="228">
        <v>33.409999999999997</v>
      </c>
      <c r="DD15" s="228">
        <v>33.5</v>
      </c>
      <c r="DE15" s="228">
        <v>-1.01</v>
      </c>
      <c r="DF15" s="228">
        <v>-0.09</v>
      </c>
      <c r="DG15" s="228">
        <v>31.94</v>
      </c>
      <c r="DH15" s="228">
        <v>32.619999999999997</v>
      </c>
      <c r="DI15" s="228">
        <v>-0.68</v>
      </c>
      <c r="DJ15" s="228">
        <v>-0.68</v>
      </c>
      <c r="DK15" s="228">
        <v>33.31</v>
      </c>
      <c r="DL15" s="228">
        <v>33.72</v>
      </c>
      <c r="DM15" s="228">
        <v>-0.41</v>
      </c>
      <c r="DN15" s="228">
        <v>-0.41</v>
      </c>
      <c r="DO15" s="228">
        <v>0.76</v>
      </c>
      <c r="DP15" s="228">
        <v>0.82</v>
      </c>
      <c r="DQ15" s="228">
        <v>-0.06</v>
      </c>
      <c r="DR15" s="229">
        <v>-7.3200000000000001E-2</v>
      </c>
      <c r="DS15" s="231">
        <v>7300</v>
      </c>
      <c r="DT15" s="231">
        <v>6800</v>
      </c>
      <c r="DU15" s="228">
        <v>0.51</v>
      </c>
      <c r="DV15" s="228">
        <v>0.56000000000000005</v>
      </c>
      <c r="DW15" s="228">
        <v>-0.05</v>
      </c>
      <c r="DX15" s="229">
        <v>-8.9300000000000004E-2</v>
      </c>
      <c r="DY15" s="229">
        <v>0.16250000000000001</v>
      </c>
      <c r="DZ15" s="230">
        <v>546300</v>
      </c>
      <c r="EA15" s="229">
        <v>7.1000000000000004E-3</v>
      </c>
      <c r="EB15" s="229">
        <v>0.16250000000000001</v>
      </c>
      <c r="EC15" s="228">
        <v>57.22</v>
      </c>
      <c r="ED15" s="229">
        <v>7.7999999999999996E-3</v>
      </c>
      <c r="EE15" s="230">
        <v>194954</v>
      </c>
      <c r="EF15" s="230">
        <v>261281</v>
      </c>
      <c r="EG15" s="229">
        <v>-0.25390000000000001</v>
      </c>
      <c r="EH15" s="229">
        <v>0.4662</v>
      </c>
      <c r="EI15" s="231">
        <v>110606.44</v>
      </c>
      <c r="EJ15" s="231">
        <v>51790.57</v>
      </c>
      <c r="EK15" s="231">
        <v>44203.94</v>
      </c>
      <c r="EL15" s="231">
        <v>5680</v>
      </c>
      <c r="EM15" s="231">
        <v>206600.95</v>
      </c>
      <c r="EN15" s="231">
        <v>148916.54999999999</v>
      </c>
      <c r="EO15" s="231">
        <v>57684.4</v>
      </c>
      <c r="EP15" s="229">
        <v>0.38740000000000002</v>
      </c>
      <c r="EQ15" s="231">
        <v>85258</v>
      </c>
      <c r="ER15" s="231">
        <v>59346</v>
      </c>
      <c r="ES15" s="231">
        <v>250168</v>
      </c>
      <c r="ET15" s="231">
        <v>20960143</v>
      </c>
      <c r="EU15" s="231">
        <v>394771</v>
      </c>
      <c r="EV15" s="231">
        <v>400069</v>
      </c>
      <c r="EW15" s="231">
        <v>-5298</v>
      </c>
      <c r="EX15" s="229">
        <v>-1.32E-2</v>
      </c>
      <c r="EY15" s="229">
        <v>0.25640000000000002</v>
      </c>
    </row>
    <row r="16" spans="1:155" ht="17.25" thickBot="1" x14ac:dyDescent="0.3">
      <c r="A16" s="226">
        <v>46148</v>
      </c>
      <c r="B16" s="227" t="s">
        <v>614</v>
      </c>
      <c r="C16" s="227" t="s">
        <v>664</v>
      </c>
      <c r="D16" s="228">
        <v>257.83</v>
      </c>
      <c r="E16" s="228">
        <v>249.94</v>
      </c>
      <c r="F16" s="228">
        <v>7.89</v>
      </c>
      <c r="G16" s="229">
        <v>3.1600000000000003E-2</v>
      </c>
      <c r="H16" s="228">
        <v>256.05</v>
      </c>
      <c r="I16" s="228">
        <v>248.47</v>
      </c>
      <c r="J16" s="228">
        <v>7.58</v>
      </c>
      <c r="K16" s="229">
        <v>3.0499999999999999E-2</v>
      </c>
      <c r="L16" s="228">
        <v>257.83</v>
      </c>
      <c r="M16" s="228">
        <v>249.94</v>
      </c>
      <c r="N16" s="228">
        <v>7.89</v>
      </c>
      <c r="O16" s="229">
        <v>3.1600000000000003E-2</v>
      </c>
      <c r="P16" s="228">
        <v>259.29000000000002</v>
      </c>
      <c r="Q16" s="228">
        <v>251.47</v>
      </c>
      <c r="R16" s="228">
        <v>7.82</v>
      </c>
      <c r="S16" s="229">
        <v>3.1099999999999999E-2</v>
      </c>
      <c r="T16" s="228">
        <v>260.58</v>
      </c>
      <c r="U16" s="228">
        <v>253.04</v>
      </c>
      <c r="V16" s="228">
        <v>7.54</v>
      </c>
      <c r="W16" s="229">
        <v>2.98E-2</v>
      </c>
      <c r="X16" s="228">
        <v>1.78</v>
      </c>
      <c r="Y16" s="228">
        <v>1.47</v>
      </c>
      <c r="Z16" s="228">
        <v>0.31</v>
      </c>
      <c r="AA16" s="229">
        <v>7.0000000000000001E-3</v>
      </c>
      <c r="AB16" s="228">
        <v>1.78</v>
      </c>
      <c r="AC16" s="228">
        <v>1.47</v>
      </c>
      <c r="AD16" s="228">
        <v>0.31</v>
      </c>
      <c r="AE16" s="229">
        <v>7.0000000000000001E-3</v>
      </c>
      <c r="AF16" s="228">
        <v>3.24</v>
      </c>
      <c r="AG16" s="228">
        <v>3</v>
      </c>
      <c r="AH16" s="228">
        <v>0.24</v>
      </c>
      <c r="AI16" s="229">
        <v>1.2699999999999999E-2</v>
      </c>
      <c r="AJ16" s="228">
        <v>4.53</v>
      </c>
      <c r="AK16" s="228">
        <v>4.57</v>
      </c>
      <c r="AL16" s="228">
        <v>-0.04</v>
      </c>
      <c r="AM16" s="229">
        <v>1.77E-2</v>
      </c>
      <c r="AN16" s="228">
        <v>255.06</v>
      </c>
      <c r="AO16" s="228">
        <v>256.32</v>
      </c>
      <c r="AP16" s="228">
        <v>0</v>
      </c>
      <c r="AQ16" s="230">
        <v>13327</v>
      </c>
      <c r="AR16" s="230">
        <v>8781</v>
      </c>
      <c r="AS16" s="230">
        <v>4546</v>
      </c>
      <c r="AT16" s="229">
        <v>0.51770000000000005</v>
      </c>
      <c r="AU16" s="230">
        <v>11796</v>
      </c>
      <c r="AV16" s="230">
        <v>7761</v>
      </c>
      <c r="AW16" s="230">
        <v>4035</v>
      </c>
      <c r="AX16" s="229">
        <v>0.51990000000000003</v>
      </c>
      <c r="AY16" s="230">
        <v>1422</v>
      </c>
      <c r="AZ16" s="228">
        <v>951</v>
      </c>
      <c r="BA16" s="228">
        <v>471</v>
      </c>
      <c r="BB16" s="229">
        <v>0.49530000000000002</v>
      </c>
      <c r="BC16" s="228">
        <v>109</v>
      </c>
      <c r="BD16" s="228">
        <v>69</v>
      </c>
      <c r="BE16" s="228">
        <v>40</v>
      </c>
      <c r="BF16" s="229">
        <v>0.57969999999999999</v>
      </c>
      <c r="BG16" s="230">
        <v>35509</v>
      </c>
      <c r="BH16" s="230">
        <v>24347</v>
      </c>
      <c r="BI16" s="230">
        <v>11162</v>
      </c>
      <c r="BJ16" s="229">
        <v>0.45850000000000002</v>
      </c>
      <c r="BK16" s="230">
        <v>20961</v>
      </c>
      <c r="BL16" s="230">
        <v>14334</v>
      </c>
      <c r="BM16" s="230">
        <v>6627</v>
      </c>
      <c r="BN16" s="229">
        <v>0.46229999999999999</v>
      </c>
      <c r="BO16" s="230">
        <v>69797</v>
      </c>
      <c r="BP16" s="230">
        <v>47462</v>
      </c>
      <c r="BQ16" s="230">
        <v>22335</v>
      </c>
      <c r="BR16" s="229">
        <v>0.47060000000000002</v>
      </c>
      <c r="BS16" s="230">
        <v>35059081</v>
      </c>
      <c r="BT16" s="230">
        <v>31395709</v>
      </c>
      <c r="BU16" s="230">
        <v>3663372</v>
      </c>
      <c r="BV16" s="229">
        <v>0.1167</v>
      </c>
      <c r="BW16" s="230">
        <v>211062300</v>
      </c>
      <c r="BX16" s="230">
        <v>209112600</v>
      </c>
      <c r="BY16" s="230">
        <v>1949700</v>
      </c>
      <c r="BZ16" s="229">
        <v>9.2999999999999992E-3</v>
      </c>
      <c r="CA16" s="230">
        <v>191153050</v>
      </c>
      <c r="CB16" s="230">
        <v>190655925</v>
      </c>
      <c r="CC16" s="230">
        <v>497125</v>
      </c>
      <c r="CD16" s="229">
        <v>2.5999999999999999E-3</v>
      </c>
      <c r="CE16" s="230">
        <v>19062925</v>
      </c>
      <c r="CF16" s="230">
        <v>17632175</v>
      </c>
      <c r="CG16" s="230">
        <v>1430750</v>
      </c>
      <c r="CH16" s="229">
        <v>8.1100000000000005E-2</v>
      </c>
      <c r="CI16" s="230">
        <v>846325</v>
      </c>
      <c r="CJ16" s="230">
        <v>824500</v>
      </c>
      <c r="CK16" s="230">
        <v>21825</v>
      </c>
      <c r="CL16" s="229">
        <v>2.6499999999999999E-2</v>
      </c>
      <c r="CM16" s="230">
        <v>89307900</v>
      </c>
      <c r="CN16" s="230">
        <v>94722925</v>
      </c>
      <c r="CO16" s="230">
        <v>-5415025</v>
      </c>
      <c r="CP16" s="229">
        <v>-5.7200000000000001E-2</v>
      </c>
      <c r="CQ16" s="230">
        <v>50946825</v>
      </c>
      <c r="CR16" s="230">
        <v>51834375</v>
      </c>
      <c r="CS16" s="230">
        <v>-887550</v>
      </c>
      <c r="CT16" s="229">
        <v>-1.7100000000000001E-2</v>
      </c>
      <c r="CU16" s="230">
        <v>351317025</v>
      </c>
      <c r="CV16" s="230">
        <v>355669900</v>
      </c>
      <c r="CW16" s="230">
        <v>-4352875</v>
      </c>
      <c r="CX16" s="229">
        <v>-1.2200000000000001E-2</v>
      </c>
      <c r="CY16" s="228">
        <v>37.04</v>
      </c>
      <c r="CZ16" s="228">
        <v>39.229999999999997</v>
      </c>
      <c r="DA16" s="228">
        <v>-2.19</v>
      </c>
      <c r="DB16" s="228">
        <v>-2.19</v>
      </c>
      <c r="DC16" s="228">
        <v>45.52</v>
      </c>
      <c r="DD16" s="228">
        <v>45.45</v>
      </c>
      <c r="DE16" s="228">
        <v>-8.48</v>
      </c>
      <c r="DF16" s="228">
        <v>7.0000000000000007E-2</v>
      </c>
      <c r="DG16" s="228">
        <v>36.94</v>
      </c>
      <c r="DH16" s="228">
        <v>39.47</v>
      </c>
      <c r="DI16" s="228">
        <v>-2.5299999999999998</v>
      </c>
      <c r="DJ16" s="228">
        <v>-2.5299999999999998</v>
      </c>
      <c r="DK16" s="228">
        <v>37.200000000000003</v>
      </c>
      <c r="DL16" s="228">
        <v>38.82</v>
      </c>
      <c r="DM16" s="228">
        <v>-1.62</v>
      </c>
      <c r="DN16" s="228">
        <v>-1.62</v>
      </c>
      <c r="DO16" s="228">
        <v>0.56999999999999995</v>
      </c>
      <c r="DP16" s="228">
        <v>0.55000000000000004</v>
      </c>
      <c r="DQ16" s="228">
        <v>0.02</v>
      </c>
      <c r="DR16" s="229">
        <v>3.6400000000000002E-2</v>
      </c>
      <c r="DS16" s="228">
        <v>260</v>
      </c>
      <c r="DT16" s="228">
        <v>250</v>
      </c>
      <c r="DU16" s="228">
        <v>0.59</v>
      </c>
      <c r="DV16" s="228">
        <v>0.59</v>
      </c>
      <c r="DW16" s="228">
        <v>0</v>
      </c>
      <c r="DX16" s="229">
        <v>0</v>
      </c>
      <c r="DY16" s="229">
        <v>9.4299999999999995E-2</v>
      </c>
      <c r="DZ16" s="230">
        <v>18456675</v>
      </c>
      <c r="EA16" s="229">
        <v>5.7000000000000002E-3</v>
      </c>
      <c r="EB16" s="229">
        <v>9.4299999999999995E-2</v>
      </c>
      <c r="EC16" s="228">
        <v>1.26</v>
      </c>
      <c r="ED16" s="229">
        <v>4.8999999999999998E-3</v>
      </c>
      <c r="EE16" s="230">
        <v>16942598</v>
      </c>
      <c r="EF16" s="230">
        <v>11905097</v>
      </c>
      <c r="EG16" s="229">
        <v>0.42309999999999998</v>
      </c>
      <c r="EH16" s="229">
        <v>0.48330000000000001</v>
      </c>
      <c r="EI16" s="231">
        <v>232350.11</v>
      </c>
      <c r="EJ16" s="231">
        <v>126302.18</v>
      </c>
      <c r="EK16" s="231">
        <v>82478.570000000007</v>
      </c>
      <c r="EL16" s="231">
        <v>21974</v>
      </c>
      <c r="EM16" s="231">
        <v>441130.86</v>
      </c>
      <c r="EN16" s="231">
        <v>297687.53000000003</v>
      </c>
      <c r="EO16" s="231">
        <v>143443.32999999999</v>
      </c>
      <c r="EP16" s="229">
        <v>0.4819</v>
      </c>
      <c r="EQ16" s="231">
        <v>237088</v>
      </c>
      <c r="ER16" s="231">
        <v>124655</v>
      </c>
      <c r="ES16" s="231">
        <v>544484</v>
      </c>
      <c r="ET16" s="231">
        <v>1366821859</v>
      </c>
      <c r="EU16" s="231">
        <v>906227</v>
      </c>
      <c r="EV16" s="231">
        <v>900795</v>
      </c>
      <c r="EW16" s="231">
        <v>5432</v>
      </c>
      <c r="EX16" s="229">
        <v>6.0000000000000001E-3</v>
      </c>
      <c r="EY16" s="229">
        <v>0.25700000000000001</v>
      </c>
    </row>
    <row r="17" spans="1:155" ht="17.25" thickBot="1" x14ac:dyDescent="0.3">
      <c r="A17" s="226">
        <v>46148</v>
      </c>
      <c r="B17" s="227" t="s">
        <v>157</v>
      </c>
      <c r="C17" s="227" t="s">
        <v>219</v>
      </c>
      <c r="D17" s="231">
        <v>2935.4</v>
      </c>
      <c r="E17" s="231">
        <v>2879</v>
      </c>
      <c r="F17" s="228">
        <v>56.4</v>
      </c>
      <c r="G17" s="229">
        <v>1.9599999999999999E-2</v>
      </c>
      <c r="H17" s="231">
        <v>2914.8</v>
      </c>
      <c r="I17" s="231">
        <v>2871.5</v>
      </c>
      <c r="J17" s="228">
        <v>43.3</v>
      </c>
      <c r="K17" s="229">
        <v>1.5100000000000001E-2</v>
      </c>
      <c r="L17" s="231">
        <v>2935.4</v>
      </c>
      <c r="M17" s="231">
        <v>2879</v>
      </c>
      <c r="N17" s="228">
        <v>56.4</v>
      </c>
      <c r="O17" s="229">
        <v>1.9599999999999999E-2</v>
      </c>
      <c r="P17" s="231">
        <v>2952.2</v>
      </c>
      <c r="Q17" s="231">
        <v>2900</v>
      </c>
      <c r="R17" s="228">
        <v>52.2</v>
      </c>
      <c r="S17" s="229">
        <v>1.7999999999999999E-2</v>
      </c>
      <c r="T17" s="231">
        <v>2964.1</v>
      </c>
      <c r="U17" s="231">
        <v>2912.7</v>
      </c>
      <c r="V17" s="228">
        <v>51.4</v>
      </c>
      <c r="W17" s="229">
        <v>1.7600000000000001E-2</v>
      </c>
      <c r="X17" s="228">
        <v>20.6</v>
      </c>
      <c r="Y17" s="228">
        <v>7.5</v>
      </c>
      <c r="Z17" s="228">
        <v>13.1</v>
      </c>
      <c r="AA17" s="229">
        <v>7.1000000000000004E-3</v>
      </c>
      <c r="AB17" s="228">
        <v>20.6</v>
      </c>
      <c r="AC17" s="228">
        <v>7.5</v>
      </c>
      <c r="AD17" s="228">
        <v>13.1</v>
      </c>
      <c r="AE17" s="229">
        <v>7.1000000000000004E-3</v>
      </c>
      <c r="AF17" s="228">
        <v>37.4</v>
      </c>
      <c r="AG17" s="228">
        <v>28.5</v>
      </c>
      <c r="AH17" s="228">
        <v>8.9</v>
      </c>
      <c r="AI17" s="229">
        <v>1.2800000000000001E-2</v>
      </c>
      <c r="AJ17" s="228">
        <v>49.3</v>
      </c>
      <c r="AK17" s="228">
        <v>41.2</v>
      </c>
      <c r="AL17" s="228">
        <v>8.1</v>
      </c>
      <c r="AM17" s="229">
        <v>1.6899999999999998E-2</v>
      </c>
      <c r="AN17" s="231">
        <v>2913.52</v>
      </c>
      <c r="AO17" s="231">
        <v>2926.68</v>
      </c>
      <c r="AP17" s="228">
        <v>0</v>
      </c>
      <c r="AQ17" s="230">
        <v>3515</v>
      </c>
      <c r="AR17" s="230">
        <v>2961</v>
      </c>
      <c r="AS17" s="228">
        <v>554</v>
      </c>
      <c r="AT17" s="229">
        <v>0.18709999999999999</v>
      </c>
      <c r="AU17" s="230">
        <v>3369</v>
      </c>
      <c r="AV17" s="230">
        <v>2859</v>
      </c>
      <c r="AW17" s="228">
        <v>510</v>
      </c>
      <c r="AX17" s="229">
        <v>0.1784</v>
      </c>
      <c r="AY17" s="228">
        <v>133</v>
      </c>
      <c r="AZ17" s="228">
        <v>99</v>
      </c>
      <c r="BA17" s="228">
        <v>34</v>
      </c>
      <c r="BB17" s="229">
        <v>0.34339999999999998</v>
      </c>
      <c r="BC17" s="228">
        <v>13</v>
      </c>
      <c r="BD17" s="228">
        <v>3</v>
      </c>
      <c r="BE17" s="228">
        <v>10</v>
      </c>
      <c r="BF17" s="229">
        <v>3.3332999999999999</v>
      </c>
      <c r="BG17" s="230">
        <v>4962</v>
      </c>
      <c r="BH17" s="230">
        <v>4358</v>
      </c>
      <c r="BI17" s="228">
        <v>604</v>
      </c>
      <c r="BJ17" s="229">
        <v>0.1386</v>
      </c>
      <c r="BK17" s="230">
        <v>4543</v>
      </c>
      <c r="BL17" s="230">
        <v>1887</v>
      </c>
      <c r="BM17" s="230">
        <v>2656</v>
      </c>
      <c r="BN17" s="229">
        <v>1.4075</v>
      </c>
      <c r="BO17" s="230">
        <v>13020</v>
      </c>
      <c r="BP17" s="230">
        <v>9206</v>
      </c>
      <c r="BQ17" s="230">
        <v>3814</v>
      </c>
      <c r="BR17" s="229">
        <v>0.4143</v>
      </c>
      <c r="BS17" s="230">
        <v>373436</v>
      </c>
      <c r="BT17" s="230">
        <v>974925</v>
      </c>
      <c r="BU17" s="230">
        <v>-601489</v>
      </c>
      <c r="BV17" s="229">
        <v>-0.61699999999999999</v>
      </c>
      <c r="BW17" s="230">
        <v>14974250</v>
      </c>
      <c r="BX17" s="230">
        <v>14763500</v>
      </c>
      <c r="BY17" s="230">
        <v>210750</v>
      </c>
      <c r="BZ17" s="229">
        <v>1.43E-2</v>
      </c>
      <c r="CA17" s="230">
        <v>14148000</v>
      </c>
      <c r="CB17" s="230">
        <v>13949750</v>
      </c>
      <c r="CC17" s="230">
        <v>198250</v>
      </c>
      <c r="CD17" s="229">
        <v>1.4200000000000001E-2</v>
      </c>
      <c r="CE17" s="230">
        <v>821250</v>
      </c>
      <c r="CF17" s="230">
        <v>809500</v>
      </c>
      <c r="CG17" s="230">
        <v>11750</v>
      </c>
      <c r="CH17" s="229">
        <v>1.4500000000000001E-2</v>
      </c>
      <c r="CI17" s="230">
        <v>5000</v>
      </c>
      <c r="CJ17" s="230">
        <v>4250</v>
      </c>
      <c r="CK17" s="228">
        <v>750</v>
      </c>
      <c r="CL17" s="229">
        <v>0.17649999999999999</v>
      </c>
      <c r="CM17" s="230">
        <v>1187750</v>
      </c>
      <c r="CN17" s="230">
        <v>1171000</v>
      </c>
      <c r="CO17" s="230">
        <v>16750</v>
      </c>
      <c r="CP17" s="229">
        <v>1.43E-2</v>
      </c>
      <c r="CQ17" s="230">
        <v>824000</v>
      </c>
      <c r="CR17" s="230">
        <v>783500</v>
      </c>
      <c r="CS17" s="230">
        <v>40500</v>
      </c>
      <c r="CT17" s="229">
        <v>5.1700000000000003E-2</v>
      </c>
      <c r="CU17" s="230">
        <v>16986000</v>
      </c>
      <c r="CV17" s="230">
        <v>16718000</v>
      </c>
      <c r="CW17" s="230">
        <v>268000</v>
      </c>
      <c r="CX17" s="229">
        <v>1.6E-2</v>
      </c>
      <c r="CY17" s="228">
        <v>26.94</v>
      </c>
      <c r="CZ17" s="228">
        <v>26.48</v>
      </c>
      <c r="DA17" s="228">
        <v>0.46</v>
      </c>
      <c r="DB17" s="228">
        <v>0.46</v>
      </c>
      <c r="DC17" s="228">
        <v>28.07</v>
      </c>
      <c r="DD17" s="228">
        <v>28.02</v>
      </c>
      <c r="DE17" s="228">
        <v>-1.1299999999999999</v>
      </c>
      <c r="DF17" s="228">
        <v>0.05</v>
      </c>
      <c r="DG17" s="228">
        <v>23.55</v>
      </c>
      <c r="DH17" s="228">
        <v>25.75</v>
      </c>
      <c r="DI17" s="228">
        <v>-2.2000000000000002</v>
      </c>
      <c r="DJ17" s="228">
        <v>-2.2000000000000002</v>
      </c>
      <c r="DK17" s="228">
        <v>30.63</v>
      </c>
      <c r="DL17" s="228">
        <v>28.17</v>
      </c>
      <c r="DM17" s="228">
        <v>2.46</v>
      </c>
      <c r="DN17" s="228">
        <v>2.46</v>
      </c>
      <c r="DO17" s="228">
        <v>0.69</v>
      </c>
      <c r="DP17" s="228">
        <v>0.67</v>
      </c>
      <c r="DQ17" s="228">
        <v>0.02</v>
      </c>
      <c r="DR17" s="229">
        <v>2.9899999999999999E-2</v>
      </c>
      <c r="DS17" s="231">
        <v>3000</v>
      </c>
      <c r="DT17" s="231">
        <v>2600</v>
      </c>
      <c r="DU17" s="228">
        <v>0.92</v>
      </c>
      <c r="DV17" s="228">
        <v>0.43</v>
      </c>
      <c r="DW17" s="228">
        <v>0.49</v>
      </c>
      <c r="DX17" s="229">
        <v>1.1395</v>
      </c>
      <c r="DY17" s="229">
        <v>5.5199999999999999E-2</v>
      </c>
      <c r="DZ17" s="230">
        <v>813750</v>
      </c>
      <c r="EA17" s="229">
        <v>5.7000000000000002E-3</v>
      </c>
      <c r="EB17" s="229">
        <v>5.5199999999999999E-2</v>
      </c>
      <c r="EC17" s="228">
        <v>13.16</v>
      </c>
      <c r="ED17" s="229">
        <v>4.4999999999999997E-3</v>
      </c>
      <c r="EE17" s="230">
        <v>211061</v>
      </c>
      <c r="EF17" s="230">
        <v>583212</v>
      </c>
      <c r="EG17" s="229">
        <v>-0.6381</v>
      </c>
      <c r="EH17" s="229">
        <v>0.56520000000000004</v>
      </c>
      <c r="EI17" s="231">
        <v>37400.86</v>
      </c>
      <c r="EJ17" s="231">
        <v>29988.05</v>
      </c>
      <c r="EK17" s="231">
        <v>25608.04</v>
      </c>
      <c r="EL17" s="231">
        <v>3666</v>
      </c>
      <c r="EM17" s="231">
        <v>92996.95</v>
      </c>
      <c r="EN17" s="231">
        <v>66935.7</v>
      </c>
      <c r="EO17" s="231">
        <v>26061.25</v>
      </c>
      <c r="EP17" s="229">
        <v>0.38929999999999998</v>
      </c>
      <c r="EQ17" s="231">
        <v>35444</v>
      </c>
      <c r="ER17" s="231">
        <v>22374</v>
      </c>
      <c r="ES17" s="231">
        <v>439694</v>
      </c>
      <c r="ET17" s="231">
        <v>38401443</v>
      </c>
      <c r="EU17" s="231">
        <v>497511</v>
      </c>
      <c r="EV17" s="231">
        <v>481210</v>
      </c>
      <c r="EW17" s="231">
        <v>16301</v>
      </c>
      <c r="EX17" s="229">
        <v>3.39E-2</v>
      </c>
      <c r="EY17" s="229">
        <v>0.44230000000000003</v>
      </c>
    </row>
    <row r="18" spans="1:155" ht="17.25" thickBot="1" x14ac:dyDescent="0.3">
      <c r="A18" s="226">
        <v>46148</v>
      </c>
      <c r="B18" s="227" t="s">
        <v>221</v>
      </c>
      <c r="C18" s="227" t="s">
        <v>222</v>
      </c>
      <c r="D18" s="231">
        <v>1191.9000000000001</v>
      </c>
      <c r="E18" s="231">
        <v>1201.4000000000001</v>
      </c>
      <c r="F18" s="228">
        <v>-9.5</v>
      </c>
      <c r="G18" s="229">
        <v>-7.9000000000000008E-3</v>
      </c>
      <c r="H18" s="231">
        <v>1189.0999999999999</v>
      </c>
      <c r="I18" s="231">
        <v>1200.2</v>
      </c>
      <c r="J18" s="228">
        <v>-11.1</v>
      </c>
      <c r="K18" s="229">
        <v>-9.1999999999999998E-3</v>
      </c>
      <c r="L18" s="231">
        <v>1191.9000000000001</v>
      </c>
      <c r="M18" s="231">
        <v>1201.4000000000001</v>
      </c>
      <c r="N18" s="228">
        <v>-9.5</v>
      </c>
      <c r="O18" s="229">
        <v>-7.9000000000000008E-3</v>
      </c>
      <c r="P18" s="231">
        <v>1187</v>
      </c>
      <c r="Q18" s="231">
        <v>1194.8</v>
      </c>
      <c r="R18" s="228">
        <v>-7.8</v>
      </c>
      <c r="S18" s="229">
        <v>-6.4999999999999997E-3</v>
      </c>
      <c r="T18" s="231">
        <v>1181.7</v>
      </c>
      <c r="U18" s="231">
        <v>1188.0999999999999</v>
      </c>
      <c r="V18" s="228">
        <v>-6.4</v>
      </c>
      <c r="W18" s="229">
        <v>-5.4000000000000003E-3</v>
      </c>
      <c r="X18" s="228">
        <v>2.8</v>
      </c>
      <c r="Y18" s="228">
        <v>1.2</v>
      </c>
      <c r="Z18" s="228">
        <v>1.6</v>
      </c>
      <c r="AA18" s="229">
        <v>2.3999999999999998E-3</v>
      </c>
      <c r="AB18" s="228">
        <v>2.8</v>
      </c>
      <c r="AC18" s="228">
        <v>1.2</v>
      </c>
      <c r="AD18" s="228">
        <v>1.6</v>
      </c>
      <c r="AE18" s="229">
        <v>2.3999999999999998E-3</v>
      </c>
      <c r="AF18" s="228">
        <v>-2.1</v>
      </c>
      <c r="AG18" s="228">
        <v>-5.4</v>
      </c>
      <c r="AH18" s="228">
        <v>3.3</v>
      </c>
      <c r="AI18" s="229">
        <v>-1.8E-3</v>
      </c>
      <c r="AJ18" s="228">
        <v>-7.4</v>
      </c>
      <c r="AK18" s="228">
        <v>-12.1</v>
      </c>
      <c r="AL18" s="228">
        <v>4.7</v>
      </c>
      <c r="AM18" s="229">
        <v>-6.1999999999999998E-3</v>
      </c>
      <c r="AN18" s="231">
        <v>1196.04</v>
      </c>
      <c r="AO18" s="231">
        <v>1189.43</v>
      </c>
      <c r="AP18" s="228">
        <v>0</v>
      </c>
      <c r="AQ18" s="230">
        <v>14218</v>
      </c>
      <c r="AR18" s="230">
        <v>5218</v>
      </c>
      <c r="AS18" s="230">
        <v>9000</v>
      </c>
      <c r="AT18" s="229">
        <v>1.7248000000000001</v>
      </c>
      <c r="AU18" s="230">
        <v>12132</v>
      </c>
      <c r="AV18" s="230">
        <v>4548</v>
      </c>
      <c r="AW18" s="230">
        <v>7584</v>
      </c>
      <c r="AX18" s="229">
        <v>1.6675</v>
      </c>
      <c r="AY18" s="230">
        <v>1748</v>
      </c>
      <c r="AZ18" s="228">
        <v>593</v>
      </c>
      <c r="BA18" s="230">
        <v>1155</v>
      </c>
      <c r="BB18" s="229">
        <v>1.9477</v>
      </c>
      <c r="BC18" s="228">
        <v>338</v>
      </c>
      <c r="BD18" s="228">
        <v>77</v>
      </c>
      <c r="BE18" s="228">
        <v>261</v>
      </c>
      <c r="BF18" s="229">
        <v>3.3896000000000002</v>
      </c>
      <c r="BG18" s="230">
        <v>48392</v>
      </c>
      <c r="BH18" s="230">
        <v>24535</v>
      </c>
      <c r="BI18" s="230">
        <v>23857</v>
      </c>
      <c r="BJ18" s="229">
        <v>0.97240000000000004</v>
      </c>
      <c r="BK18" s="230">
        <v>19641</v>
      </c>
      <c r="BL18" s="230">
        <v>12677</v>
      </c>
      <c r="BM18" s="230">
        <v>6964</v>
      </c>
      <c r="BN18" s="229">
        <v>0.54930000000000001</v>
      </c>
      <c r="BO18" s="230">
        <v>82251</v>
      </c>
      <c r="BP18" s="230">
        <v>42430</v>
      </c>
      <c r="BQ18" s="230">
        <v>39821</v>
      </c>
      <c r="BR18" s="229">
        <v>0.9385</v>
      </c>
      <c r="BS18" s="230">
        <v>3712104</v>
      </c>
      <c r="BT18" s="230">
        <v>2550163</v>
      </c>
      <c r="BU18" s="230">
        <v>1161941</v>
      </c>
      <c r="BV18" s="229">
        <v>0.4556</v>
      </c>
      <c r="BW18" s="230">
        <v>45109850</v>
      </c>
      <c r="BX18" s="230">
        <v>43853350</v>
      </c>
      <c r="BY18" s="230">
        <v>1256500</v>
      </c>
      <c r="BZ18" s="229">
        <v>2.87E-2</v>
      </c>
      <c r="CA18" s="230">
        <v>42517300</v>
      </c>
      <c r="CB18" s="230">
        <v>41619200</v>
      </c>
      <c r="CC18" s="230">
        <v>898100</v>
      </c>
      <c r="CD18" s="229">
        <v>2.1600000000000001E-2</v>
      </c>
      <c r="CE18" s="230">
        <v>2353750</v>
      </c>
      <c r="CF18" s="230">
        <v>2093350</v>
      </c>
      <c r="CG18" s="230">
        <v>260400</v>
      </c>
      <c r="CH18" s="229">
        <v>0.1244</v>
      </c>
      <c r="CI18" s="230">
        <v>238800</v>
      </c>
      <c r="CJ18" s="230">
        <v>140800</v>
      </c>
      <c r="CK18" s="230">
        <v>98000</v>
      </c>
      <c r="CL18" s="229">
        <v>0.69599999999999995</v>
      </c>
      <c r="CM18" s="230">
        <v>24207100</v>
      </c>
      <c r="CN18" s="230">
        <v>22174950</v>
      </c>
      <c r="CO18" s="230">
        <v>2032150</v>
      </c>
      <c r="CP18" s="229">
        <v>9.1600000000000001E-2</v>
      </c>
      <c r="CQ18" s="230">
        <v>11840900</v>
      </c>
      <c r="CR18" s="230">
        <v>11713850</v>
      </c>
      <c r="CS18" s="230">
        <v>127050</v>
      </c>
      <c r="CT18" s="229">
        <v>1.0800000000000001E-2</v>
      </c>
      <c r="CU18" s="230">
        <v>81157850</v>
      </c>
      <c r="CV18" s="230">
        <v>77742150</v>
      </c>
      <c r="CW18" s="230">
        <v>3415700</v>
      </c>
      <c r="CX18" s="229">
        <v>4.3900000000000002E-2</v>
      </c>
      <c r="CY18" s="228">
        <v>29.45</v>
      </c>
      <c r="CZ18" s="228">
        <v>29.56</v>
      </c>
      <c r="DA18" s="228">
        <v>-0.11</v>
      </c>
      <c r="DB18" s="228">
        <v>-0.11</v>
      </c>
      <c r="DC18" s="228">
        <v>33.08</v>
      </c>
      <c r="DD18" s="228">
        <v>33.14</v>
      </c>
      <c r="DE18" s="228">
        <v>-3.63</v>
      </c>
      <c r="DF18" s="228">
        <v>-0.06</v>
      </c>
      <c r="DG18" s="228">
        <v>30.2</v>
      </c>
      <c r="DH18" s="228">
        <v>30.03</v>
      </c>
      <c r="DI18" s="228">
        <v>0.17</v>
      </c>
      <c r="DJ18" s="228">
        <v>0.17</v>
      </c>
      <c r="DK18" s="228">
        <v>27.59</v>
      </c>
      <c r="DL18" s="228">
        <v>28.67</v>
      </c>
      <c r="DM18" s="228">
        <v>-1.08</v>
      </c>
      <c r="DN18" s="228">
        <v>-1.08</v>
      </c>
      <c r="DO18" s="228">
        <v>0.49</v>
      </c>
      <c r="DP18" s="228">
        <v>0.53</v>
      </c>
      <c r="DQ18" s="228">
        <v>-0.04</v>
      </c>
      <c r="DR18" s="229">
        <v>-7.5499999999999998E-2</v>
      </c>
      <c r="DS18" s="231">
        <v>1300</v>
      </c>
      <c r="DT18" s="231">
        <v>1200</v>
      </c>
      <c r="DU18" s="228">
        <v>0.41</v>
      </c>
      <c r="DV18" s="228">
        <v>0.52</v>
      </c>
      <c r="DW18" s="228">
        <v>-0.11</v>
      </c>
      <c r="DX18" s="229">
        <v>-0.21149999999999999</v>
      </c>
      <c r="DY18" s="229">
        <v>5.7500000000000002E-2</v>
      </c>
      <c r="DZ18" s="230">
        <v>2234150</v>
      </c>
      <c r="EA18" s="229">
        <v>-4.1000000000000003E-3</v>
      </c>
      <c r="EB18" s="229">
        <v>5.7500000000000002E-2</v>
      </c>
      <c r="EC18" s="228">
        <v>-6.61</v>
      </c>
      <c r="ED18" s="229">
        <v>-5.4999999999999997E-3</v>
      </c>
      <c r="EE18" s="230">
        <v>1997868</v>
      </c>
      <c r="EF18" s="230">
        <v>1300417</v>
      </c>
      <c r="EG18" s="229">
        <v>0.5363</v>
      </c>
      <c r="EH18" s="229">
        <v>0.53820000000000001</v>
      </c>
      <c r="EI18" s="231">
        <v>216769.83</v>
      </c>
      <c r="EJ18" s="231">
        <v>82419.259999999995</v>
      </c>
      <c r="EK18" s="231">
        <v>59666.31</v>
      </c>
      <c r="EL18" s="231">
        <v>9566</v>
      </c>
      <c r="EM18" s="231">
        <v>358855.4</v>
      </c>
      <c r="EN18" s="231">
        <v>184818.93</v>
      </c>
      <c r="EO18" s="231">
        <v>174036.47</v>
      </c>
      <c r="EP18" s="229">
        <v>0.94169999999999998</v>
      </c>
      <c r="EQ18" s="231">
        <v>316575</v>
      </c>
      <c r="ER18" s="231">
        <v>141619</v>
      </c>
      <c r="ES18" s="231">
        <v>537525</v>
      </c>
      <c r="ET18" s="231">
        <v>145140505</v>
      </c>
      <c r="EU18" s="231">
        <v>995719</v>
      </c>
      <c r="EV18" s="231">
        <v>957894</v>
      </c>
      <c r="EW18" s="231">
        <v>37825</v>
      </c>
      <c r="EX18" s="229">
        <v>3.95E-2</v>
      </c>
      <c r="EY18" s="229">
        <v>0.55920000000000003</v>
      </c>
    </row>
    <row r="19" spans="1:155" ht="17.25" thickBot="1" x14ac:dyDescent="0.3">
      <c r="A19" s="226">
        <v>46148</v>
      </c>
      <c r="B19" s="227" t="s">
        <v>172</v>
      </c>
      <c r="C19" s="227" t="s">
        <v>224</v>
      </c>
      <c r="D19" s="228">
        <v>801.85</v>
      </c>
      <c r="E19" s="228">
        <v>775.45</v>
      </c>
      <c r="F19" s="228">
        <v>26.4</v>
      </c>
      <c r="G19" s="229">
        <v>3.4000000000000002E-2</v>
      </c>
      <c r="H19" s="228">
        <v>796.55</v>
      </c>
      <c r="I19" s="228">
        <v>772.3</v>
      </c>
      <c r="J19" s="228">
        <v>24.25</v>
      </c>
      <c r="K19" s="229">
        <v>3.1399999999999997E-2</v>
      </c>
      <c r="L19" s="228">
        <v>801.85</v>
      </c>
      <c r="M19" s="228">
        <v>775.45</v>
      </c>
      <c r="N19" s="228">
        <v>26.4</v>
      </c>
      <c r="O19" s="229">
        <v>3.4000000000000002E-2</v>
      </c>
      <c r="P19" s="228">
        <v>793.8</v>
      </c>
      <c r="Q19" s="228">
        <v>767.95</v>
      </c>
      <c r="R19" s="228">
        <v>25.85</v>
      </c>
      <c r="S19" s="229">
        <v>3.3700000000000001E-2</v>
      </c>
      <c r="T19" s="228">
        <v>797.7</v>
      </c>
      <c r="U19" s="228">
        <v>771.2</v>
      </c>
      <c r="V19" s="228">
        <v>26.5</v>
      </c>
      <c r="W19" s="229">
        <v>3.44E-2</v>
      </c>
      <c r="X19" s="228">
        <v>5.3</v>
      </c>
      <c r="Y19" s="228">
        <v>3.15</v>
      </c>
      <c r="Z19" s="228">
        <v>2.15</v>
      </c>
      <c r="AA19" s="229">
        <v>6.7000000000000002E-3</v>
      </c>
      <c r="AB19" s="228">
        <v>5.3</v>
      </c>
      <c r="AC19" s="228">
        <v>3.15</v>
      </c>
      <c r="AD19" s="228">
        <v>2.15</v>
      </c>
      <c r="AE19" s="229">
        <v>6.7000000000000002E-3</v>
      </c>
      <c r="AF19" s="228">
        <v>-2.75</v>
      </c>
      <c r="AG19" s="228">
        <v>-4.3499999999999996</v>
      </c>
      <c r="AH19" s="228">
        <v>1.6</v>
      </c>
      <c r="AI19" s="229">
        <v>-3.5000000000000001E-3</v>
      </c>
      <c r="AJ19" s="228">
        <v>1.1499999999999999</v>
      </c>
      <c r="AK19" s="228">
        <v>-1.1000000000000001</v>
      </c>
      <c r="AL19" s="228">
        <v>2.25</v>
      </c>
      <c r="AM19" s="229">
        <v>1.4E-3</v>
      </c>
      <c r="AN19" s="228">
        <v>792.15</v>
      </c>
      <c r="AO19" s="228">
        <v>782.1</v>
      </c>
      <c r="AP19" s="228">
        <v>0</v>
      </c>
      <c r="AQ19" s="230">
        <v>56649</v>
      </c>
      <c r="AR19" s="230">
        <v>41988</v>
      </c>
      <c r="AS19" s="230">
        <v>14661</v>
      </c>
      <c r="AT19" s="229">
        <v>0.34920000000000001</v>
      </c>
      <c r="AU19" s="230">
        <v>48598</v>
      </c>
      <c r="AV19" s="230">
        <v>34560</v>
      </c>
      <c r="AW19" s="230">
        <v>14038</v>
      </c>
      <c r="AX19" s="229">
        <v>0.40620000000000001</v>
      </c>
      <c r="AY19" s="230">
        <v>7063</v>
      </c>
      <c r="AZ19" s="230">
        <v>6620</v>
      </c>
      <c r="BA19" s="228">
        <v>443</v>
      </c>
      <c r="BB19" s="229">
        <v>6.6900000000000001E-2</v>
      </c>
      <c r="BC19" s="228">
        <v>988</v>
      </c>
      <c r="BD19" s="228">
        <v>808</v>
      </c>
      <c r="BE19" s="228">
        <v>180</v>
      </c>
      <c r="BF19" s="229">
        <v>0.2228</v>
      </c>
      <c r="BG19" s="230">
        <v>245997</v>
      </c>
      <c r="BH19" s="230">
        <v>130433</v>
      </c>
      <c r="BI19" s="230">
        <v>115564</v>
      </c>
      <c r="BJ19" s="229">
        <v>0.88600000000000001</v>
      </c>
      <c r="BK19" s="230">
        <v>129574</v>
      </c>
      <c r="BL19" s="230">
        <v>57095</v>
      </c>
      <c r="BM19" s="230">
        <v>72479</v>
      </c>
      <c r="BN19" s="229">
        <v>1.2694000000000001</v>
      </c>
      <c r="BO19" s="230">
        <v>432220</v>
      </c>
      <c r="BP19" s="230">
        <v>229516</v>
      </c>
      <c r="BQ19" s="230">
        <v>202704</v>
      </c>
      <c r="BR19" s="229">
        <v>0.88319999999999999</v>
      </c>
      <c r="BS19" s="230">
        <v>37375352</v>
      </c>
      <c r="BT19" s="230">
        <v>39979123</v>
      </c>
      <c r="BU19" s="230">
        <v>-2603771</v>
      </c>
      <c r="BV19" s="229">
        <v>-6.5100000000000005E-2</v>
      </c>
      <c r="BW19" s="230">
        <v>343287250</v>
      </c>
      <c r="BX19" s="230">
        <v>339950150</v>
      </c>
      <c r="BY19" s="230">
        <v>3337100</v>
      </c>
      <c r="BZ19" s="229">
        <v>9.7999999999999997E-3</v>
      </c>
      <c r="CA19" s="230">
        <v>259015900</v>
      </c>
      <c r="CB19" s="230">
        <v>256952850</v>
      </c>
      <c r="CC19" s="230">
        <v>2063050</v>
      </c>
      <c r="CD19" s="229">
        <v>8.0000000000000002E-3</v>
      </c>
      <c r="CE19" s="230">
        <v>82935600</v>
      </c>
      <c r="CF19" s="230">
        <v>81845500</v>
      </c>
      <c r="CG19" s="230">
        <v>1090100</v>
      </c>
      <c r="CH19" s="229">
        <v>1.3299999999999999E-2</v>
      </c>
      <c r="CI19" s="230">
        <v>1335750</v>
      </c>
      <c r="CJ19" s="230">
        <v>1151800</v>
      </c>
      <c r="CK19" s="230">
        <v>183950</v>
      </c>
      <c r="CL19" s="229">
        <v>0.15970000000000001</v>
      </c>
      <c r="CM19" s="230">
        <v>69743050</v>
      </c>
      <c r="CN19" s="230">
        <v>68986400</v>
      </c>
      <c r="CO19" s="230">
        <v>756650</v>
      </c>
      <c r="CP19" s="229">
        <v>1.0999999999999999E-2</v>
      </c>
      <c r="CQ19" s="230">
        <v>41580250</v>
      </c>
      <c r="CR19" s="230">
        <v>37779850</v>
      </c>
      <c r="CS19" s="230">
        <v>3800400</v>
      </c>
      <c r="CT19" s="229">
        <v>0.10059999999999999</v>
      </c>
      <c r="CU19" s="230">
        <v>454610550</v>
      </c>
      <c r="CV19" s="230">
        <v>446716400</v>
      </c>
      <c r="CW19" s="230">
        <v>7894150</v>
      </c>
      <c r="CX19" s="229">
        <v>1.77E-2</v>
      </c>
      <c r="CY19" s="228">
        <v>24.27</v>
      </c>
      <c r="CZ19" s="228">
        <v>25.54</v>
      </c>
      <c r="DA19" s="228">
        <v>-1.27</v>
      </c>
      <c r="DB19" s="228">
        <v>-1.27</v>
      </c>
      <c r="DC19" s="228">
        <v>25.46</v>
      </c>
      <c r="DD19" s="228">
        <v>25.18</v>
      </c>
      <c r="DE19" s="228">
        <v>-1.19</v>
      </c>
      <c r="DF19" s="228">
        <v>0.28000000000000003</v>
      </c>
      <c r="DG19" s="228">
        <v>24.31</v>
      </c>
      <c r="DH19" s="228">
        <v>25.67</v>
      </c>
      <c r="DI19" s="228">
        <v>-1.36</v>
      </c>
      <c r="DJ19" s="228">
        <v>-1.36</v>
      </c>
      <c r="DK19" s="228">
        <v>24.19</v>
      </c>
      <c r="DL19" s="228">
        <v>25.25</v>
      </c>
      <c r="DM19" s="228">
        <v>-1.06</v>
      </c>
      <c r="DN19" s="228">
        <v>-1.06</v>
      </c>
      <c r="DO19" s="228">
        <v>0.6</v>
      </c>
      <c r="DP19" s="228">
        <v>0.55000000000000004</v>
      </c>
      <c r="DQ19" s="228">
        <v>0.05</v>
      </c>
      <c r="DR19" s="229">
        <v>9.0899999999999995E-2</v>
      </c>
      <c r="DS19" s="228">
        <v>800</v>
      </c>
      <c r="DT19" s="228">
        <v>800</v>
      </c>
      <c r="DU19" s="228">
        <v>0.53</v>
      </c>
      <c r="DV19" s="228">
        <v>0.44</v>
      </c>
      <c r="DW19" s="228">
        <v>0.09</v>
      </c>
      <c r="DX19" s="229">
        <v>0.20449999999999999</v>
      </c>
      <c r="DY19" s="229">
        <v>0.2455</v>
      </c>
      <c r="DZ19" s="230">
        <v>82997300</v>
      </c>
      <c r="EA19" s="229">
        <v>-0.01</v>
      </c>
      <c r="EB19" s="229">
        <v>0.2455</v>
      </c>
      <c r="EC19" s="228">
        <v>-10.050000000000001</v>
      </c>
      <c r="ED19" s="229">
        <v>-1.2699999999999999E-2</v>
      </c>
      <c r="EE19" s="230">
        <v>19014361</v>
      </c>
      <c r="EF19" s="230">
        <v>18521599</v>
      </c>
      <c r="EG19" s="229">
        <v>2.6599999999999999E-2</v>
      </c>
      <c r="EH19" s="229">
        <v>0.50870000000000004</v>
      </c>
      <c r="EI19" s="231">
        <v>1117994.01</v>
      </c>
      <c r="EJ19" s="231">
        <v>554571.37</v>
      </c>
      <c r="EK19" s="231">
        <v>247157.46</v>
      </c>
      <c r="EL19" s="231">
        <v>39625</v>
      </c>
      <c r="EM19" s="231">
        <v>1919722.84</v>
      </c>
      <c r="EN19" s="231">
        <v>1008599.61</v>
      </c>
      <c r="EO19" s="231">
        <v>911123.23</v>
      </c>
      <c r="EP19" s="229">
        <v>0.90339999999999998</v>
      </c>
      <c r="EQ19" s="231">
        <v>575744</v>
      </c>
      <c r="ER19" s="231">
        <v>323864</v>
      </c>
      <c r="ES19" s="231">
        <v>2745917</v>
      </c>
      <c r="ET19" s="231">
        <v>1496665645</v>
      </c>
      <c r="EU19" s="231">
        <v>3645526</v>
      </c>
      <c r="EV19" s="231">
        <v>3492306</v>
      </c>
      <c r="EW19" s="231">
        <v>153220</v>
      </c>
      <c r="EX19" s="229">
        <v>4.3900000000000002E-2</v>
      </c>
      <c r="EY19" s="229">
        <v>0.30370000000000003</v>
      </c>
    </row>
    <row r="20" spans="1:155" ht="17.25" thickBot="1" x14ac:dyDescent="0.3">
      <c r="A20" s="226">
        <v>46148</v>
      </c>
      <c r="B20" s="227" t="s">
        <v>175</v>
      </c>
      <c r="C20" s="227" t="s">
        <v>225</v>
      </c>
      <c r="D20" s="228">
        <v>610.5</v>
      </c>
      <c r="E20" s="228">
        <v>597.45000000000005</v>
      </c>
      <c r="F20" s="228">
        <v>13.05</v>
      </c>
      <c r="G20" s="229">
        <v>2.18E-2</v>
      </c>
      <c r="H20" s="228">
        <v>606.35</v>
      </c>
      <c r="I20" s="228">
        <v>594.1</v>
      </c>
      <c r="J20" s="228">
        <v>12.25</v>
      </c>
      <c r="K20" s="229">
        <v>2.06E-2</v>
      </c>
      <c r="L20" s="228">
        <v>610.5</v>
      </c>
      <c r="M20" s="228">
        <v>597.45000000000005</v>
      </c>
      <c r="N20" s="228">
        <v>13.05</v>
      </c>
      <c r="O20" s="229">
        <v>2.18E-2</v>
      </c>
      <c r="P20" s="228">
        <v>612.70000000000005</v>
      </c>
      <c r="Q20" s="228">
        <v>599.29999999999995</v>
      </c>
      <c r="R20" s="228">
        <v>13.4</v>
      </c>
      <c r="S20" s="229">
        <v>2.24E-2</v>
      </c>
      <c r="T20" s="228">
        <v>614.9</v>
      </c>
      <c r="U20" s="228">
        <v>601.65</v>
      </c>
      <c r="V20" s="228">
        <v>13.25</v>
      </c>
      <c r="W20" s="229">
        <v>2.1999999999999999E-2</v>
      </c>
      <c r="X20" s="228">
        <v>4.1500000000000004</v>
      </c>
      <c r="Y20" s="228">
        <v>3.35</v>
      </c>
      <c r="Z20" s="228">
        <v>0.8</v>
      </c>
      <c r="AA20" s="229">
        <v>6.7999999999999996E-3</v>
      </c>
      <c r="AB20" s="228">
        <v>4.1500000000000004</v>
      </c>
      <c r="AC20" s="228">
        <v>3.35</v>
      </c>
      <c r="AD20" s="228">
        <v>0.8</v>
      </c>
      <c r="AE20" s="229">
        <v>6.7999999999999996E-3</v>
      </c>
      <c r="AF20" s="228">
        <v>6.35</v>
      </c>
      <c r="AG20" s="228">
        <v>5.2</v>
      </c>
      <c r="AH20" s="228">
        <v>1.1499999999999999</v>
      </c>
      <c r="AI20" s="229">
        <v>1.0500000000000001E-2</v>
      </c>
      <c r="AJ20" s="228">
        <v>8.5500000000000007</v>
      </c>
      <c r="AK20" s="228">
        <v>7.55</v>
      </c>
      <c r="AL20" s="228">
        <v>1</v>
      </c>
      <c r="AM20" s="229">
        <v>1.41E-2</v>
      </c>
      <c r="AN20" s="228">
        <v>605.62</v>
      </c>
      <c r="AO20" s="228">
        <v>607.12</v>
      </c>
      <c r="AP20" s="228">
        <v>0</v>
      </c>
      <c r="AQ20" s="230">
        <v>19511</v>
      </c>
      <c r="AR20" s="230">
        <v>5923</v>
      </c>
      <c r="AS20" s="230">
        <v>13588</v>
      </c>
      <c r="AT20" s="229">
        <v>2.2940999999999998</v>
      </c>
      <c r="AU20" s="230">
        <v>18583</v>
      </c>
      <c r="AV20" s="230">
        <v>5611</v>
      </c>
      <c r="AW20" s="230">
        <v>12972</v>
      </c>
      <c r="AX20" s="229">
        <v>2.3119000000000001</v>
      </c>
      <c r="AY20" s="228">
        <v>856</v>
      </c>
      <c r="AZ20" s="228">
        <v>259</v>
      </c>
      <c r="BA20" s="228">
        <v>597</v>
      </c>
      <c r="BB20" s="229">
        <v>2.3050000000000002</v>
      </c>
      <c r="BC20" s="228">
        <v>72</v>
      </c>
      <c r="BD20" s="228">
        <v>53</v>
      </c>
      <c r="BE20" s="228">
        <v>19</v>
      </c>
      <c r="BF20" s="229">
        <v>0.35849999999999999</v>
      </c>
      <c r="BG20" s="230">
        <v>45294</v>
      </c>
      <c r="BH20" s="230">
        <v>20972</v>
      </c>
      <c r="BI20" s="230">
        <v>24322</v>
      </c>
      <c r="BJ20" s="229">
        <v>1.1597</v>
      </c>
      <c r="BK20" s="230">
        <v>16314</v>
      </c>
      <c r="BL20" s="230">
        <v>8383</v>
      </c>
      <c r="BM20" s="230">
        <v>7931</v>
      </c>
      <c r="BN20" s="229">
        <v>0.94610000000000005</v>
      </c>
      <c r="BO20" s="230">
        <v>81119</v>
      </c>
      <c r="BP20" s="230">
        <v>35278</v>
      </c>
      <c r="BQ20" s="230">
        <v>45841</v>
      </c>
      <c r="BR20" s="229">
        <v>1.2994000000000001</v>
      </c>
      <c r="BS20" s="230">
        <v>44520670</v>
      </c>
      <c r="BT20" s="230">
        <v>4155089</v>
      </c>
      <c r="BU20" s="230">
        <v>40365581</v>
      </c>
      <c r="BV20" s="229">
        <v>9.7147000000000006</v>
      </c>
      <c r="BW20" s="230">
        <v>51716500</v>
      </c>
      <c r="BX20" s="230">
        <v>44319000</v>
      </c>
      <c r="BY20" s="230">
        <v>7397500</v>
      </c>
      <c r="BZ20" s="229">
        <v>0.16689999999999999</v>
      </c>
      <c r="CA20" s="230">
        <v>47158100</v>
      </c>
      <c r="CB20" s="230">
        <v>39895900</v>
      </c>
      <c r="CC20" s="230">
        <v>7262200</v>
      </c>
      <c r="CD20" s="229">
        <v>0.182</v>
      </c>
      <c r="CE20" s="230">
        <v>4458300</v>
      </c>
      <c r="CF20" s="230">
        <v>4329600</v>
      </c>
      <c r="CG20" s="230">
        <v>128700</v>
      </c>
      <c r="CH20" s="229">
        <v>2.9700000000000001E-2</v>
      </c>
      <c r="CI20" s="230">
        <v>100100</v>
      </c>
      <c r="CJ20" s="230">
        <v>93500</v>
      </c>
      <c r="CK20" s="230">
        <v>6600</v>
      </c>
      <c r="CL20" s="229">
        <v>7.0599999999999996E-2</v>
      </c>
      <c r="CM20" s="230">
        <v>17347000</v>
      </c>
      <c r="CN20" s="230">
        <v>16152400</v>
      </c>
      <c r="CO20" s="230">
        <v>1194600</v>
      </c>
      <c r="CP20" s="229">
        <v>7.3999999999999996E-2</v>
      </c>
      <c r="CQ20" s="230">
        <v>9772400</v>
      </c>
      <c r="CR20" s="230">
        <v>8934200</v>
      </c>
      <c r="CS20" s="230">
        <v>838200</v>
      </c>
      <c r="CT20" s="229">
        <v>9.3799999999999994E-2</v>
      </c>
      <c r="CU20" s="230">
        <v>78835900</v>
      </c>
      <c r="CV20" s="230">
        <v>69405600</v>
      </c>
      <c r="CW20" s="230">
        <v>9430300</v>
      </c>
      <c r="CX20" s="229">
        <v>0.13589999999999999</v>
      </c>
      <c r="CY20" s="228">
        <v>24.83</v>
      </c>
      <c r="CZ20" s="228">
        <v>25.15</v>
      </c>
      <c r="DA20" s="228">
        <v>-0.32</v>
      </c>
      <c r="DB20" s="228">
        <v>-0.32</v>
      </c>
      <c r="DC20" s="228">
        <v>27.6</v>
      </c>
      <c r="DD20" s="228">
        <v>27.53</v>
      </c>
      <c r="DE20" s="228">
        <v>-2.77</v>
      </c>
      <c r="DF20" s="228">
        <v>7.0000000000000007E-2</v>
      </c>
      <c r="DG20" s="228">
        <v>24.41</v>
      </c>
      <c r="DH20" s="228">
        <v>24.6</v>
      </c>
      <c r="DI20" s="228">
        <v>-0.19</v>
      </c>
      <c r="DJ20" s="228">
        <v>-0.19</v>
      </c>
      <c r="DK20" s="228">
        <v>26.02</v>
      </c>
      <c r="DL20" s="228">
        <v>26.54</v>
      </c>
      <c r="DM20" s="228">
        <v>-0.52</v>
      </c>
      <c r="DN20" s="228">
        <v>-0.52</v>
      </c>
      <c r="DO20" s="228">
        <v>0.56000000000000005</v>
      </c>
      <c r="DP20" s="228">
        <v>0.55000000000000004</v>
      </c>
      <c r="DQ20" s="228">
        <v>0.01</v>
      </c>
      <c r="DR20" s="229">
        <v>1.8200000000000001E-2</v>
      </c>
      <c r="DS20" s="228">
        <v>600</v>
      </c>
      <c r="DT20" s="228">
        <v>560</v>
      </c>
      <c r="DU20" s="228">
        <v>0.36</v>
      </c>
      <c r="DV20" s="228">
        <v>0.4</v>
      </c>
      <c r="DW20" s="228">
        <v>-0.04</v>
      </c>
      <c r="DX20" s="229">
        <v>-0.1</v>
      </c>
      <c r="DY20" s="229">
        <v>8.8099999999999998E-2</v>
      </c>
      <c r="DZ20" s="230">
        <v>4423100</v>
      </c>
      <c r="EA20" s="229">
        <v>3.5999999999999999E-3</v>
      </c>
      <c r="EB20" s="229">
        <v>8.8099999999999998E-2</v>
      </c>
      <c r="EC20" s="228">
        <v>1.5</v>
      </c>
      <c r="ED20" s="229">
        <v>2.5000000000000001E-3</v>
      </c>
      <c r="EE20" s="230">
        <v>32579188</v>
      </c>
      <c r="EF20" s="230">
        <v>2003961</v>
      </c>
      <c r="EG20" s="229">
        <v>15.257400000000001</v>
      </c>
      <c r="EH20" s="229">
        <v>0.73180000000000001</v>
      </c>
      <c r="EI20" s="231">
        <v>313339.36</v>
      </c>
      <c r="EJ20" s="231">
        <v>107084.71</v>
      </c>
      <c r="EK20" s="231">
        <v>129999.5</v>
      </c>
      <c r="EL20" s="231">
        <v>3900</v>
      </c>
      <c r="EM20" s="231">
        <v>550423.56999999995</v>
      </c>
      <c r="EN20" s="231">
        <v>236991.12</v>
      </c>
      <c r="EO20" s="231">
        <v>313432.45</v>
      </c>
      <c r="EP20" s="229">
        <v>1.3225</v>
      </c>
      <c r="EQ20" s="231">
        <v>109053</v>
      </c>
      <c r="ER20" s="231">
        <v>56016</v>
      </c>
      <c r="ES20" s="231">
        <v>315832</v>
      </c>
      <c r="ET20" s="231">
        <v>156090005</v>
      </c>
      <c r="EU20" s="231">
        <v>480900</v>
      </c>
      <c r="EV20" s="231">
        <v>417279</v>
      </c>
      <c r="EW20" s="231">
        <v>63621</v>
      </c>
      <c r="EX20" s="229">
        <v>0.1525</v>
      </c>
      <c r="EY20" s="229">
        <v>0.50509999999999999</v>
      </c>
    </row>
    <row r="21" spans="1:155" ht="17.25" thickBot="1" x14ac:dyDescent="0.3">
      <c r="A21" s="226">
        <v>46148</v>
      </c>
      <c r="B21" s="227" t="s">
        <v>227</v>
      </c>
      <c r="C21" s="227" t="s">
        <v>228</v>
      </c>
      <c r="D21" s="231">
        <v>1052</v>
      </c>
      <c r="E21" s="231">
        <v>1057.5</v>
      </c>
      <c r="F21" s="228">
        <v>-5.5</v>
      </c>
      <c r="G21" s="229">
        <v>-5.1999999999999998E-3</v>
      </c>
      <c r="H21" s="231">
        <v>1045.8</v>
      </c>
      <c r="I21" s="231">
        <v>1054.7</v>
      </c>
      <c r="J21" s="228">
        <v>-8.9</v>
      </c>
      <c r="K21" s="229">
        <v>-8.3999999999999995E-3</v>
      </c>
      <c r="L21" s="231">
        <v>1052</v>
      </c>
      <c r="M21" s="231">
        <v>1057.5</v>
      </c>
      <c r="N21" s="228">
        <v>-5.5</v>
      </c>
      <c r="O21" s="229">
        <v>-5.1999999999999998E-3</v>
      </c>
      <c r="P21" s="231">
        <v>1058.8</v>
      </c>
      <c r="Q21" s="231">
        <v>1064.2</v>
      </c>
      <c r="R21" s="228">
        <v>-5.4</v>
      </c>
      <c r="S21" s="229">
        <v>-5.1000000000000004E-3</v>
      </c>
      <c r="T21" s="231">
        <v>1064.2</v>
      </c>
      <c r="U21" s="231">
        <v>1068.2</v>
      </c>
      <c r="V21" s="228">
        <v>-4</v>
      </c>
      <c r="W21" s="229">
        <v>-3.7000000000000002E-3</v>
      </c>
      <c r="X21" s="228">
        <v>6.2</v>
      </c>
      <c r="Y21" s="228">
        <v>2.8</v>
      </c>
      <c r="Z21" s="228">
        <v>3.4</v>
      </c>
      <c r="AA21" s="229">
        <v>5.8999999999999999E-3</v>
      </c>
      <c r="AB21" s="228">
        <v>6.2</v>
      </c>
      <c r="AC21" s="228">
        <v>2.8</v>
      </c>
      <c r="AD21" s="228">
        <v>3.4</v>
      </c>
      <c r="AE21" s="229">
        <v>5.8999999999999999E-3</v>
      </c>
      <c r="AF21" s="228">
        <v>13</v>
      </c>
      <c r="AG21" s="228">
        <v>9.5</v>
      </c>
      <c r="AH21" s="228">
        <v>3.5</v>
      </c>
      <c r="AI21" s="229">
        <v>1.24E-2</v>
      </c>
      <c r="AJ21" s="228">
        <v>18.399999999999999</v>
      </c>
      <c r="AK21" s="228">
        <v>13.5</v>
      </c>
      <c r="AL21" s="228">
        <v>4.9000000000000004</v>
      </c>
      <c r="AM21" s="229">
        <v>1.7600000000000001E-2</v>
      </c>
      <c r="AN21" s="231">
        <v>1061.93</v>
      </c>
      <c r="AO21" s="231">
        <v>1069.1300000000001</v>
      </c>
      <c r="AP21" s="228">
        <v>0</v>
      </c>
      <c r="AQ21" s="230">
        <v>8605</v>
      </c>
      <c r="AR21" s="230">
        <v>6889</v>
      </c>
      <c r="AS21" s="230">
        <v>1716</v>
      </c>
      <c r="AT21" s="229">
        <v>0.24909999999999999</v>
      </c>
      <c r="AU21" s="230">
        <v>8125</v>
      </c>
      <c r="AV21" s="230">
        <v>6506</v>
      </c>
      <c r="AW21" s="230">
        <v>1619</v>
      </c>
      <c r="AX21" s="229">
        <v>0.24879999999999999</v>
      </c>
      <c r="AY21" s="228">
        <v>437</v>
      </c>
      <c r="AZ21" s="228">
        <v>369</v>
      </c>
      <c r="BA21" s="228">
        <v>68</v>
      </c>
      <c r="BB21" s="229">
        <v>0.18429999999999999</v>
      </c>
      <c r="BC21" s="228">
        <v>43</v>
      </c>
      <c r="BD21" s="228">
        <v>14</v>
      </c>
      <c r="BE21" s="228">
        <v>29</v>
      </c>
      <c r="BF21" s="229">
        <v>2.0714000000000001</v>
      </c>
      <c r="BG21" s="230">
        <v>14584</v>
      </c>
      <c r="BH21" s="230">
        <v>16519</v>
      </c>
      <c r="BI21" s="230">
        <v>-1935</v>
      </c>
      <c r="BJ21" s="229">
        <v>-0.1171</v>
      </c>
      <c r="BK21" s="230">
        <v>8316</v>
      </c>
      <c r="BL21" s="230">
        <v>9782</v>
      </c>
      <c r="BM21" s="230">
        <v>-1466</v>
      </c>
      <c r="BN21" s="229">
        <v>-0.14990000000000001</v>
      </c>
      <c r="BO21" s="230">
        <v>31505</v>
      </c>
      <c r="BP21" s="230">
        <v>33190</v>
      </c>
      <c r="BQ21" s="230">
        <v>-1685</v>
      </c>
      <c r="BR21" s="229">
        <v>-5.0799999999999998E-2</v>
      </c>
      <c r="BS21" s="230">
        <v>5540199</v>
      </c>
      <c r="BT21" s="230">
        <v>4771152</v>
      </c>
      <c r="BU21" s="230">
        <v>769047</v>
      </c>
      <c r="BV21" s="229">
        <v>0.16120000000000001</v>
      </c>
      <c r="BW21" s="230">
        <v>33846400</v>
      </c>
      <c r="BX21" s="230">
        <v>34343400</v>
      </c>
      <c r="BY21" s="230">
        <v>-497000</v>
      </c>
      <c r="BZ21" s="229">
        <v>-1.4500000000000001E-2</v>
      </c>
      <c r="CA21" s="230">
        <v>30384200</v>
      </c>
      <c r="CB21" s="230">
        <v>31002300</v>
      </c>
      <c r="CC21" s="230">
        <v>-618100</v>
      </c>
      <c r="CD21" s="229">
        <v>-1.9900000000000001E-2</v>
      </c>
      <c r="CE21" s="230">
        <v>3422300</v>
      </c>
      <c r="CF21" s="230">
        <v>3303300</v>
      </c>
      <c r="CG21" s="230">
        <v>119000</v>
      </c>
      <c r="CH21" s="229">
        <v>3.5999999999999997E-2</v>
      </c>
      <c r="CI21" s="230">
        <v>39900</v>
      </c>
      <c r="CJ21" s="230">
        <v>37800</v>
      </c>
      <c r="CK21" s="230">
        <v>2100</v>
      </c>
      <c r="CL21" s="229">
        <v>5.5599999999999997E-2</v>
      </c>
      <c r="CM21" s="230">
        <v>7263900</v>
      </c>
      <c r="CN21" s="230">
        <v>6509300</v>
      </c>
      <c r="CO21" s="230">
        <v>754600</v>
      </c>
      <c r="CP21" s="229">
        <v>0.1159</v>
      </c>
      <c r="CQ21" s="230">
        <v>5224100</v>
      </c>
      <c r="CR21" s="230">
        <v>5028100</v>
      </c>
      <c r="CS21" s="230">
        <v>196000</v>
      </c>
      <c r="CT21" s="229">
        <v>3.9E-2</v>
      </c>
      <c r="CU21" s="230">
        <v>46334400</v>
      </c>
      <c r="CV21" s="230">
        <v>45880800</v>
      </c>
      <c r="CW21" s="230">
        <v>453600</v>
      </c>
      <c r="CX21" s="229">
        <v>9.9000000000000008E-3</v>
      </c>
      <c r="CY21" s="228">
        <v>33</v>
      </c>
      <c r="CZ21" s="228">
        <v>32.94</v>
      </c>
      <c r="DA21" s="228">
        <v>0.06</v>
      </c>
      <c r="DB21" s="228">
        <v>0.06</v>
      </c>
      <c r="DC21" s="228">
        <v>36.06</v>
      </c>
      <c r="DD21" s="228">
        <v>36.130000000000003</v>
      </c>
      <c r="DE21" s="228">
        <v>-3.06</v>
      </c>
      <c r="DF21" s="228">
        <v>-7.0000000000000007E-2</v>
      </c>
      <c r="DG21" s="228">
        <v>32.72</v>
      </c>
      <c r="DH21" s="228">
        <v>32.299999999999997</v>
      </c>
      <c r="DI21" s="228">
        <v>0.42</v>
      </c>
      <c r="DJ21" s="228">
        <v>0.42</v>
      </c>
      <c r="DK21" s="228">
        <v>33.49</v>
      </c>
      <c r="DL21" s="228">
        <v>34.03</v>
      </c>
      <c r="DM21" s="228">
        <v>-0.54</v>
      </c>
      <c r="DN21" s="228">
        <v>-0.54</v>
      </c>
      <c r="DO21" s="228">
        <v>0.72</v>
      </c>
      <c r="DP21" s="228">
        <v>0.77</v>
      </c>
      <c r="DQ21" s="228">
        <v>-0.05</v>
      </c>
      <c r="DR21" s="229">
        <v>-6.4899999999999999E-2</v>
      </c>
      <c r="DS21" s="231">
        <v>1100</v>
      </c>
      <c r="DT21" s="231">
        <v>1050</v>
      </c>
      <c r="DU21" s="228">
        <v>0.56999999999999995</v>
      </c>
      <c r="DV21" s="228">
        <v>0.59</v>
      </c>
      <c r="DW21" s="228">
        <v>-0.02</v>
      </c>
      <c r="DX21" s="229">
        <v>-3.39E-2</v>
      </c>
      <c r="DY21" s="229">
        <v>0.1023</v>
      </c>
      <c r="DZ21" s="230">
        <v>3341100</v>
      </c>
      <c r="EA21" s="229">
        <v>6.4999999999999997E-3</v>
      </c>
      <c r="EB21" s="229">
        <v>0.1023</v>
      </c>
      <c r="EC21" s="228">
        <v>7.2</v>
      </c>
      <c r="ED21" s="229">
        <v>6.7999999999999996E-3</v>
      </c>
      <c r="EE21" s="230">
        <v>3289117</v>
      </c>
      <c r="EF21" s="230">
        <v>2610944</v>
      </c>
      <c r="EG21" s="229">
        <v>0.25969999999999999</v>
      </c>
      <c r="EH21" s="229">
        <v>0.59370000000000001</v>
      </c>
      <c r="EI21" s="231">
        <v>113504.37</v>
      </c>
      <c r="EJ21" s="231">
        <v>61577.21</v>
      </c>
      <c r="EK21" s="231">
        <v>63991.38</v>
      </c>
      <c r="EL21" s="231">
        <v>7218</v>
      </c>
      <c r="EM21" s="231">
        <v>239072.96</v>
      </c>
      <c r="EN21" s="231">
        <v>250836.81</v>
      </c>
      <c r="EO21" s="231">
        <v>-11763.85</v>
      </c>
      <c r="EP21" s="229">
        <v>-4.6899999999999997E-2</v>
      </c>
      <c r="EQ21" s="231">
        <v>79008</v>
      </c>
      <c r="ER21" s="231">
        <v>52361</v>
      </c>
      <c r="ES21" s="231">
        <v>356302</v>
      </c>
      <c r="ET21" s="231">
        <v>218611634</v>
      </c>
      <c r="EU21" s="231">
        <v>487671</v>
      </c>
      <c r="EV21" s="231">
        <v>484428</v>
      </c>
      <c r="EW21" s="231">
        <v>3243</v>
      </c>
      <c r="EX21" s="229">
        <v>6.7000000000000002E-3</v>
      </c>
      <c r="EY21" s="229">
        <v>0.21190000000000001</v>
      </c>
    </row>
    <row r="22" spans="1:155" ht="17.25" thickBot="1" x14ac:dyDescent="0.3">
      <c r="A22" s="226">
        <v>46148</v>
      </c>
      <c r="B22" s="227" t="s">
        <v>168</v>
      </c>
      <c r="C22" s="227" t="s">
        <v>230</v>
      </c>
      <c r="D22" s="231">
        <v>2326.8000000000002</v>
      </c>
      <c r="E22" s="231">
        <v>2332.1</v>
      </c>
      <c r="F22" s="228">
        <v>-5.3</v>
      </c>
      <c r="G22" s="229">
        <v>-2.3E-3</v>
      </c>
      <c r="H22" s="231">
        <v>2317.1</v>
      </c>
      <c r="I22" s="231">
        <v>2327.4</v>
      </c>
      <c r="J22" s="228">
        <v>-10.3</v>
      </c>
      <c r="K22" s="229">
        <v>-4.4000000000000003E-3</v>
      </c>
      <c r="L22" s="231">
        <v>2326.8000000000002</v>
      </c>
      <c r="M22" s="231">
        <v>2332.1</v>
      </c>
      <c r="N22" s="228">
        <v>-5.3</v>
      </c>
      <c r="O22" s="229">
        <v>-2.3E-3</v>
      </c>
      <c r="P22" s="231">
        <v>2319.1</v>
      </c>
      <c r="Q22" s="231">
        <v>2323</v>
      </c>
      <c r="R22" s="228">
        <v>-3.9</v>
      </c>
      <c r="S22" s="229">
        <v>-1.6999999999999999E-3</v>
      </c>
      <c r="T22" s="231">
        <v>2331.3000000000002</v>
      </c>
      <c r="U22" s="231">
        <v>2335.1999999999998</v>
      </c>
      <c r="V22" s="228">
        <v>-3.9</v>
      </c>
      <c r="W22" s="229">
        <v>-1.6999999999999999E-3</v>
      </c>
      <c r="X22" s="228">
        <v>9.6999999999999993</v>
      </c>
      <c r="Y22" s="228">
        <v>4.7</v>
      </c>
      <c r="Z22" s="228">
        <v>5</v>
      </c>
      <c r="AA22" s="229">
        <v>4.1999999999999997E-3</v>
      </c>
      <c r="AB22" s="228">
        <v>9.6999999999999993</v>
      </c>
      <c r="AC22" s="228">
        <v>4.7</v>
      </c>
      <c r="AD22" s="228">
        <v>5</v>
      </c>
      <c r="AE22" s="229">
        <v>4.1999999999999997E-3</v>
      </c>
      <c r="AF22" s="228">
        <v>2</v>
      </c>
      <c r="AG22" s="228">
        <v>-4.4000000000000004</v>
      </c>
      <c r="AH22" s="228">
        <v>6.4</v>
      </c>
      <c r="AI22" s="229">
        <v>8.9999999999999998E-4</v>
      </c>
      <c r="AJ22" s="228">
        <v>14.2</v>
      </c>
      <c r="AK22" s="228">
        <v>7.8</v>
      </c>
      <c r="AL22" s="228">
        <v>6.4</v>
      </c>
      <c r="AM22" s="229">
        <v>6.1000000000000004E-3</v>
      </c>
      <c r="AN22" s="231">
        <v>2313.3000000000002</v>
      </c>
      <c r="AO22" s="231">
        <v>2303.33</v>
      </c>
      <c r="AP22" s="228">
        <v>0</v>
      </c>
      <c r="AQ22" s="230">
        <v>5936</v>
      </c>
      <c r="AR22" s="230">
        <v>5989</v>
      </c>
      <c r="AS22" s="228">
        <v>-53</v>
      </c>
      <c r="AT22" s="229">
        <v>-8.8000000000000005E-3</v>
      </c>
      <c r="AU22" s="230">
        <v>5396</v>
      </c>
      <c r="AV22" s="230">
        <v>5601</v>
      </c>
      <c r="AW22" s="228">
        <v>-205</v>
      </c>
      <c r="AX22" s="229">
        <v>-3.6600000000000001E-2</v>
      </c>
      <c r="AY22" s="228">
        <v>477</v>
      </c>
      <c r="AZ22" s="228">
        <v>364</v>
      </c>
      <c r="BA22" s="228">
        <v>113</v>
      </c>
      <c r="BB22" s="229">
        <v>0.31040000000000001</v>
      </c>
      <c r="BC22" s="228">
        <v>63</v>
      </c>
      <c r="BD22" s="228">
        <v>24</v>
      </c>
      <c r="BE22" s="228">
        <v>39</v>
      </c>
      <c r="BF22" s="229">
        <v>1.625</v>
      </c>
      <c r="BG22" s="230">
        <v>32104</v>
      </c>
      <c r="BH22" s="230">
        <v>27656</v>
      </c>
      <c r="BI22" s="230">
        <v>4448</v>
      </c>
      <c r="BJ22" s="229">
        <v>0.1608</v>
      </c>
      <c r="BK22" s="230">
        <v>18430</v>
      </c>
      <c r="BL22" s="230">
        <v>15335</v>
      </c>
      <c r="BM22" s="230">
        <v>3095</v>
      </c>
      <c r="BN22" s="229">
        <v>0.20180000000000001</v>
      </c>
      <c r="BO22" s="230">
        <v>56470</v>
      </c>
      <c r="BP22" s="230">
        <v>48980</v>
      </c>
      <c r="BQ22" s="230">
        <v>7490</v>
      </c>
      <c r="BR22" s="229">
        <v>0.15290000000000001</v>
      </c>
      <c r="BS22" s="230">
        <v>1314161</v>
      </c>
      <c r="BT22" s="230">
        <v>2111453</v>
      </c>
      <c r="BU22" s="230">
        <v>-797292</v>
      </c>
      <c r="BV22" s="229">
        <v>-0.37759999999999999</v>
      </c>
      <c r="BW22" s="230">
        <v>15264000</v>
      </c>
      <c r="BX22" s="230">
        <v>15045600</v>
      </c>
      <c r="BY22" s="230">
        <v>218400</v>
      </c>
      <c r="BZ22" s="229">
        <v>1.4500000000000001E-2</v>
      </c>
      <c r="CA22" s="230">
        <v>14522400</v>
      </c>
      <c r="CB22" s="230">
        <v>14362500</v>
      </c>
      <c r="CC22" s="230">
        <v>159900</v>
      </c>
      <c r="CD22" s="229">
        <v>1.11E-2</v>
      </c>
      <c r="CE22" s="230">
        <v>701100</v>
      </c>
      <c r="CF22" s="230">
        <v>653700</v>
      </c>
      <c r="CG22" s="230">
        <v>47400</v>
      </c>
      <c r="CH22" s="229">
        <v>7.2499999999999995E-2</v>
      </c>
      <c r="CI22" s="230">
        <v>40500</v>
      </c>
      <c r="CJ22" s="230">
        <v>29400</v>
      </c>
      <c r="CK22" s="230">
        <v>11100</v>
      </c>
      <c r="CL22" s="229">
        <v>0.37759999999999999</v>
      </c>
      <c r="CM22" s="230">
        <v>7978200</v>
      </c>
      <c r="CN22" s="230">
        <v>7531800</v>
      </c>
      <c r="CO22" s="230">
        <v>446400</v>
      </c>
      <c r="CP22" s="229">
        <v>5.9299999999999999E-2</v>
      </c>
      <c r="CQ22" s="230">
        <v>4189500</v>
      </c>
      <c r="CR22" s="230">
        <v>4272000</v>
      </c>
      <c r="CS22" s="230">
        <v>-82500</v>
      </c>
      <c r="CT22" s="229">
        <v>-1.9300000000000001E-2</v>
      </c>
      <c r="CU22" s="230">
        <v>27431700</v>
      </c>
      <c r="CV22" s="230">
        <v>26849400</v>
      </c>
      <c r="CW22" s="230">
        <v>582300</v>
      </c>
      <c r="CX22" s="229">
        <v>2.1700000000000001E-2</v>
      </c>
      <c r="CY22" s="228">
        <v>21.81</v>
      </c>
      <c r="CZ22" s="228">
        <v>22.42</v>
      </c>
      <c r="DA22" s="228">
        <v>-0.61</v>
      </c>
      <c r="DB22" s="228">
        <v>-0.61</v>
      </c>
      <c r="DC22" s="228">
        <v>24.71</v>
      </c>
      <c r="DD22" s="228">
        <v>24.76</v>
      </c>
      <c r="DE22" s="228">
        <v>-2.9</v>
      </c>
      <c r="DF22" s="228">
        <v>-0.05</v>
      </c>
      <c r="DG22" s="228">
        <v>21.56</v>
      </c>
      <c r="DH22" s="228">
        <v>21.78</v>
      </c>
      <c r="DI22" s="228">
        <v>-0.22</v>
      </c>
      <c r="DJ22" s="228">
        <v>-0.22</v>
      </c>
      <c r="DK22" s="228">
        <v>22.26</v>
      </c>
      <c r="DL22" s="228">
        <v>23.59</v>
      </c>
      <c r="DM22" s="228">
        <v>-1.33</v>
      </c>
      <c r="DN22" s="228">
        <v>-1.33</v>
      </c>
      <c r="DO22" s="228">
        <v>0.53</v>
      </c>
      <c r="DP22" s="228">
        <v>0.56999999999999995</v>
      </c>
      <c r="DQ22" s="228">
        <v>-0.04</v>
      </c>
      <c r="DR22" s="229">
        <v>-7.0199999999999999E-2</v>
      </c>
      <c r="DS22" s="231">
        <v>2400</v>
      </c>
      <c r="DT22" s="231">
        <v>2300</v>
      </c>
      <c r="DU22" s="228">
        <v>0.56999999999999995</v>
      </c>
      <c r="DV22" s="228">
        <v>0.55000000000000004</v>
      </c>
      <c r="DW22" s="228">
        <v>0.02</v>
      </c>
      <c r="DX22" s="229">
        <v>3.6400000000000002E-2</v>
      </c>
      <c r="DY22" s="229">
        <v>4.8599999999999997E-2</v>
      </c>
      <c r="DZ22" s="230">
        <v>683100</v>
      </c>
      <c r="EA22" s="229">
        <v>-3.3E-3</v>
      </c>
      <c r="EB22" s="229">
        <v>4.8599999999999997E-2</v>
      </c>
      <c r="EC22" s="228">
        <v>-9.9700000000000006</v>
      </c>
      <c r="ED22" s="229">
        <v>-4.3E-3</v>
      </c>
      <c r="EE22" s="230">
        <v>626735</v>
      </c>
      <c r="EF22" s="230">
        <v>1329700</v>
      </c>
      <c r="EG22" s="229">
        <v>-0.52869999999999995</v>
      </c>
      <c r="EH22" s="229">
        <v>0.47689999999999999</v>
      </c>
      <c r="EI22" s="231">
        <v>232521.14</v>
      </c>
      <c r="EJ22" s="231">
        <v>126285.77</v>
      </c>
      <c r="EK22" s="231">
        <v>41181.85</v>
      </c>
      <c r="EL22" s="231">
        <v>15430</v>
      </c>
      <c r="EM22" s="231">
        <v>399988.76</v>
      </c>
      <c r="EN22" s="231">
        <v>347460.19</v>
      </c>
      <c r="EO22" s="231">
        <v>52528.57</v>
      </c>
      <c r="EP22" s="229">
        <v>0.1512</v>
      </c>
      <c r="EQ22" s="231">
        <v>192439</v>
      </c>
      <c r="ER22" s="231">
        <v>93314</v>
      </c>
      <c r="ES22" s="231">
        <v>355111</v>
      </c>
      <c r="ET22" s="231">
        <v>89517840</v>
      </c>
      <c r="EU22" s="231">
        <v>640863</v>
      </c>
      <c r="EV22" s="231">
        <v>628350</v>
      </c>
      <c r="EW22" s="231">
        <v>12513</v>
      </c>
      <c r="EX22" s="229">
        <v>1.9900000000000001E-2</v>
      </c>
      <c r="EY22" s="229">
        <v>0.30640000000000001</v>
      </c>
    </row>
    <row r="23" spans="1:155" ht="17.25" thickBot="1" x14ac:dyDescent="0.3">
      <c r="A23" s="226">
        <v>46148</v>
      </c>
      <c r="B23" s="227" t="s">
        <v>172</v>
      </c>
      <c r="C23" s="227" t="s">
        <v>232</v>
      </c>
      <c r="D23" s="231">
        <v>1287.5999999999999</v>
      </c>
      <c r="E23" s="231">
        <v>1258.5</v>
      </c>
      <c r="F23" s="228">
        <v>29.1</v>
      </c>
      <c r="G23" s="229">
        <v>2.3099999999999999E-2</v>
      </c>
      <c r="H23" s="231">
        <v>1279.5</v>
      </c>
      <c r="I23" s="231">
        <v>1251.3</v>
      </c>
      <c r="J23" s="228">
        <v>28.2</v>
      </c>
      <c r="K23" s="229">
        <v>2.2499999999999999E-2</v>
      </c>
      <c r="L23" s="231">
        <v>1287.5999999999999</v>
      </c>
      <c r="M23" s="231">
        <v>1258.5</v>
      </c>
      <c r="N23" s="228">
        <v>29.1</v>
      </c>
      <c r="O23" s="229">
        <v>2.3099999999999999E-2</v>
      </c>
      <c r="P23" s="231">
        <v>1294.5999999999999</v>
      </c>
      <c r="Q23" s="231">
        <v>1266.4000000000001</v>
      </c>
      <c r="R23" s="228">
        <v>28.2</v>
      </c>
      <c r="S23" s="229">
        <v>2.23E-2</v>
      </c>
      <c r="T23" s="231">
        <v>1300.0999999999999</v>
      </c>
      <c r="U23" s="231">
        <v>1272.0999999999999</v>
      </c>
      <c r="V23" s="228">
        <v>28</v>
      </c>
      <c r="W23" s="229">
        <v>2.1999999999999999E-2</v>
      </c>
      <c r="X23" s="228">
        <v>8.1</v>
      </c>
      <c r="Y23" s="228">
        <v>7.2</v>
      </c>
      <c r="Z23" s="228">
        <v>0.9</v>
      </c>
      <c r="AA23" s="229">
        <v>6.3E-3</v>
      </c>
      <c r="AB23" s="228">
        <v>8.1</v>
      </c>
      <c r="AC23" s="228">
        <v>7.2</v>
      </c>
      <c r="AD23" s="228">
        <v>0.9</v>
      </c>
      <c r="AE23" s="229">
        <v>6.3E-3</v>
      </c>
      <c r="AF23" s="228">
        <v>15.1</v>
      </c>
      <c r="AG23" s="228">
        <v>15.1</v>
      </c>
      <c r="AH23" s="228">
        <v>0</v>
      </c>
      <c r="AI23" s="229">
        <v>1.18E-2</v>
      </c>
      <c r="AJ23" s="228">
        <v>20.6</v>
      </c>
      <c r="AK23" s="228">
        <v>20.8</v>
      </c>
      <c r="AL23" s="228">
        <v>-0.2</v>
      </c>
      <c r="AM23" s="229">
        <v>1.61E-2</v>
      </c>
      <c r="AN23" s="231">
        <v>1276.31</v>
      </c>
      <c r="AO23" s="231">
        <v>1278.54</v>
      </c>
      <c r="AP23" s="228">
        <v>0</v>
      </c>
      <c r="AQ23" s="230">
        <v>32263</v>
      </c>
      <c r="AR23" s="230">
        <v>22156</v>
      </c>
      <c r="AS23" s="230">
        <v>10107</v>
      </c>
      <c r="AT23" s="229">
        <v>0.45619999999999999</v>
      </c>
      <c r="AU23" s="230">
        <v>29747</v>
      </c>
      <c r="AV23" s="230">
        <v>18430</v>
      </c>
      <c r="AW23" s="230">
        <v>11317</v>
      </c>
      <c r="AX23" s="229">
        <v>0.61409999999999998</v>
      </c>
      <c r="AY23" s="230">
        <v>2310</v>
      </c>
      <c r="AZ23" s="230">
        <v>3543</v>
      </c>
      <c r="BA23" s="230">
        <v>-1233</v>
      </c>
      <c r="BB23" s="229">
        <v>-0.34799999999999998</v>
      </c>
      <c r="BC23" s="228">
        <v>206</v>
      </c>
      <c r="BD23" s="228">
        <v>183</v>
      </c>
      <c r="BE23" s="228">
        <v>23</v>
      </c>
      <c r="BF23" s="229">
        <v>0.12570000000000001</v>
      </c>
      <c r="BG23" s="230">
        <v>73023</v>
      </c>
      <c r="BH23" s="230">
        <v>50908</v>
      </c>
      <c r="BI23" s="230">
        <v>22115</v>
      </c>
      <c r="BJ23" s="229">
        <v>0.43440000000000001</v>
      </c>
      <c r="BK23" s="230">
        <v>43082</v>
      </c>
      <c r="BL23" s="230">
        <v>27928</v>
      </c>
      <c r="BM23" s="230">
        <v>15154</v>
      </c>
      <c r="BN23" s="229">
        <v>0.54259999999999997</v>
      </c>
      <c r="BO23" s="230">
        <v>148368</v>
      </c>
      <c r="BP23" s="230">
        <v>100992</v>
      </c>
      <c r="BQ23" s="230">
        <v>47376</v>
      </c>
      <c r="BR23" s="229">
        <v>0.46910000000000002</v>
      </c>
      <c r="BS23" s="230">
        <v>23263829</v>
      </c>
      <c r="BT23" s="230">
        <v>24769974</v>
      </c>
      <c r="BU23" s="230">
        <v>-1506145</v>
      </c>
      <c r="BV23" s="229">
        <v>-6.08E-2</v>
      </c>
      <c r="BW23" s="230">
        <v>151484900</v>
      </c>
      <c r="BX23" s="230">
        <v>146106800</v>
      </c>
      <c r="BY23" s="230">
        <v>5378100</v>
      </c>
      <c r="BZ23" s="229">
        <v>3.6799999999999999E-2</v>
      </c>
      <c r="CA23" s="230">
        <v>121345700</v>
      </c>
      <c r="CB23" s="230">
        <v>117162500</v>
      </c>
      <c r="CC23" s="230">
        <v>4183200</v>
      </c>
      <c r="CD23" s="229">
        <v>3.5700000000000003E-2</v>
      </c>
      <c r="CE23" s="230">
        <v>29809500</v>
      </c>
      <c r="CF23" s="230">
        <v>28654500</v>
      </c>
      <c r="CG23" s="230">
        <v>1155000</v>
      </c>
      <c r="CH23" s="229">
        <v>4.0300000000000002E-2</v>
      </c>
      <c r="CI23" s="230">
        <v>329700</v>
      </c>
      <c r="CJ23" s="230">
        <v>289800</v>
      </c>
      <c r="CK23" s="230">
        <v>39900</v>
      </c>
      <c r="CL23" s="229">
        <v>0.13769999999999999</v>
      </c>
      <c r="CM23" s="230">
        <v>35566300</v>
      </c>
      <c r="CN23" s="230">
        <v>36150100</v>
      </c>
      <c r="CO23" s="230">
        <v>-583800</v>
      </c>
      <c r="CP23" s="229">
        <v>-1.61E-2</v>
      </c>
      <c r="CQ23" s="230">
        <v>21476700</v>
      </c>
      <c r="CR23" s="230">
        <v>21029400</v>
      </c>
      <c r="CS23" s="230">
        <v>447300</v>
      </c>
      <c r="CT23" s="229">
        <v>2.1299999999999999E-2</v>
      </c>
      <c r="CU23" s="230">
        <v>208527900</v>
      </c>
      <c r="CV23" s="230">
        <v>203286300</v>
      </c>
      <c r="CW23" s="230">
        <v>5241600</v>
      </c>
      <c r="CX23" s="229">
        <v>2.58E-2</v>
      </c>
      <c r="CY23" s="228">
        <v>21.19</v>
      </c>
      <c r="CZ23" s="228">
        <v>22.44</v>
      </c>
      <c r="DA23" s="228">
        <v>-1.25</v>
      </c>
      <c r="DB23" s="228">
        <v>-1.25</v>
      </c>
      <c r="DC23" s="228">
        <v>24.19</v>
      </c>
      <c r="DD23" s="228">
        <v>24.07</v>
      </c>
      <c r="DE23" s="228">
        <v>-3</v>
      </c>
      <c r="DF23" s="228">
        <v>0.12</v>
      </c>
      <c r="DG23" s="228">
        <v>21.24</v>
      </c>
      <c r="DH23" s="228">
        <v>22.55</v>
      </c>
      <c r="DI23" s="228">
        <v>-1.31</v>
      </c>
      <c r="DJ23" s="228">
        <v>-1.31</v>
      </c>
      <c r="DK23" s="228">
        <v>21.11</v>
      </c>
      <c r="DL23" s="228">
        <v>22.24</v>
      </c>
      <c r="DM23" s="228">
        <v>-1.1299999999999999</v>
      </c>
      <c r="DN23" s="228">
        <v>-1.1299999999999999</v>
      </c>
      <c r="DO23" s="228">
        <v>0.6</v>
      </c>
      <c r="DP23" s="228">
        <v>0.57999999999999996</v>
      </c>
      <c r="DQ23" s="228">
        <v>0.02</v>
      </c>
      <c r="DR23" s="229">
        <v>3.4500000000000003E-2</v>
      </c>
      <c r="DS23" s="231">
        <v>1300</v>
      </c>
      <c r="DT23" s="231">
        <v>1300</v>
      </c>
      <c r="DU23" s="228">
        <v>0.59</v>
      </c>
      <c r="DV23" s="228">
        <v>0.55000000000000004</v>
      </c>
      <c r="DW23" s="228">
        <v>0.04</v>
      </c>
      <c r="DX23" s="229">
        <v>7.2700000000000001E-2</v>
      </c>
      <c r="DY23" s="229">
        <v>0.19900000000000001</v>
      </c>
      <c r="DZ23" s="230">
        <v>28944300</v>
      </c>
      <c r="EA23" s="229">
        <v>5.4000000000000003E-3</v>
      </c>
      <c r="EB23" s="229">
        <v>0.19900000000000001</v>
      </c>
      <c r="EC23" s="228">
        <v>2.23</v>
      </c>
      <c r="ED23" s="229">
        <v>1.6999999999999999E-3</v>
      </c>
      <c r="EE23" s="230">
        <v>14542634</v>
      </c>
      <c r="EF23" s="230">
        <v>12647914</v>
      </c>
      <c r="EG23" s="229">
        <v>0.14979999999999999</v>
      </c>
      <c r="EH23" s="229">
        <v>0.62509999999999999</v>
      </c>
      <c r="EI23" s="231">
        <v>678842.35</v>
      </c>
      <c r="EJ23" s="231">
        <v>381071.99</v>
      </c>
      <c r="EK23" s="231">
        <v>288295.49</v>
      </c>
      <c r="EL23" s="231">
        <v>18314</v>
      </c>
      <c r="EM23" s="231">
        <v>1348209.83</v>
      </c>
      <c r="EN23" s="231">
        <v>911863.7</v>
      </c>
      <c r="EO23" s="231">
        <v>436346.13</v>
      </c>
      <c r="EP23" s="229">
        <v>0.47849999999999998</v>
      </c>
      <c r="EQ23" s="231">
        <v>480621</v>
      </c>
      <c r="ER23" s="231">
        <v>274976</v>
      </c>
      <c r="ES23" s="231">
        <v>1952647</v>
      </c>
      <c r="ET23" s="231">
        <v>668616020</v>
      </c>
      <c r="EU23" s="231">
        <v>2708245</v>
      </c>
      <c r="EV23" s="231">
        <v>2598370</v>
      </c>
      <c r="EW23" s="231">
        <v>109875</v>
      </c>
      <c r="EX23" s="229">
        <v>4.2299999999999997E-2</v>
      </c>
      <c r="EY23" s="229">
        <v>0.31190000000000001</v>
      </c>
    </row>
    <row r="24" spans="1:155" ht="17.25" thickBot="1" x14ac:dyDescent="0.3">
      <c r="A24" s="226">
        <v>46148</v>
      </c>
      <c r="B24" s="227" t="s">
        <v>215</v>
      </c>
      <c r="C24" s="227" t="s">
        <v>238</v>
      </c>
      <c r="D24" s="231">
        <v>4541.8999999999996</v>
      </c>
      <c r="E24" s="231">
        <v>4262.7</v>
      </c>
      <c r="F24" s="228">
        <v>279.2</v>
      </c>
      <c r="G24" s="229">
        <v>6.5500000000000003E-2</v>
      </c>
      <c r="H24" s="231">
        <v>4520.2</v>
      </c>
      <c r="I24" s="231">
        <v>4238.3999999999996</v>
      </c>
      <c r="J24" s="228">
        <v>281.8</v>
      </c>
      <c r="K24" s="229">
        <v>6.6500000000000004E-2</v>
      </c>
      <c r="L24" s="231">
        <v>4541.8999999999996</v>
      </c>
      <c r="M24" s="231">
        <v>4262.7</v>
      </c>
      <c r="N24" s="228">
        <v>279.2</v>
      </c>
      <c r="O24" s="229">
        <v>6.5500000000000003E-2</v>
      </c>
      <c r="P24" s="231">
        <v>4571.2</v>
      </c>
      <c r="Q24" s="231">
        <v>4290.1000000000004</v>
      </c>
      <c r="R24" s="228">
        <v>281.10000000000002</v>
      </c>
      <c r="S24" s="229">
        <v>6.5500000000000003E-2</v>
      </c>
      <c r="T24" s="231">
        <v>4579.3</v>
      </c>
      <c r="U24" s="231">
        <v>4304.7</v>
      </c>
      <c r="V24" s="228">
        <v>274.60000000000002</v>
      </c>
      <c r="W24" s="229">
        <v>6.3799999999999996E-2</v>
      </c>
      <c r="X24" s="228">
        <v>21.7</v>
      </c>
      <c r="Y24" s="228">
        <v>24.3</v>
      </c>
      <c r="Z24" s="228">
        <v>-2.6</v>
      </c>
      <c r="AA24" s="229">
        <v>4.7999999999999996E-3</v>
      </c>
      <c r="AB24" s="228">
        <v>21.7</v>
      </c>
      <c r="AC24" s="228">
        <v>24.3</v>
      </c>
      <c r="AD24" s="228">
        <v>-2.6</v>
      </c>
      <c r="AE24" s="229">
        <v>4.7999999999999996E-3</v>
      </c>
      <c r="AF24" s="228">
        <v>51</v>
      </c>
      <c r="AG24" s="228">
        <v>51.7</v>
      </c>
      <c r="AH24" s="228">
        <v>-0.7</v>
      </c>
      <c r="AI24" s="229">
        <v>1.1299999999999999E-2</v>
      </c>
      <c r="AJ24" s="228">
        <v>59.1</v>
      </c>
      <c r="AK24" s="228">
        <v>66.3</v>
      </c>
      <c r="AL24" s="228">
        <v>-7.2</v>
      </c>
      <c r="AM24" s="229">
        <v>1.3100000000000001E-2</v>
      </c>
      <c r="AN24" s="231">
        <v>4472.3</v>
      </c>
      <c r="AO24" s="231">
        <v>4473.0200000000004</v>
      </c>
      <c r="AP24" s="228">
        <v>0</v>
      </c>
      <c r="AQ24" s="230">
        <v>20420</v>
      </c>
      <c r="AR24" s="230">
        <v>7371</v>
      </c>
      <c r="AS24" s="230">
        <v>13049</v>
      </c>
      <c r="AT24" s="229">
        <v>1.7703</v>
      </c>
      <c r="AU24" s="230">
        <v>19461</v>
      </c>
      <c r="AV24" s="230">
        <v>7057</v>
      </c>
      <c r="AW24" s="230">
        <v>12404</v>
      </c>
      <c r="AX24" s="229">
        <v>1.7577</v>
      </c>
      <c r="AY24" s="228">
        <v>819</v>
      </c>
      <c r="AZ24" s="228">
        <v>287</v>
      </c>
      <c r="BA24" s="228">
        <v>532</v>
      </c>
      <c r="BB24" s="229">
        <v>1.8536999999999999</v>
      </c>
      <c r="BC24" s="228">
        <v>140</v>
      </c>
      <c r="BD24" s="228">
        <v>27</v>
      </c>
      <c r="BE24" s="228">
        <v>113</v>
      </c>
      <c r="BF24" s="229">
        <v>4.1852</v>
      </c>
      <c r="BG24" s="230">
        <v>93665</v>
      </c>
      <c r="BH24" s="230">
        <v>27824</v>
      </c>
      <c r="BI24" s="230">
        <v>65841</v>
      </c>
      <c r="BJ24" s="229">
        <v>2.3662999999999998</v>
      </c>
      <c r="BK24" s="230">
        <v>40898</v>
      </c>
      <c r="BL24" s="230">
        <v>19246</v>
      </c>
      <c r="BM24" s="230">
        <v>21652</v>
      </c>
      <c r="BN24" s="229">
        <v>1.125</v>
      </c>
      <c r="BO24" s="230">
        <v>154983</v>
      </c>
      <c r="BP24" s="230">
        <v>54441</v>
      </c>
      <c r="BQ24" s="230">
        <v>100542</v>
      </c>
      <c r="BR24" s="229">
        <v>1.8468</v>
      </c>
      <c r="BS24" s="230">
        <v>2811417</v>
      </c>
      <c r="BT24" s="230">
        <v>1281319</v>
      </c>
      <c r="BU24" s="230">
        <v>1530098</v>
      </c>
      <c r="BV24" s="229">
        <v>1.1941999999999999</v>
      </c>
      <c r="BW24" s="230">
        <v>7764000</v>
      </c>
      <c r="BX24" s="230">
        <v>7917000</v>
      </c>
      <c r="BY24" s="230">
        <v>-153000</v>
      </c>
      <c r="BZ24" s="229">
        <v>-1.9300000000000001E-2</v>
      </c>
      <c r="CA24" s="230">
        <v>7493700</v>
      </c>
      <c r="CB24" s="230">
        <v>7647450</v>
      </c>
      <c r="CC24" s="230">
        <v>-153750</v>
      </c>
      <c r="CD24" s="229">
        <v>-2.01E-2</v>
      </c>
      <c r="CE24" s="230">
        <v>252000</v>
      </c>
      <c r="CF24" s="230">
        <v>250950</v>
      </c>
      <c r="CG24" s="230">
        <v>1050</v>
      </c>
      <c r="CH24" s="229">
        <v>4.1999999999999997E-3</v>
      </c>
      <c r="CI24" s="230">
        <v>18300</v>
      </c>
      <c r="CJ24" s="230">
        <v>18600</v>
      </c>
      <c r="CK24" s="228">
        <v>-300</v>
      </c>
      <c r="CL24" s="229">
        <v>-1.61E-2</v>
      </c>
      <c r="CM24" s="230">
        <v>4299450</v>
      </c>
      <c r="CN24" s="230">
        <v>3756450</v>
      </c>
      <c r="CO24" s="230">
        <v>543000</v>
      </c>
      <c r="CP24" s="229">
        <v>0.14460000000000001</v>
      </c>
      <c r="CQ24" s="230">
        <v>2577600</v>
      </c>
      <c r="CR24" s="230">
        <v>2083500</v>
      </c>
      <c r="CS24" s="230">
        <v>494100</v>
      </c>
      <c r="CT24" s="229">
        <v>0.23710000000000001</v>
      </c>
      <c r="CU24" s="230">
        <v>14641050</v>
      </c>
      <c r="CV24" s="230">
        <v>13756950</v>
      </c>
      <c r="CW24" s="230">
        <v>884100</v>
      </c>
      <c r="CX24" s="229">
        <v>6.4299999999999996E-2</v>
      </c>
      <c r="CY24" s="228">
        <v>36.47</v>
      </c>
      <c r="CZ24" s="228">
        <v>38.97</v>
      </c>
      <c r="DA24" s="228">
        <v>-2.5</v>
      </c>
      <c r="DB24" s="228">
        <v>-2.5</v>
      </c>
      <c r="DC24" s="228">
        <v>40.47</v>
      </c>
      <c r="DD24" s="228">
        <v>39.619999999999997</v>
      </c>
      <c r="DE24" s="228">
        <v>-4</v>
      </c>
      <c r="DF24" s="228">
        <v>0.85</v>
      </c>
      <c r="DG24" s="228">
        <v>35.61</v>
      </c>
      <c r="DH24" s="228">
        <v>38.270000000000003</v>
      </c>
      <c r="DI24" s="228">
        <v>-2.66</v>
      </c>
      <c r="DJ24" s="228">
        <v>-2.66</v>
      </c>
      <c r="DK24" s="228">
        <v>38.450000000000003</v>
      </c>
      <c r="DL24" s="228">
        <v>39.979999999999997</v>
      </c>
      <c r="DM24" s="228">
        <v>-1.53</v>
      </c>
      <c r="DN24" s="228">
        <v>-1.53</v>
      </c>
      <c r="DO24" s="228">
        <v>0.6</v>
      </c>
      <c r="DP24" s="228">
        <v>0.55000000000000004</v>
      </c>
      <c r="DQ24" s="228">
        <v>0.05</v>
      </c>
      <c r="DR24" s="229">
        <v>9.0899999999999995E-2</v>
      </c>
      <c r="DS24" s="231">
        <v>4500</v>
      </c>
      <c r="DT24" s="231">
        <v>4200</v>
      </c>
      <c r="DU24" s="228">
        <v>0.44</v>
      </c>
      <c r="DV24" s="228">
        <v>0.69</v>
      </c>
      <c r="DW24" s="228">
        <v>-0.25</v>
      </c>
      <c r="DX24" s="229">
        <v>-0.36230000000000001</v>
      </c>
      <c r="DY24" s="229">
        <v>3.4799999999999998E-2</v>
      </c>
      <c r="DZ24" s="230">
        <v>269550</v>
      </c>
      <c r="EA24" s="229">
        <v>6.4999999999999997E-3</v>
      </c>
      <c r="EB24" s="229">
        <v>3.4799999999999998E-2</v>
      </c>
      <c r="EC24" s="228">
        <v>0.72</v>
      </c>
      <c r="ED24" s="229">
        <v>2.0000000000000001E-4</v>
      </c>
      <c r="EE24" s="230">
        <v>1206369</v>
      </c>
      <c r="EF24" s="230">
        <v>691696</v>
      </c>
      <c r="EG24" s="229">
        <v>0.74409999999999998</v>
      </c>
      <c r="EH24" s="229">
        <v>0.42909999999999998</v>
      </c>
      <c r="EI24" s="231">
        <v>664050.34</v>
      </c>
      <c r="EJ24" s="231">
        <v>266860.94</v>
      </c>
      <c r="EK24" s="231">
        <v>136992.59</v>
      </c>
      <c r="EL24" s="231">
        <v>9791</v>
      </c>
      <c r="EM24" s="231">
        <v>1067903.8700000001</v>
      </c>
      <c r="EN24" s="231">
        <v>363268.06</v>
      </c>
      <c r="EO24" s="231">
        <v>704635.81</v>
      </c>
      <c r="EP24" s="229">
        <v>1.9397</v>
      </c>
      <c r="EQ24" s="231">
        <v>200016</v>
      </c>
      <c r="ER24" s="231">
        <v>110195</v>
      </c>
      <c r="ES24" s="231">
        <v>352714</v>
      </c>
      <c r="ET24" s="231">
        <v>33878797</v>
      </c>
      <c r="EU24" s="231">
        <v>662925</v>
      </c>
      <c r="EV24" s="231">
        <v>599912</v>
      </c>
      <c r="EW24" s="231">
        <v>63013</v>
      </c>
      <c r="EX24" s="229">
        <v>0.105</v>
      </c>
      <c r="EY24" s="229">
        <v>0.43219999999999997</v>
      </c>
    </row>
    <row r="25" spans="1:155" ht="17.25" thickBot="1" x14ac:dyDescent="0.3">
      <c r="A25" s="226">
        <v>46148</v>
      </c>
      <c r="B25" s="227" t="s">
        <v>221</v>
      </c>
      <c r="C25" s="227" t="s">
        <v>240</v>
      </c>
      <c r="D25" s="231">
        <v>1171</v>
      </c>
      <c r="E25" s="231">
        <v>1178.3</v>
      </c>
      <c r="F25" s="228">
        <v>-7.3</v>
      </c>
      <c r="G25" s="229">
        <v>-6.1999999999999998E-3</v>
      </c>
      <c r="H25" s="231">
        <v>1167.2</v>
      </c>
      <c r="I25" s="231">
        <v>1178.0999999999999</v>
      </c>
      <c r="J25" s="228">
        <v>-10.9</v>
      </c>
      <c r="K25" s="229">
        <v>-9.2999999999999992E-3</v>
      </c>
      <c r="L25" s="231">
        <v>1171</v>
      </c>
      <c r="M25" s="231">
        <v>1178.3</v>
      </c>
      <c r="N25" s="228">
        <v>-7.3</v>
      </c>
      <c r="O25" s="229">
        <v>-6.1999999999999998E-3</v>
      </c>
      <c r="P25" s="231">
        <v>1172.4000000000001</v>
      </c>
      <c r="Q25" s="231">
        <v>1178.8</v>
      </c>
      <c r="R25" s="228">
        <v>-6.4</v>
      </c>
      <c r="S25" s="229">
        <v>-5.4000000000000003E-3</v>
      </c>
      <c r="T25" s="231">
        <v>1176</v>
      </c>
      <c r="U25" s="231">
        <v>1181.5999999999999</v>
      </c>
      <c r="V25" s="228">
        <v>-5.6</v>
      </c>
      <c r="W25" s="229">
        <v>-4.7000000000000002E-3</v>
      </c>
      <c r="X25" s="228">
        <v>3.8</v>
      </c>
      <c r="Y25" s="228">
        <v>0.2</v>
      </c>
      <c r="Z25" s="228">
        <v>3.6</v>
      </c>
      <c r="AA25" s="229">
        <v>3.3E-3</v>
      </c>
      <c r="AB25" s="228">
        <v>3.8</v>
      </c>
      <c r="AC25" s="228">
        <v>0.2</v>
      </c>
      <c r="AD25" s="228">
        <v>3.6</v>
      </c>
      <c r="AE25" s="229">
        <v>3.3E-3</v>
      </c>
      <c r="AF25" s="228">
        <v>5.2</v>
      </c>
      <c r="AG25" s="228">
        <v>0.7</v>
      </c>
      <c r="AH25" s="228">
        <v>4.5</v>
      </c>
      <c r="AI25" s="229">
        <v>4.4999999999999997E-3</v>
      </c>
      <c r="AJ25" s="228">
        <v>8.8000000000000007</v>
      </c>
      <c r="AK25" s="228">
        <v>3.5</v>
      </c>
      <c r="AL25" s="228">
        <v>5.3</v>
      </c>
      <c r="AM25" s="229">
        <v>7.4999999999999997E-3</v>
      </c>
      <c r="AN25" s="231">
        <v>1174.18</v>
      </c>
      <c r="AO25" s="231">
        <v>1175.19</v>
      </c>
      <c r="AP25" s="228">
        <v>0</v>
      </c>
      <c r="AQ25" s="230">
        <v>27374</v>
      </c>
      <c r="AR25" s="230">
        <v>14967</v>
      </c>
      <c r="AS25" s="230">
        <v>12407</v>
      </c>
      <c r="AT25" s="229">
        <v>0.82899999999999996</v>
      </c>
      <c r="AU25" s="230">
        <v>24718</v>
      </c>
      <c r="AV25" s="230">
        <v>13653</v>
      </c>
      <c r="AW25" s="230">
        <v>11065</v>
      </c>
      <c r="AX25" s="229">
        <v>0.81040000000000001</v>
      </c>
      <c r="AY25" s="230">
        <v>2314</v>
      </c>
      <c r="AZ25" s="230">
        <v>1154</v>
      </c>
      <c r="BA25" s="230">
        <v>1160</v>
      </c>
      <c r="BB25" s="229">
        <v>1.0052000000000001</v>
      </c>
      <c r="BC25" s="228">
        <v>342</v>
      </c>
      <c r="BD25" s="228">
        <v>160</v>
      </c>
      <c r="BE25" s="228">
        <v>182</v>
      </c>
      <c r="BF25" s="229">
        <v>1.1375</v>
      </c>
      <c r="BG25" s="230">
        <v>79657</v>
      </c>
      <c r="BH25" s="230">
        <v>45469</v>
      </c>
      <c r="BI25" s="230">
        <v>34188</v>
      </c>
      <c r="BJ25" s="229">
        <v>0.75190000000000001</v>
      </c>
      <c r="BK25" s="230">
        <v>40593</v>
      </c>
      <c r="BL25" s="230">
        <v>22714</v>
      </c>
      <c r="BM25" s="230">
        <v>17879</v>
      </c>
      <c r="BN25" s="229">
        <v>0.78710000000000002</v>
      </c>
      <c r="BO25" s="230">
        <v>147624</v>
      </c>
      <c r="BP25" s="230">
        <v>83150</v>
      </c>
      <c r="BQ25" s="230">
        <v>64474</v>
      </c>
      <c r="BR25" s="229">
        <v>0.77539999999999998</v>
      </c>
      <c r="BS25" s="230">
        <v>10174454</v>
      </c>
      <c r="BT25" s="230">
        <v>8507610</v>
      </c>
      <c r="BU25" s="230">
        <v>1666844</v>
      </c>
      <c r="BV25" s="229">
        <v>0.19589999999999999</v>
      </c>
      <c r="BW25" s="230">
        <v>85876800</v>
      </c>
      <c r="BX25" s="230">
        <v>82906000</v>
      </c>
      <c r="BY25" s="230">
        <v>2970800</v>
      </c>
      <c r="BZ25" s="229">
        <v>3.5799999999999998E-2</v>
      </c>
      <c r="CA25" s="230">
        <v>79884800</v>
      </c>
      <c r="CB25" s="230">
        <v>77441600</v>
      </c>
      <c r="CC25" s="230">
        <v>2443200</v>
      </c>
      <c r="CD25" s="229">
        <v>3.15E-2</v>
      </c>
      <c r="CE25" s="230">
        <v>5695200</v>
      </c>
      <c r="CF25" s="230">
        <v>5253600</v>
      </c>
      <c r="CG25" s="230">
        <v>441600</v>
      </c>
      <c r="CH25" s="229">
        <v>8.4099999999999994E-2</v>
      </c>
      <c r="CI25" s="230">
        <v>296800</v>
      </c>
      <c r="CJ25" s="230">
        <v>210800</v>
      </c>
      <c r="CK25" s="230">
        <v>86000</v>
      </c>
      <c r="CL25" s="229">
        <v>0.40799999999999997</v>
      </c>
      <c r="CM25" s="230">
        <v>40464000</v>
      </c>
      <c r="CN25" s="230">
        <v>35942000</v>
      </c>
      <c r="CO25" s="230">
        <v>4522000</v>
      </c>
      <c r="CP25" s="229">
        <v>0.1258</v>
      </c>
      <c r="CQ25" s="230">
        <v>22896000</v>
      </c>
      <c r="CR25" s="230">
        <v>21021600</v>
      </c>
      <c r="CS25" s="230">
        <v>1874400</v>
      </c>
      <c r="CT25" s="229">
        <v>8.9200000000000002E-2</v>
      </c>
      <c r="CU25" s="230">
        <v>149236800</v>
      </c>
      <c r="CV25" s="230">
        <v>139869600</v>
      </c>
      <c r="CW25" s="230">
        <v>9367200</v>
      </c>
      <c r="CX25" s="229">
        <v>6.7000000000000004E-2</v>
      </c>
      <c r="CY25" s="228">
        <v>30.09</v>
      </c>
      <c r="CZ25" s="228">
        <v>30.18</v>
      </c>
      <c r="DA25" s="228">
        <v>-0.09</v>
      </c>
      <c r="DB25" s="228">
        <v>-0.09</v>
      </c>
      <c r="DC25" s="228">
        <v>32.28</v>
      </c>
      <c r="DD25" s="228">
        <v>32.340000000000003</v>
      </c>
      <c r="DE25" s="228">
        <v>-2.19</v>
      </c>
      <c r="DF25" s="228">
        <v>-0.06</v>
      </c>
      <c r="DG25" s="228">
        <v>30.55</v>
      </c>
      <c r="DH25" s="228">
        <v>30.43</v>
      </c>
      <c r="DI25" s="228">
        <v>0.12</v>
      </c>
      <c r="DJ25" s="228">
        <v>0.12</v>
      </c>
      <c r="DK25" s="228">
        <v>29.18</v>
      </c>
      <c r="DL25" s="228">
        <v>29.69</v>
      </c>
      <c r="DM25" s="228">
        <v>-0.51</v>
      </c>
      <c r="DN25" s="228">
        <v>-0.51</v>
      </c>
      <c r="DO25" s="228">
        <v>0.56999999999999995</v>
      </c>
      <c r="DP25" s="228">
        <v>0.57999999999999996</v>
      </c>
      <c r="DQ25" s="228">
        <v>-0.01</v>
      </c>
      <c r="DR25" s="229">
        <v>-1.72E-2</v>
      </c>
      <c r="DS25" s="231">
        <v>1200</v>
      </c>
      <c r="DT25" s="231">
        <v>1100</v>
      </c>
      <c r="DU25" s="228">
        <v>0.51</v>
      </c>
      <c r="DV25" s="228">
        <v>0.5</v>
      </c>
      <c r="DW25" s="228">
        <v>0.01</v>
      </c>
      <c r="DX25" s="229">
        <v>0.02</v>
      </c>
      <c r="DY25" s="229">
        <v>6.9800000000000001E-2</v>
      </c>
      <c r="DZ25" s="230">
        <v>5464400</v>
      </c>
      <c r="EA25" s="229">
        <v>1.1999999999999999E-3</v>
      </c>
      <c r="EB25" s="229">
        <v>6.9800000000000001E-2</v>
      </c>
      <c r="EC25" s="228">
        <v>1.01</v>
      </c>
      <c r="ED25" s="229">
        <v>8.9999999999999998E-4</v>
      </c>
      <c r="EE25" s="230">
        <v>5946754</v>
      </c>
      <c r="EF25" s="230">
        <v>3366050</v>
      </c>
      <c r="EG25" s="229">
        <v>0.76670000000000005</v>
      </c>
      <c r="EH25" s="229">
        <v>0.58450000000000002</v>
      </c>
      <c r="EI25" s="231">
        <v>397445.48</v>
      </c>
      <c r="EJ25" s="231">
        <v>188611.37</v>
      </c>
      <c r="EK25" s="231">
        <v>128582.91</v>
      </c>
      <c r="EL25" s="231">
        <v>19235</v>
      </c>
      <c r="EM25" s="231">
        <v>714639.76</v>
      </c>
      <c r="EN25" s="231">
        <v>404384.46</v>
      </c>
      <c r="EO25" s="231">
        <v>310255.3</v>
      </c>
      <c r="EP25" s="229">
        <v>0.76719999999999999</v>
      </c>
      <c r="EQ25" s="231">
        <v>509478</v>
      </c>
      <c r="ER25" s="231">
        <v>269378</v>
      </c>
      <c r="ES25" s="231">
        <v>1005712</v>
      </c>
      <c r="ET25" s="231">
        <v>475237614</v>
      </c>
      <c r="EU25" s="231">
        <v>1784568</v>
      </c>
      <c r="EV25" s="231">
        <v>1679601</v>
      </c>
      <c r="EW25" s="231">
        <v>104967</v>
      </c>
      <c r="EX25" s="229">
        <v>6.25E-2</v>
      </c>
      <c r="EY25" s="229">
        <v>0.314</v>
      </c>
    </row>
    <row r="26" spans="1:155" ht="17.25" thickBot="1" x14ac:dyDescent="0.3">
      <c r="A26" s="226">
        <v>46148</v>
      </c>
      <c r="B26" s="227" t="s">
        <v>168</v>
      </c>
      <c r="C26" s="227" t="s">
        <v>242</v>
      </c>
      <c r="D26" s="228">
        <v>312.35000000000002</v>
      </c>
      <c r="E26" s="228">
        <v>312.75</v>
      </c>
      <c r="F26" s="228">
        <v>-0.4</v>
      </c>
      <c r="G26" s="229">
        <v>-1.2999999999999999E-3</v>
      </c>
      <c r="H26" s="228">
        <v>310.7</v>
      </c>
      <c r="I26" s="228">
        <v>311.45</v>
      </c>
      <c r="J26" s="228">
        <v>-0.75</v>
      </c>
      <c r="K26" s="229">
        <v>-2.3999999999999998E-3</v>
      </c>
      <c r="L26" s="228">
        <v>312.35000000000002</v>
      </c>
      <c r="M26" s="228">
        <v>312.75</v>
      </c>
      <c r="N26" s="228">
        <v>-0.4</v>
      </c>
      <c r="O26" s="229">
        <v>-1.2999999999999999E-3</v>
      </c>
      <c r="P26" s="228">
        <v>314.35000000000002</v>
      </c>
      <c r="Q26" s="228">
        <v>314.89999999999998</v>
      </c>
      <c r="R26" s="228">
        <v>-0.55000000000000004</v>
      </c>
      <c r="S26" s="229">
        <v>-1.6999999999999999E-3</v>
      </c>
      <c r="T26" s="228">
        <v>316.10000000000002</v>
      </c>
      <c r="U26" s="228">
        <v>316.7</v>
      </c>
      <c r="V26" s="228">
        <v>-0.6</v>
      </c>
      <c r="W26" s="229">
        <v>-1.9E-3</v>
      </c>
      <c r="X26" s="228">
        <v>1.65</v>
      </c>
      <c r="Y26" s="228">
        <v>1.3</v>
      </c>
      <c r="Z26" s="228">
        <v>0.35</v>
      </c>
      <c r="AA26" s="229">
        <v>5.3E-3</v>
      </c>
      <c r="AB26" s="228">
        <v>1.65</v>
      </c>
      <c r="AC26" s="228">
        <v>1.3</v>
      </c>
      <c r="AD26" s="228">
        <v>0.35</v>
      </c>
      <c r="AE26" s="229">
        <v>5.3E-3</v>
      </c>
      <c r="AF26" s="228">
        <v>3.65</v>
      </c>
      <c r="AG26" s="228">
        <v>3.45</v>
      </c>
      <c r="AH26" s="228">
        <v>0.2</v>
      </c>
      <c r="AI26" s="229">
        <v>1.17E-2</v>
      </c>
      <c r="AJ26" s="228">
        <v>5.4</v>
      </c>
      <c r="AK26" s="228">
        <v>5.25</v>
      </c>
      <c r="AL26" s="228">
        <v>0.15</v>
      </c>
      <c r="AM26" s="229">
        <v>1.7399999999999999E-2</v>
      </c>
      <c r="AN26" s="228">
        <v>312.25</v>
      </c>
      <c r="AO26" s="228">
        <v>314.29000000000002</v>
      </c>
      <c r="AP26" s="228">
        <v>0</v>
      </c>
      <c r="AQ26" s="230">
        <v>8934</v>
      </c>
      <c r="AR26" s="230">
        <v>8532</v>
      </c>
      <c r="AS26" s="228">
        <v>402</v>
      </c>
      <c r="AT26" s="229">
        <v>4.7100000000000003E-2</v>
      </c>
      <c r="AU26" s="230">
        <v>7744</v>
      </c>
      <c r="AV26" s="230">
        <v>7632</v>
      </c>
      <c r="AW26" s="228">
        <v>112</v>
      </c>
      <c r="AX26" s="229">
        <v>1.47E-2</v>
      </c>
      <c r="AY26" s="230">
        <v>1035</v>
      </c>
      <c r="AZ26" s="228">
        <v>827</v>
      </c>
      <c r="BA26" s="228">
        <v>208</v>
      </c>
      <c r="BB26" s="229">
        <v>0.2515</v>
      </c>
      <c r="BC26" s="228">
        <v>155</v>
      </c>
      <c r="BD26" s="228">
        <v>73</v>
      </c>
      <c r="BE26" s="228">
        <v>82</v>
      </c>
      <c r="BF26" s="229">
        <v>1.1233</v>
      </c>
      <c r="BG26" s="230">
        <v>58627</v>
      </c>
      <c r="BH26" s="230">
        <v>68240</v>
      </c>
      <c r="BI26" s="230">
        <v>-9613</v>
      </c>
      <c r="BJ26" s="229">
        <v>-0.1409</v>
      </c>
      <c r="BK26" s="230">
        <v>18073</v>
      </c>
      <c r="BL26" s="230">
        <v>22446</v>
      </c>
      <c r="BM26" s="230">
        <v>-4373</v>
      </c>
      <c r="BN26" s="229">
        <v>-0.1948</v>
      </c>
      <c r="BO26" s="230">
        <v>85634</v>
      </c>
      <c r="BP26" s="230">
        <v>99218</v>
      </c>
      <c r="BQ26" s="230">
        <v>-13584</v>
      </c>
      <c r="BR26" s="229">
        <v>-0.13689999999999999</v>
      </c>
      <c r="BS26" s="230">
        <v>21095336</v>
      </c>
      <c r="BT26" s="230">
        <v>27120543</v>
      </c>
      <c r="BU26" s="230">
        <v>-6025207</v>
      </c>
      <c r="BV26" s="229">
        <v>-0.22220000000000001</v>
      </c>
      <c r="BW26" s="230">
        <v>179013725</v>
      </c>
      <c r="BX26" s="230">
        <v>176579650</v>
      </c>
      <c r="BY26" s="230">
        <v>2434075</v>
      </c>
      <c r="BZ26" s="229">
        <v>1.38E-2</v>
      </c>
      <c r="CA26" s="230">
        <v>156224000</v>
      </c>
      <c r="CB26" s="230">
        <v>154763200</v>
      </c>
      <c r="CC26" s="230">
        <v>1460800</v>
      </c>
      <c r="CD26" s="229">
        <v>9.4000000000000004E-3</v>
      </c>
      <c r="CE26" s="230">
        <v>21960000</v>
      </c>
      <c r="CF26" s="230">
        <v>21192000</v>
      </c>
      <c r="CG26" s="230">
        <v>768000</v>
      </c>
      <c r="CH26" s="229">
        <v>3.6200000000000003E-2</v>
      </c>
      <c r="CI26" s="230">
        <v>829725</v>
      </c>
      <c r="CJ26" s="230">
        <v>624450</v>
      </c>
      <c r="CK26" s="230">
        <v>205275</v>
      </c>
      <c r="CL26" s="229">
        <v>0.32869999999999999</v>
      </c>
      <c r="CM26" s="230">
        <v>109599400</v>
      </c>
      <c r="CN26" s="230">
        <v>101975025</v>
      </c>
      <c r="CO26" s="230">
        <v>7624375</v>
      </c>
      <c r="CP26" s="229">
        <v>7.4800000000000005E-2</v>
      </c>
      <c r="CQ26" s="230">
        <v>38868800</v>
      </c>
      <c r="CR26" s="230">
        <v>38860800</v>
      </c>
      <c r="CS26" s="230">
        <v>8000</v>
      </c>
      <c r="CT26" s="229">
        <v>2.0000000000000001E-4</v>
      </c>
      <c r="CU26" s="230">
        <v>327481925</v>
      </c>
      <c r="CV26" s="230">
        <v>317415475</v>
      </c>
      <c r="CW26" s="230">
        <v>10066450</v>
      </c>
      <c r="CX26" s="229">
        <v>3.1699999999999999E-2</v>
      </c>
      <c r="CY26" s="228">
        <v>20.02</v>
      </c>
      <c r="CZ26" s="228">
        <v>20.45</v>
      </c>
      <c r="DA26" s="228">
        <v>-0.43</v>
      </c>
      <c r="DB26" s="228">
        <v>-0.43</v>
      </c>
      <c r="DC26" s="228">
        <v>24.58</v>
      </c>
      <c r="DD26" s="228">
        <v>24.64</v>
      </c>
      <c r="DE26" s="228">
        <v>-4.5599999999999996</v>
      </c>
      <c r="DF26" s="228">
        <v>-0.06</v>
      </c>
      <c r="DG26" s="228">
        <v>20.010000000000002</v>
      </c>
      <c r="DH26" s="228">
        <v>20.399999999999999</v>
      </c>
      <c r="DI26" s="228">
        <v>-0.39</v>
      </c>
      <c r="DJ26" s="228">
        <v>-0.39</v>
      </c>
      <c r="DK26" s="228">
        <v>20.04</v>
      </c>
      <c r="DL26" s="228">
        <v>20.63</v>
      </c>
      <c r="DM26" s="228">
        <v>-0.59</v>
      </c>
      <c r="DN26" s="228">
        <v>-0.59</v>
      </c>
      <c r="DO26" s="228">
        <v>0.35</v>
      </c>
      <c r="DP26" s="228">
        <v>0.38</v>
      </c>
      <c r="DQ26" s="228">
        <v>-0.03</v>
      </c>
      <c r="DR26" s="229">
        <v>-7.8899999999999998E-2</v>
      </c>
      <c r="DS26" s="228">
        <v>320</v>
      </c>
      <c r="DT26" s="228">
        <v>290</v>
      </c>
      <c r="DU26" s="228">
        <v>0.31</v>
      </c>
      <c r="DV26" s="228">
        <v>0.33</v>
      </c>
      <c r="DW26" s="228">
        <v>-0.02</v>
      </c>
      <c r="DX26" s="229">
        <v>-6.0600000000000001E-2</v>
      </c>
      <c r="DY26" s="229">
        <v>0.1273</v>
      </c>
      <c r="DZ26" s="230">
        <v>21816450</v>
      </c>
      <c r="EA26" s="229">
        <v>6.4000000000000003E-3</v>
      </c>
      <c r="EB26" s="229">
        <v>0.1273</v>
      </c>
      <c r="EC26" s="228">
        <v>2.04</v>
      </c>
      <c r="ED26" s="229">
        <v>6.4999999999999997E-3</v>
      </c>
      <c r="EE26" s="230">
        <v>12758006</v>
      </c>
      <c r="EF26" s="230">
        <v>14761351</v>
      </c>
      <c r="EG26" s="229">
        <v>-0.13569999999999999</v>
      </c>
      <c r="EH26" s="229">
        <v>0.6048</v>
      </c>
      <c r="EI26" s="231">
        <v>304102.58</v>
      </c>
      <c r="EJ26" s="231">
        <v>90024.56</v>
      </c>
      <c r="EK26" s="231">
        <v>44738.7</v>
      </c>
      <c r="EL26" s="231">
        <v>15388</v>
      </c>
      <c r="EM26" s="231">
        <v>438865.84</v>
      </c>
      <c r="EN26" s="231">
        <v>510926.12</v>
      </c>
      <c r="EO26" s="231">
        <v>-72060.28</v>
      </c>
      <c r="EP26" s="229">
        <v>-0.14099999999999999</v>
      </c>
      <c r="EQ26" s="231">
        <v>355492</v>
      </c>
      <c r="ER26" s="231">
        <v>119854</v>
      </c>
      <c r="ES26" s="231">
        <v>559620</v>
      </c>
      <c r="ET26" s="231">
        <v>1317896781</v>
      </c>
      <c r="EU26" s="231">
        <v>1034966</v>
      </c>
      <c r="EV26" s="231">
        <v>1003951</v>
      </c>
      <c r="EW26" s="231">
        <v>31015</v>
      </c>
      <c r="EX26" s="229">
        <v>3.09E-2</v>
      </c>
      <c r="EY26" s="229">
        <v>0.2485</v>
      </c>
    </row>
    <row r="27" spans="1:155" ht="17.25" thickBot="1" x14ac:dyDescent="0.3">
      <c r="A27" s="226">
        <v>46148</v>
      </c>
      <c r="B27" s="227" t="s">
        <v>175</v>
      </c>
      <c r="C27" s="227" t="s">
        <v>569</v>
      </c>
      <c r="D27" s="228">
        <v>254.02</v>
      </c>
      <c r="E27" s="228">
        <v>249.17</v>
      </c>
      <c r="F27" s="228">
        <v>4.8499999999999996</v>
      </c>
      <c r="G27" s="229">
        <v>1.95E-2</v>
      </c>
      <c r="H27" s="228">
        <v>252.44</v>
      </c>
      <c r="I27" s="228">
        <v>248.45</v>
      </c>
      <c r="J27" s="228">
        <v>3.99</v>
      </c>
      <c r="K27" s="229">
        <v>1.61E-2</v>
      </c>
      <c r="L27" s="228">
        <v>254.02</v>
      </c>
      <c r="M27" s="228">
        <v>249.17</v>
      </c>
      <c r="N27" s="228">
        <v>4.8499999999999996</v>
      </c>
      <c r="O27" s="229">
        <v>1.95E-2</v>
      </c>
      <c r="P27" s="228">
        <v>255.67</v>
      </c>
      <c r="Q27" s="228">
        <v>250.85</v>
      </c>
      <c r="R27" s="228">
        <v>4.82</v>
      </c>
      <c r="S27" s="229">
        <v>1.9199999999999998E-2</v>
      </c>
      <c r="T27" s="228">
        <v>257.17</v>
      </c>
      <c r="U27" s="228">
        <v>252.37</v>
      </c>
      <c r="V27" s="228">
        <v>4.8</v>
      </c>
      <c r="W27" s="229">
        <v>1.9E-2</v>
      </c>
      <c r="X27" s="228">
        <v>1.58</v>
      </c>
      <c r="Y27" s="228">
        <v>0.72</v>
      </c>
      <c r="Z27" s="228">
        <v>0.86</v>
      </c>
      <c r="AA27" s="229">
        <v>6.3E-3</v>
      </c>
      <c r="AB27" s="228">
        <v>1.58</v>
      </c>
      <c r="AC27" s="228">
        <v>0.72</v>
      </c>
      <c r="AD27" s="228">
        <v>0.86</v>
      </c>
      <c r="AE27" s="229">
        <v>6.3E-3</v>
      </c>
      <c r="AF27" s="228">
        <v>3.23</v>
      </c>
      <c r="AG27" s="228">
        <v>2.4</v>
      </c>
      <c r="AH27" s="228">
        <v>0.83</v>
      </c>
      <c r="AI27" s="229">
        <v>1.2800000000000001E-2</v>
      </c>
      <c r="AJ27" s="228">
        <v>4.7300000000000004</v>
      </c>
      <c r="AK27" s="228">
        <v>3.92</v>
      </c>
      <c r="AL27" s="228">
        <v>0.81</v>
      </c>
      <c r="AM27" s="229">
        <v>1.8700000000000001E-2</v>
      </c>
      <c r="AN27" s="228">
        <v>252.66</v>
      </c>
      <c r="AO27" s="228">
        <v>254.34</v>
      </c>
      <c r="AP27" s="228">
        <v>0</v>
      </c>
      <c r="AQ27" s="230">
        <v>9308</v>
      </c>
      <c r="AR27" s="230">
        <v>7957</v>
      </c>
      <c r="AS27" s="230">
        <v>1351</v>
      </c>
      <c r="AT27" s="229">
        <v>0.16980000000000001</v>
      </c>
      <c r="AU27" s="230">
        <v>8572</v>
      </c>
      <c r="AV27" s="230">
        <v>7126</v>
      </c>
      <c r="AW27" s="230">
        <v>1446</v>
      </c>
      <c r="AX27" s="229">
        <v>0.2029</v>
      </c>
      <c r="AY27" s="228">
        <v>677</v>
      </c>
      <c r="AZ27" s="228">
        <v>744</v>
      </c>
      <c r="BA27" s="228">
        <v>-67</v>
      </c>
      <c r="BB27" s="229">
        <v>-9.01E-2</v>
      </c>
      <c r="BC27" s="228">
        <v>59</v>
      </c>
      <c r="BD27" s="228">
        <v>87</v>
      </c>
      <c r="BE27" s="228">
        <v>-28</v>
      </c>
      <c r="BF27" s="229">
        <v>-0.32179999999999997</v>
      </c>
      <c r="BG27" s="230">
        <v>22992</v>
      </c>
      <c r="BH27" s="230">
        <v>18584</v>
      </c>
      <c r="BI27" s="230">
        <v>4408</v>
      </c>
      <c r="BJ27" s="229">
        <v>0.23719999999999999</v>
      </c>
      <c r="BK27" s="230">
        <v>10311</v>
      </c>
      <c r="BL27" s="230">
        <v>7863</v>
      </c>
      <c r="BM27" s="230">
        <v>2448</v>
      </c>
      <c r="BN27" s="229">
        <v>0.31130000000000002</v>
      </c>
      <c r="BO27" s="230">
        <v>42611</v>
      </c>
      <c r="BP27" s="230">
        <v>34404</v>
      </c>
      <c r="BQ27" s="230">
        <v>8207</v>
      </c>
      <c r="BR27" s="229">
        <v>0.23849999999999999</v>
      </c>
      <c r="BS27" s="230">
        <v>15584287</v>
      </c>
      <c r="BT27" s="230">
        <v>17387599</v>
      </c>
      <c r="BU27" s="230">
        <v>-1803312</v>
      </c>
      <c r="BV27" s="229">
        <v>-0.1037</v>
      </c>
      <c r="BW27" s="230">
        <v>197672600</v>
      </c>
      <c r="BX27" s="230">
        <v>200405650</v>
      </c>
      <c r="BY27" s="230">
        <v>-2733050</v>
      </c>
      <c r="BZ27" s="229">
        <v>-1.3599999999999999E-2</v>
      </c>
      <c r="CA27" s="230">
        <v>175683650</v>
      </c>
      <c r="CB27" s="230">
        <v>178912550</v>
      </c>
      <c r="CC27" s="230">
        <v>-3228900</v>
      </c>
      <c r="CD27" s="229">
        <v>-1.7999999999999999E-2</v>
      </c>
      <c r="CE27" s="230">
        <v>21387350</v>
      </c>
      <c r="CF27" s="230">
        <v>20905600</v>
      </c>
      <c r="CG27" s="230">
        <v>481750</v>
      </c>
      <c r="CH27" s="229">
        <v>2.3E-2</v>
      </c>
      <c r="CI27" s="230">
        <v>601600</v>
      </c>
      <c r="CJ27" s="230">
        <v>587500</v>
      </c>
      <c r="CK27" s="230">
        <v>14100</v>
      </c>
      <c r="CL27" s="229">
        <v>2.4E-2</v>
      </c>
      <c r="CM27" s="230">
        <v>62439500</v>
      </c>
      <c r="CN27" s="230">
        <v>60963700</v>
      </c>
      <c r="CO27" s="230">
        <v>1475800</v>
      </c>
      <c r="CP27" s="229">
        <v>2.4199999999999999E-2</v>
      </c>
      <c r="CQ27" s="230">
        <v>40119200</v>
      </c>
      <c r="CR27" s="230">
        <v>38977100</v>
      </c>
      <c r="CS27" s="230">
        <v>1142100</v>
      </c>
      <c r="CT27" s="229">
        <v>2.93E-2</v>
      </c>
      <c r="CU27" s="230">
        <v>300231300</v>
      </c>
      <c r="CV27" s="230">
        <v>300346450</v>
      </c>
      <c r="CW27" s="230">
        <v>-115150</v>
      </c>
      <c r="CX27" s="229">
        <v>-4.0000000000000002E-4</v>
      </c>
      <c r="CY27" s="228">
        <v>35.19</v>
      </c>
      <c r="CZ27" s="228">
        <v>36.630000000000003</v>
      </c>
      <c r="DA27" s="228">
        <v>-1.44</v>
      </c>
      <c r="DB27" s="228">
        <v>-1.44</v>
      </c>
      <c r="DC27" s="228">
        <v>37.83</v>
      </c>
      <c r="DD27" s="228">
        <v>37.840000000000003</v>
      </c>
      <c r="DE27" s="228">
        <v>-2.64</v>
      </c>
      <c r="DF27" s="228">
        <v>-0.01</v>
      </c>
      <c r="DG27" s="228">
        <v>35.22</v>
      </c>
      <c r="DH27" s="228">
        <v>36.82</v>
      </c>
      <c r="DI27" s="228">
        <v>-1.6</v>
      </c>
      <c r="DJ27" s="228">
        <v>-1.6</v>
      </c>
      <c r="DK27" s="228">
        <v>35.130000000000003</v>
      </c>
      <c r="DL27" s="228">
        <v>36.19</v>
      </c>
      <c r="DM27" s="228">
        <v>-1.06</v>
      </c>
      <c r="DN27" s="228">
        <v>-1.06</v>
      </c>
      <c r="DO27" s="228">
        <v>0.64</v>
      </c>
      <c r="DP27" s="228">
        <v>0.64</v>
      </c>
      <c r="DQ27" s="228">
        <v>0</v>
      </c>
      <c r="DR27" s="229">
        <v>0</v>
      </c>
      <c r="DS27" s="228">
        <v>250</v>
      </c>
      <c r="DT27" s="228">
        <v>250</v>
      </c>
      <c r="DU27" s="228">
        <v>0.45</v>
      </c>
      <c r="DV27" s="228">
        <v>0.42</v>
      </c>
      <c r="DW27" s="228">
        <v>0.03</v>
      </c>
      <c r="DX27" s="229">
        <v>7.1400000000000005E-2</v>
      </c>
      <c r="DY27" s="229">
        <v>0.11119999999999999</v>
      </c>
      <c r="DZ27" s="230">
        <v>21493100</v>
      </c>
      <c r="EA27" s="229">
        <v>6.4999999999999997E-3</v>
      </c>
      <c r="EB27" s="229">
        <v>0.11119999999999999</v>
      </c>
      <c r="EC27" s="228">
        <v>1.68</v>
      </c>
      <c r="ED27" s="229">
        <v>6.6E-3</v>
      </c>
      <c r="EE27" s="230">
        <v>6213139</v>
      </c>
      <c r="EF27" s="230">
        <v>6490407</v>
      </c>
      <c r="EG27" s="229">
        <v>-4.2700000000000002E-2</v>
      </c>
      <c r="EH27" s="229">
        <v>0.3987</v>
      </c>
      <c r="EI27" s="231">
        <v>144927.04999999999</v>
      </c>
      <c r="EJ27" s="231">
        <v>59845.07</v>
      </c>
      <c r="EK27" s="231">
        <v>55296.69</v>
      </c>
      <c r="EL27" s="231">
        <v>10535</v>
      </c>
      <c r="EM27" s="231">
        <v>260068.81</v>
      </c>
      <c r="EN27" s="231">
        <v>209353.53</v>
      </c>
      <c r="EO27" s="231">
        <v>50715.28</v>
      </c>
      <c r="EP27" s="229">
        <v>0.2422</v>
      </c>
      <c r="EQ27" s="231">
        <v>164857</v>
      </c>
      <c r="ER27" s="231">
        <v>100314</v>
      </c>
      <c r="ES27" s="231">
        <v>502500</v>
      </c>
      <c r="ET27" s="231">
        <v>490240515</v>
      </c>
      <c r="EU27" s="231">
        <v>767671</v>
      </c>
      <c r="EV27" s="231">
        <v>757669</v>
      </c>
      <c r="EW27" s="231">
        <v>10002</v>
      </c>
      <c r="EX27" s="229">
        <v>1.32E-2</v>
      </c>
      <c r="EY27" s="229">
        <v>0.61240000000000006</v>
      </c>
    </row>
    <row r="28" spans="1:155" ht="17.25" thickBot="1" x14ac:dyDescent="0.3">
      <c r="A28" s="226">
        <v>46148</v>
      </c>
      <c r="B28" s="227" t="s">
        <v>227</v>
      </c>
      <c r="C28" s="227" t="s">
        <v>244</v>
      </c>
      <c r="D28" s="231">
        <v>1280.5999999999999</v>
      </c>
      <c r="E28" s="231">
        <v>1259.2</v>
      </c>
      <c r="F28" s="228">
        <v>21.4</v>
      </c>
      <c r="G28" s="229">
        <v>1.7000000000000001E-2</v>
      </c>
      <c r="H28" s="231">
        <v>1273.3</v>
      </c>
      <c r="I28" s="231">
        <v>1252.4000000000001</v>
      </c>
      <c r="J28" s="228">
        <v>20.9</v>
      </c>
      <c r="K28" s="229">
        <v>1.67E-2</v>
      </c>
      <c r="L28" s="231">
        <v>1280.5999999999999</v>
      </c>
      <c r="M28" s="231">
        <v>1259.2</v>
      </c>
      <c r="N28" s="228">
        <v>21.4</v>
      </c>
      <c r="O28" s="229">
        <v>1.7000000000000001E-2</v>
      </c>
      <c r="P28" s="231">
        <v>1287.9000000000001</v>
      </c>
      <c r="Q28" s="231">
        <v>1268.4000000000001</v>
      </c>
      <c r="R28" s="228">
        <v>19.5</v>
      </c>
      <c r="S28" s="229">
        <v>1.54E-2</v>
      </c>
      <c r="T28" s="231">
        <v>1290.8</v>
      </c>
      <c r="U28" s="231">
        <v>1270.4000000000001</v>
      </c>
      <c r="V28" s="228">
        <v>20.399999999999999</v>
      </c>
      <c r="W28" s="229">
        <v>1.61E-2</v>
      </c>
      <c r="X28" s="228">
        <v>7.3</v>
      </c>
      <c r="Y28" s="228">
        <v>6.8</v>
      </c>
      <c r="Z28" s="228">
        <v>0.5</v>
      </c>
      <c r="AA28" s="229">
        <v>5.7000000000000002E-3</v>
      </c>
      <c r="AB28" s="228">
        <v>7.3</v>
      </c>
      <c r="AC28" s="228">
        <v>6.8</v>
      </c>
      <c r="AD28" s="228">
        <v>0.5</v>
      </c>
      <c r="AE28" s="229">
        <v>5.7000000000000002E-3</v>
      </c>
      <c r="AF28" s="228">
        <v>14.6</v>
      </c>
      <c r="AG28" s="228">
        <v>16</v>
      </c>
      <c r="AH28" s="228">
        <v>-1.4</v>
      </c>
      <c r="AI28" s="229">
        <v>1.15E-2</v>
      </c>
      <c r="AJ28" s="228">
        <v>17.5</v>
      </c>
      <c r="AK28" s="228">
        <v>18</v>
      </c>
      <c r="AL28" s="228">
        <v>-0.5</v>
      </c>
      <c r="AM28" s="229">
        <v>1.37E-2</v>
      </c>
      <c r="AN28" s="231">
        <v>1272.8900000000001</v>
      </c>
      <c r="AO28" s="231">
        <v>1281.6099999999999</v>
      </c>
      <c r="AP28" s="228">
        <v>0</v>
      </c>
      <c r="AQ28" s="230">
        <v>2881</v>
      </c>
      <c r="AR28" s="230">
        <v>2503</v>
      </c>
      <c r="AS28" s="228">
        <v>378</v>
      </c>
      <c r="AT28" s="229">
        <v>0.151</v>
      </c>
      <c r="AU28" s="230">
        <v>2745</v>
      </c>
      <c r="AV28" s="230">
        <v>2371</v>
      </c>
      <c r="AW28" s="228">
        <v>374</v>
      </c>
      <c r="AX28" s="229">
        <v>0.15770000000000001</v>
      </c>
      <c r="AY28" s="228">
        <v>124</v>
      </c>
      <c r="AZ28" s="228">
        <v>128</v>
      </c>
      <c r="BA28" s="228">
        <v>-4</v>
      </c>
      <c r="BB28" s="229">
        <v>-3.1300000000000001E-2</v>
      </c>
      <c r="BC28" s="228">
        <v>12</v>
      </c>
      <c r="BD28" s="228">
        <v>4</v>
      </c>
      <c r="BE28" s="228">
        <v>8</v>
      </c>
      <c r="BF28" s="229">
        <v>2</v>
      </c>
      <c r="BG28" s="230">
        <v>5519</v>
      </c>
      <c r="BH28" s="230">
        <v>4746</v>
      </c>
      <c r="BI28" s="228">
        <v>773</v>
      </c>
      <c r="BJ28" s="229">
        <v>0.16289999999999999</v>
      </c>
      <c r="BK28" s="230">
        <v>3120</v>
      </c>
      <c r="BL28" s="230">
        <v>4132</v>
      </c>
      <c r="BM28" s="230">
        <v>-1012</v>
      </c>
      <c r="BN28" s="229">
        <v>-0.24490000000000001</v>
      </c>
      <c r="BO28" s="230">
        <v>11520</v>
      </c>
      <c r="BP28" s="230">
        <v>11381</v>
      </c>
      <c r="BQ28" s="228">
        <v>139</v>
      </c>
      <c r="BR28" s="229">
        <v>1.2200000000000001E-2</v>
      </c>
      <c r="BS28" s="230">
        <v>1050744</v>
      </c>
      <c r="BT28" s="230">
        <v>1582943</v>
      </c>
      <c r="BU28" s="230">
        <v>-532199</v>
      </c>
      <c r="BV28" s="229">
        <v>-0.3362</v>
      </c>
      <c r="BW28" s="230">
        <v>49826475</v>
      </c>
      <c r="BX28" s="230">
        <v>49765050</v>
      </c>
      <c r="BY28" s="230">
        <v>61425</v>
      </c>
      <c r="BZ28" s="229">
        <v>1.1999999999999999E-3</v>
      </c>
      <c r="CA28" s="230">
        <v>48703950</v>
      </c>
      <c r="CB28" s="230">
        <v>48670875</v>
      </c>
      <c r="CC28" s="230">
        <v>33075</v>
      </c>
      <c r="CD28" s="229">
        <v>6.9999999999999999E-4</v>
      </c>
      <c r="CE28" s="230">
        <v>1107000</v>
      </c>
      <c r="CF28" s="230">
        <v>1080000</v>
      </c>
      <c r="CG28" s="230">
        <v>27000</v>
      </c>
      <c r="CH28" s="229">
        <v>2.5000000000000001E-2</v>
      </c>
      <c r="CI28" s="230">
        <v>15525</v>
      </c>
      <c r="CJ28" s="230">
        <v>14175</v>
      </c>
      <c r="CK28" s="230">
        <v>1350</v>
      </c>
      <c r="CL28" s="229">
        <v>9.5200000000000007E-2</v>
      </c>
      <c r="CM28" s="230">
        <v>4544775</v>
      </c>
      <c r="CN28" s="230">
        <v>4808025</v>
      </c>
      <c r="CO28" s="230">
        <v>-263250</v>
      </c>
      <c r="CP28" s="229">
        <v>-5.4800000000000001E-2</v>
      </c>
      <c r="CQ28" s="230">
        <v>3290625</v>
      </c>
      <c r="CR28" s="230">
        <v>3356100</v>
      </c>
      <c r="CS28" s="230">
        <v>-65475</v>
      </c>
      <c r="CT28" s="229">
        <v>-1.95E-2</v>
      </c>
      <c r="CU28" s="230">
        <v>57661875</v>
      </c>
      <c r="CV28" s="230">
        <v>57929175</v>
      </c>
      <c r="CW28" s="230">
        <v>-267300</v>
      </c>
      <c r="CX28" s="229">
        <v>-4.5999999999999999E-3</v>
      </c>
      <c r="CY28" s="228">
        <v>28.25</v>
      </c>
      <c r="CZ28" s="228">
        <v>29.18</v>
      </c>
      <c r="DA28" s="228">
        <v>-0.93</v>
      </c>
      <c r="DB28" s="228">
        <v>-0.93</v>
      </c>
      <c r="DC28" s="228">
        <v>31.68</v>
      </c>
      <c r="DD28" s="228">
        <v>31.67</v>
      </c>
      <c r="DE28" s="228">
        <v>-3.43</v>
      </c>
      <c r="DF28" s="228">
        <v>0.01</v>
      </c>
      <c r="DG28" s="228">
        <v>28.09</v>
      </c>
      <c r="DH28" s="228">
        <v>29.3</v>
      </c>
      <c r="DI28" s="228">
        <v>-1.21</v>
      </c>
      <c r="DJ28" s="228">
        <v>-1.21</v>
      </c>
      <c r="DK28" s="228">
        <v>28.52</v>
      </c>
      <c r="DL28" s="228">
        <v>29.05</v>
      </c>
      <c r="DM28" s="228">
        <v>-0.53</v>
      </c>
      <c r="DN28" s="228">
        <v>-0.53</v>
      </c>
      <c r="DO28" s="228">
        <v>0.72</v>
      </c>
      <c r="DP28" s="228">
        <v>0.7</v>
      </c>
      <c r="DQ28" s="228">
        <v>0.02</v>
      </c>
      <c r="DR28" s="229">
        <v>2.86E-2</v>
      </c>
      <c r="DS28" s="231">
        <v>1300</v>
      </c>
      <c r="DT28" s="231">
        <v>1240</v>
      </c>
      <c r="DU28" s="228">
        <v>0.56999999999999995</v>
      </c>
      <c r="DV28" s="228">
        <v>0.87</v>
      </c>
      <c r="DW28" s="228">
        <v>-0.3</v>
      </c>
      <c r="DX28" s="229">
        <v>-0.3448</v>
      </c>
      <c r="DY28" s="229">
        <v>2.2499999999999999E-2</v>
      </c>
      <c r="DZ28" s="230">
        <v>1094175</v>
      </c>
      <c r="EA28" s="229">
        <v>5.7000000000000002E-3</v>
      </c>
      <c r="EB28" s="229">
        <v>2.2499999999999999E-2</v>
      </c>
      <c r="EC28" s="228">
        <v>8.7200000000000006</v>
      </c>
      <c r="ED28" s="229">
        <v>6.8999999999999999E-3</v>
      </c>
      <c r="EE28" s="230">
        <v>423730</v>
      </c>
      <c r="EF28" s="230">
        <v>701857</v>
      </c>
      <c r="EG28" s="229">
        <v>-0.39629999999999999</v>
      </c>
      <c r="EH28" s="229">
        <v>0.40329999999999999</v>
      </c>
      <c r="EI28" s="231">
        <v>49659.61</v>
      </c>
      <c r="EJ28" s="231">
        <v>26471.41</v>
      </c>
      <c r="EK28" s="231">
        <v>24761.58</v>
      </c>
      <c r="EL28" s="231">
        <v>3610</v>
      </c>
      <c r="EM28" s="231">
        <v>100892.6</v>
      </c>
      <c r="EN28" s="231">
        <v>99483.99</v>
      </c>
      <c r="EO28" s="231">
        <v>1408.61</v>
      </c>
      <c r="EP28" s="229">
        <v>1.4200000000000001E-2</v>
      </c>
      <c r="EQ28" s="231">
        <v>60006</v>
      </c>
      <c r="ER28" s="231">
        <v>39980</v>
      </c>
      <c r="ES28" s="231">
        <v>638160</v>
      </c>
      <c r="ET28" s="231">
        <v>133242960</v>
      </c>
      <c r="EU28" s="231">
        <v>738146</v>
      </c>
      <c r="EV28" s="231">
        <v>730811</v>
      </c>
      <c r="EW28" s="231">
        <v>7335</v>
      </c>
      <c r="EX28" s="229">
        <v>0.01</v>
      </c>
      <c r="EY28" s="229">
        <v>0.43280000000000002</v>
      </c>
    </row>
    <row r="29" spans="1:155" ht="17.25" thickBot="1" x14ac:dyDescent="0.3">
      <c r="A29" s="226">
        <v>46148</v>
      </c>
      <c r="B29" s="227" t="s">
        <v>172</v>
      </c>
      <c r="C29" s="227" t="s">
        <v>246</v>
      </c>
      <c r="D29" s="228">
        <v>379</v>
      </c>
      <c r="E29" s="228">
        <v>372.25</v>
      </c>
      <c r="F29" s="228">
        <v>6.75</v>
      </c>
      <c r="G29" s="229">
        <v>1.8100000000000002E-2</v>
      </c>
      <c r="H29" s="228">
        <v>376.6</v>
      </c>
      <c r="I29" s="228">
        <v>371.35</v>
      </c>
      <c r="J29" s="228">
        <v>5.25</v>
      </c>
      <c r="K29" s="229">
        <v>1.41E-2</v>
      </c>
      <c r="L29" s="228">
        <v>379</v>
      </c>
      <c r="M29" s="228">
        <v>372.25</v>
      </c>
      <c r="N29" s="228">
        <v>6.75</v>
      </c>
      <c r="O29" s="229">
        <v>1.8100000000000002E-2</v>
      </c>
      <c r="P29" s="228">
        <v>381.45</v>
      </c>
      <c r="Q29" s="228">
        <v>374.95</v>
      </c>
      <c r="R29" s="228">
        <v>6.5</v>
      </c>
      <c r="S29" s="229">
        <v>1.7299999999999999E-2</v>
      </c>
      <c r="T29" s="228">
        <v>382.35</v>
      </c>
      <c r="U29" s="228">
        <v>376.3</v>
      </c>
      <c r="V29" s="228">
        <v>6.05</v>
      </c>
      <c r="W29" s="229">
        <v>1.61E-2</v>
      </c>
      <c r="X29" s="228">
        <v>2.4</v>
      </c>
      <c r="Y29" s="228">
        <v>0.9</v>
      </c>
      <c r="Z29" s="228">
        <v>1.5</v>
      </c>
      <c r="AA29" s="229">
        <v>6.4000000000000003E-3</v>
      </c>
      <c r="AB29" s="228">
        <v>2.4</v>
      </c>
      <c r="AC29" s="228">
        <v>0.9</v>
      </c>
      <c r="AD29" s="228">
        <v>1.5</v>
      </c>
      <c r="AE29" s="229">
        <v>6.4000000000000003E-3</v>
      </c>
      <c r="AF29" s="228">
        <v>4.8499999999999996</v>
      </c>
      <c r="AG29" s="228">
        <v>3.6</v>
      </c>
      <c r="AH29" s="228">
        <v>1.25</v>
      </c>
      <c r="AI29" s="229">
        <v>1.29E-2</v>
      </c>
      <c r="AJ29" s="228">
        <v>5.75</v>
      </c>
      <c r="AK29" s="228">
        <v>4.95</v>
      </c>
      <c r="AL29" s="228">
        <v>0.8</v>
      </c>
      <c r="AM29" s="229">
        <v>1.5299999999999999E-2</v>
      </c>
      <c r="AN29" s="228">
        <v>375.14</v>
      </c>
      <c r="AO29" s="228">
        <v>374.99</v>
      </c>
      <c r="AP29" s="228">
        <v>0</v>
      </c>
      <c r="AQ29" s="230">
        <v>19018</v>
      </c>
      <c r="AR29" s="230">
        <v>10368</v>
      </c>
      <c r="AS29" s="230">
        <v>8650</v>
      </c>
      <c r="AT29" s="229">
        <v>0.83430000000000004</v>
      </c>
      <c r="AU29" s="230">
        <v>17259</v>
      </c>
      <c r="AV29" s="230">
        <v>9340</v>
      </c>
      <c r="AW29" s="230">
        <v>7919</v>
      </c>
      <c r="AX29" s="229">
        <v>0.84789999999999999</v>
      </c>
      <c r="AY29" s="230">
        <v>1597</v>
      </c>
      <c r="AZ29" s="228">
        <v>892</v>
      </c>
      <c r="BA29" s="228">
        <v>705</v>
      </c>
      <c r="BB29" s="229">
        <v>0.79039999999999999</v>
      </c>
      <c r="BC29" s="228">
        <v>162</v>
      </c>
      <c r="BD29" s="228">
        <v>136</v>
      </c>
      <c r="BE29" s="228">
        <v>26</v>
      </c>
      <c r="BF29" s="229">
        <v>0.19120000000000001</v>
      </c>
      <c r="BG29" s="230">
        <v>42754</v>
      </c>
      <c r="BH29" s="230">
        <v>25950</v>
      </c>
      <c r="BI29" s="230">
        <v>16804</v>
      </c>
      <c r="BJ29" s="229">
        <v>0.64759999999999995</v>
      </c>
      <c r="BK29" s="230">
        <v>20562</v>
      </c>
      <c r="BL29" s="230">
        <v>12665</v>
      </c>
      <c r="BM29" s="230">
        <v>7897</v>
      </c>
      <c r="BN29" s="229">
        <v>0.62350000000000005</v>
      </c>
      <c r="BO29" s="230">
        <v>82334</v>
      </c>
      <c r="BP29" s="230">
        <v>48983</v>
      </c>
      <c r="BQ29" s="230">
        <v>33351</v>
      </c>
      <c r="BR29" s="229">
        <v>0.68089999999999995</v>
      </c>
      <c r="BS29" s="230">
        <v>38378935</v>
      </c>
      <c r="BT29" s="230">
        <v>22319347</v>
      </c>
      <c r="BU29" s="230">
        <v>16059588</v>
      </c>
      <c r="BV29" s="229">
        <v>0.71950000000000003</v>
      </c>
      <c r="BW29" s="230">
        <v>222806000</v>
      </c>
      <c r="BX29" s="230">
        <v>221038000</v>
      </c>
      <c r="BY29" s="230">
        <v>1768000</v>
      </c>
      <c r="BZ29" s="229">
        <v>8.0000000000000002E-3</v>
      </c>
      <c r="CA29" s="230">
        <v>178568000</v>
      </c>
      <c r="CB29" s="230">
        <v>178570000</v>
      </c>
      <c r="CC29" s="230">
        <v>-2000</v>
      </c>
      <c r="CD29" s="229">
        <v>0</v>
      </c>
      <c r="CE29" s="230">
        <v>43622000</v>
      </c>
      <c r="CF29" s="230">
        <v>41920000</v>
      </c>
      <c r="CG29" s="230">
        <v>1702000</v>
      </c>
      <c r="CH29" s="229">
        <v>4.0599999999999997E-2</v>
      </c>
      <c r="CI29" s="230">
        <v>616000</v>
      </c>
      <c r="CJ29" s="230">
        <v>548000</v>
      </c>
      <c r="CK29" s="230">
        <v>68000</v>
      </c>
      <c r="CL29" s="229">
        <v>0.1241</v>
      </c>
      <c r="CM29" s="230">
        <v>47718000</v>
      </c>
      <c r="CN29" s="230">
        <v>48546000</v>
      </c>
      <c r="CO29" s="230">
        <v>-828000</v>
      </c>
      <c r="CP29" s="229">
        <v>-1.7100000000000001E-2</v>
      </c>
      <c r="CQ29" s="230">
        <v>29022000</v>
      </c>
      <c r="CR29" s="230">
        <v>31468000</v>
      </c>
      <c r="CS29" s="230">
        <v>-2446000</v>
      </c>
      <c r="CT29" s="229">
        <v>-7.7700000000000005E-2</v>
      </c>
      <c r="CU29" s="230">
        <v>299546000</v>
      </c>
      <c r="CV29" s="230">
        <v>301052000</v>
      </c>
      <c r="CW29" s="230">
        <v>-1506000</v>
      </c>
      <c r="CX29" s="229">
        <v>-5.0000000000000001E-3</v>
      </c>
      <c r="CY29" s="228">
        <v>24.39</v>
      </c>
      <c r="CZ29" s="228">
        <v>26.47</v>
      </c>
      <c r="DA29" s="228">
        <v>-2.08</v>
      </c>
      <c r="DB29" s="228">
        <v>-2.08</v>
      </c>
      <c r="DC29" s="228">
        <v>27.27</v>
      </c>
      <c r="DD29" s="228">
        <v>27.27</v>
      </c>
      <c r="DE29" s="228">
        <v>-2.88</v>
      </c>
      <c r="DF29" s="228">
        <v>0</v>
      </c>
      <c r="DG29" s="228">
        <v>24.2</v>
      </c>
      <c r="DH29" s="228">
        <v>26.32</v>
      </c>
      <c r="DI29" s="228">
        <v>-2.12</v>
      </c>
      <c r="DJ29" s="228">
        <v>-2.12</v>
      </c>
      <c r="DK29" s="228">
        <v>24.78</v>
      </c>
      <c r="DL29" s="228">
        <v>26.76</v>
      </c>
      <c r="DM29" s="228">
        <v>-1.98</v>
      </c>
      <c r="DN29" s="228">
        <v>-1.98</v>
      </c>
      <c r="DO29" s="228">
        <v>0.61</v>
      </c>
      <c r="DP29" s="228">
        <v>0.65</v>
      </c>
      <c r="DQ29" s="228">
        <v>-0.04</v>
      </c>
      <c r="DR29" s="229">
        <v>-6.1499999999999999E-2</v>
      </c>
      <c r="DS29" s="228">
        <v>400</v>
      </c>
      <c r="DT29" s="228">
        <v>360</v>
      </c>
      <c r="DU29" s="228">
        <v>0.48</v>
      </c>
      <c r="DV29" s="228">
        <v>0.49</v>
      </c>
      <c r="DW29" s="228">
        <v>-0.01</v>
      </c>
      <c r="DX29" s="229">
        <v>-2.0400000000000001E-2</v>
      </c>
      <c r="DY29" s="229">
        <v>0.19850000000000001</v>
      </c>
      <c r="DZ29" s="230">
        <v>42468000</v>
      </c>
      <c r="EA29" s="229">
        <v>6.4999999999999997E-3</v>
      </c>
      <c r="EB29" s="229">
        <v>0.19850000000000001</v>
      </c>
      <c r="EC29" s="228">
        <v>-0.15</v>
      </c>
      <c r="ED29" s="229">
        <v>-4.0000000000000002E-4</v>
      </c>
      <c r="EE29" s="230">
        <v>25709228</v>
      </c>
      <c r="EF29" s="230">
        <v>14651348</v>
      </c>
      <c r="EG29" s="229">
        <v>0.75470000000000004</v>
      </c>
      <c r="EH29" s="229">
        <v>0.66990000000000005</v>
      </c>
      <c r="EI29" s="231">
        <v>334007.42</v>
      </c>
      <c r="EJ29" s="231">
        <v>153076.43</v>
      </c>
      <c r="EK29" s="231">
        <v>142692.39000000001</v>
      </c>
      <c r="EL29" s="231">
        <v>20619</v>
      </c>
      <c r="EM29" s="231">
        <v>629776.24</v>
      </c>
      <c r="EN29" s="231">
        <v>373601.13</v>
      </c>
      <c r="EO29" s="231">
        <v>256175.11</v>
      </c>
      <c r="EP29" s="229">
        <v>0.68569999999999998</v>
      </c>
      <c r="EQ29" s="231">
        <v>187987</v>
      </c>
      <c r="ER29" s="231">
        <v>106733</v>
      </c>
      <c r="ES29" s="231">
        <v>845524</v>
      </c>
      <c r="ET29" s="231">
        <v>882793124</v>
      </c>
      <c r="EU29" s="231">
        <v>1140244</v>
      </c>
      <c r="EV29" s="231">
        <v>1130746</v>
      </c>
      <c r="EW29" s="231">
        <v>9498</v>
      </c>
      <c r="EX29" s="229">
        <v>8.3999999999999995E-3</v>
      </c>
      <c r="EY29" s="229">
        <v>0.33929999999999999</v>
      </c>
    </row>
    <row r="30" spans="1:155" ht="17.25" thickBot="1" x14ac:dyDescent="0.3">
      <c r="A30" s="226">
        <v>46148</v>
      </c>
      <c r="B30" s="227" t="s">
        <v>184</v>
      </c>
      <c r="C30" s="227" t="s">
        <v>249</v>
      </c>
      <c r="D30" s="231">
        <v>3999.7</v>
      </c>
      <c r="E30" s="231">
        <v>4079.2</v>
      </c>
      <c r="F30" s="228">
        <v>-79.5</v>
      </c>
      <c r="G30" s="229">
        <v>-1.95E-2</v>
      </c>
      <c r="H30" s="231">
        <v>4008.5</v>
      </c>
      <c r="I30" s="231">
        <v>4054.5</v>
      </c>
      <c r="J30" s="228">
        <v>-46</v>
      </c>
      <c r="K30" s="229">
        <v>-1.1299999999999999E-2</v>
      </c>
      <c r="L30" s="231">
        <v>3999.7</v>
      </c>
      <c r="M30" s="231">
        <v>4079.2</v>
      </c>
      <c r="N30" s="228">
        <v>-79.5</v>
      </c>
      <c r="O30" s="229">
        <v>-1.95E-2</v>
      </c>
      <c r="P30" s="231">
        <v>4020.3</v>
      </c>
      <c r="Q30" s="231">
        <v>4071.2</v>
      </c>
      <c r="R30" s="228">
        <v>-50.9</v>
      </c>
      <c r="S30" s="229">
        <v>-1.2500000000000001E-2</v>
      </c>
      <c r="T30" s="231">
        <v>4042.2</v>
      </c>
      <c r="U30" s="231">
        <v>4093.1</v>
      </c>
      <c r="V30" s="228">
        <v>-50.9</v>
      </c>
      <c r="W30" s="229">
        <v>-1.24E-2</v>
      </c>
      <c r="X30" s="228">
        <v>-8.8000000000000007</v>
      </c>
      <c r="Y30" s="228">
        <v>24.7</v>
      </c>
      <c r="Z30" s="228">
        <v>-33.5</v>
      </c>
      <c r="AA30" s="229">
        <v>-2.2000000000000001E-3</v>
      </c>
      <c r="AB30" s="228">
        <v>-8.8000000000000007</v>
      </c>
      <c r="AC30" s="228">
        <v>24.7</v>
      </c>
      <c r="AD30" s="228">
        <v>-33.5</v>
      </c>
      <c r="AE30" s="229">
        <v>-2.2000000000000001E-3</v>
      </c>
      <c r="AF30" s="228">
        <v>11.8</v>
      </c>
      <c r="AG30" s="228">
        <v>16.7</v>
      </c>
      <c r="AH30" s="228">
        <v>-4.9000000000000004</v>
      </c>
      <c r="AI30" s="229">
        <v>2.8999999999999998E-3</v>
      </c>
      <c r="AJ30" s="228">
        <v>33.700000000000003</v>
      </c>
      <c r="AK30" s="228">
        <v>38.6</v>
      </c>
      <c r="AL30" s="228">
        <v>-4.9000000000000004</v>
      </c>
      <c r="AM30" s="229">
        <v>8.3999999999999995E-3</v>
      </c>
      <c r="AN30" s="231">
        <v>3938.16</v>
      </c>
      <c r="AO30" s="231">
        <v>3953.48</v>
      </c>
      <c r="AP30" s="228">
        <v>0</v>
      </c>
      <c r="AQ30" s="230">
        <v>48116</v>
      </c>
      <c r="AR30" s="230">
        <v>18109</v>
      </c>
      <c r="AS30" s="230">
        <v>30007</v>
      </c>
      <c r="AT30" s="229">
        <v>1.657</v>
      </c>
      <c r="AU30" s="230">
        <v>44149</v>
      </c>
      <c r="AV30" s="230">
        <v>16926</v>
      </c>
      <c r="AW30" s="230">
        <v>27223</v>
      </c>
      <c r="AX30" s="229">
        <v>1.6084000000000001</v>
      </c>
      <c r="AY30" s="230">
        <v>3436</v>
      </c>
      <c r="AZ30" s="230">
        <v>1062</v>
      </c>
      <c r="BA30" s="230">
        <v>2374</v>
      </c>
      <c r="BB30" s="229">
        <v>2.2353999999999998</v>
      </c>
      <c r="BC30" s="228">
        <v>531</v>
      </c>
      <c r="BD30" s="228">
        <v>121</v>
      </c>
      <c r="BE30" s="228">
        <v>410</v>
      </c>
      <c r="BF30" s="229">
        <v>3.3883999999999999</v>
      </c>
      <c r="BG30" s="230">
        <v>212302</v>
      </c>
      <c r="BH30" s="230">
        <v>45594</v>
      </c>
      <c r="BI30" s="230">
        <v>166708</v>
      </c>
      <c r="BJ30" s="229">
        <v>3.6564000000000001</v>
      </c>
      <c r="BK30" s="230">
        <v>90297</v>
      </c>
      <c r="BL30" s="230">
        <v>29147</v>
      </c>
      <c r="BM30" s="230">
        <v>61150</v>
      </c>
      <c r="BN30" s="229">
        <v>2.0979999999999999</v>
      </c>
      <c r="BO30" s="230">
        <v>350715</v>
      </c>
      <c r="BP30" s="230">
        <v>92850</v>
      </c>
      <c r="BQ30" s="230">
        <v>257865</v>
      </c>
      <c r="BR30" s="229">
        <v>2.7772000000000001</v>
      </c>
      <c r="BS30" s="230">
        <v>10297364</v>
      </c>
      <c r="BT30" s="230">
        <v>3970512</v>
      </c>
      <c r="BU30" s="230">
        <v>6326852</v>
      </c>
      <c r="BV30" s="229">
        <v>1.5934999999999999</v>
      </c>
      <c r="BW30" s="230">
        <v>17416700</v>
      </c>
      <c r="BX30" s="230">
        <v>14811125</v>
      </c>
      <c r="BY30" s="230">
        <v>2605575</v>
      </c>
      <c r="BZ30" s="229">
        <v>0.1759</v>
      </c>
      <c r="CA30" s="230">
        <v>16422875</v>
      </c>
      <c r="CB30" s="230">
        <v>14046900</v>
      </c>
      <c r="CC30" s="230">
        <v>2375975</v>
      </c>
      <c r="CD30" s="229">
        <v>0.1691</v>
      </c>
      <c r="CE30" s="230">
        <v>921375</v>
      </c>
      <c r="CF30" s="230">
        <v>729575</v>
      </c>
      <c r="CG30" s="230">
        <v>191800</v>
      </c>
      <c r="CH30" s="229">
        <v>0.26290000000000002</v>
      </c>
      <c r="CI30" s="230">
        <v>72450</v>
      </c>
      <c r="CJ30" s="230">
        <v>34650</v>
      </c>
      <c r="CK30" s="230">
        <v>37800</v>
      </c>
      <c r="CL30" s="229">
        <v>1.0909</v>
      </c>
      <c r="CM30" s="230">
        <v>8452500</v>
      </c>
      <c r="CN30" s="230">
        <v>5732300</v>
      </c>
      <c r="CO30" s="230">
        <v>2720200</v>
      </c>
      <c r="CP30" s="229">
        <v>0.47449999999999998</v>
      </c>
      <c r="CQ30" s="230">
        <v>5061000</v>
      </c>
      <c r="CR30" s="230">
        <v>4503800</v>
      </c>
      <c r="CS30" s="230">
        <v>557200</v>
      </c>
      <c r="CT30" s="229">
        <v>0.1237</v>
      </c>
      <c r="CU30" s="230">
        <v>30930200</v>
      </c>
      <c r="CV30" s="230">
        <v>25047225</v>
      </c>
      <c r="CW30" s="230">
        <v>5882975</v>
      </c>
      <c r="CX30" s="229">
        <v>0.2349</v>
      </c>
      <c r="CY30" s="228">
        <v>26.93</v>
      </c>
      <c r="CZ30" s="228">
        <v>31.87</v>
      </c>
      <c r="DA30" s="228">
        <v>-4.9400000000000004</v>
      </c>
      <c r="DB30" s="228">
        <v>-4.9400000000000004</v>
      </c>
      <c r="DC30" s="228">
        <v>33.53</v>
      </c>
      <c r="DD30" s="228">
        <v>33.58</v>
      </c>
      <c r="DE30" s="228">
        <v>-6.6</v>
      </c>
      <c r="DF30" s="228">
        <v>-0.05</v>
      </c>
      <c r="DG30" s="228">
        <v>27.01</v>
      </c>
      <c r="DH30" s="228">
        <v>31.45</v>
      </c>
      <c r="DI30" s="228">
        <v>-4.4400000000000004</v>
      </c>
      <c r="DJ30" s="228">
        <v>-4.4400000000000004</v>
      </c>
      <c r="DK30" s="228">
        <v>26.74</v>
      </c>
      <c r="DL30" s="228">
        <v>32.53</v>
      </c>
      <c r="DM30" s="228">
        <v>-5.79</v>
      </c>
      <c r="DN30" s="228">
        <v>-5.79</v>
      </c>
      <c r="DO30" s="228">
        <v>0.6</v>
      </c>
      <c r="DP30" s="228">
        <v>0.79</v>
      </c>
      <c r="DQ30" s="228">
        <v>-0.19</v>
      </c>
      <c r="DR30" s="229">
        <v>-0.24049999999999999</v>
      </c>
      <c r="DS30" s="231">
        <v>4200</v>
      </c>
      <c r="DT30" s="231">
        <v>3900</v>
      </c>
      <c r="DU30" s="228">
        <v>0.43</v>
      </c>
      <c r="DV30" s="228">
        <v>0.64</v>
      </c>
      <c r="DW30" s="228">
        <v>-0.21</v>
      </c>
      <c r="DX30" s="229">
        <v>-0.3281</v>
      </c>
      <c r="DY30" s="229">
        <v>5.7099999999999998E-2</v>
      </c>
      <c r="DZ30" s="230">
        <v>764225</v>
      </c>
      <c r="EA30" s="229">
        <v>5.1999999999999998E-3</v>
      </c>
      <c r="EB30" s="229">
        <v>5.7099999999999998E-2</v>
      </c>
      <c r="EC30" s="228">
        <v>15.32</v>
      </c>
      <c r="ED30" s="229">
        <v>3.8999999999999998E-3</v>
      </c>
      <c r="EE30" s="230">
        <v>5539181</v>
      </c>
      <c r="EF30" s="230">
        <v>2089001</v>
      </c>
      <c r="EG30" s="229">
        <v>1.6516</v>
      </c>
      <c r="EH30" s="229">
        <v>0.53790000000000004</v>
      </c>
      <c r="EI30" s="231">
        <v>1550051.12</v>
      </c>
      <c r="EJ30" s="231">
        <v>616029.14</v>
      </c>
      <c r="EK30" s="231">
        <v>331730.59000000003</v>
      </c>
      <c r="EL30" s="231">
        <v>13406</v>
      </c>
      <c r="EM30" s="231">
        <v>2497810.85</v>
      </c>
      <c r="EN30" s="231">
        <v>679031.17</v>
      </c>
      <c r="EO30" s="231">
        <v>1818779.68</v>
      </c>
      <c r="EP30" s="229">
        <v>2.6785000000000001</v>
      </c>
      <c r="EQ30" s="231">
        <v>356176</v>
      </c>
      <c r="ER30" s="231">
        <v>197002</v>
      </c>
      <c r="ES30" s="231">
        <v>696836</v>
      </c>
      <c r="ET30" s="231">
        <v>136099497</v>
      </c>
      <c r="EU30" s="231">
        <v>1250014</v>
      </c>
      <c r="EV30" s="231">
        <v>1026446</v>
      </c>
      <c r="EW30" s="231">
        <v>223568</v>
      </c>
      <c r="EX30" s="229">
        <v>0.21779999999999999</v>
      </c>
      <c r="EY30" s="229">
        <v>0.2273</v>
      </c>
    </row>
    <row r="31" spans="1:155" ht="17.25" thickBot="1" x14ac:dyDescent="0.3">
      <c r="A31" s="226">
        <v>46148</v>
      </c>
      <c r="B31" s="227" t="s">
        <v>162</v>
      </c>
      <c r="C31" s="227" t="s">
        <v>251</v>
      </c>
      <c r="D31" s="231">
        <v>3314</v>
      </c>
      <c r="E31" s="231">
        <v>3229.6</v>
      </c>
      <c r="F31" s="228">
        <v>84.4</v>
      </c>
      <c r="G31" s="229">
        <v>2.6100000000000002E-2</v>
      </c>
      <c r="H31" s="231">
        <v>3300.8</v>
      </c>
      <c r="I31" s="231">
        <v>3210.8</v>
      </c>
      <c r="J31" s="228">
        <v>90</v>
      </c>
      <c r="K31" s="229">
        <v>2.8000000000000001E-2</v>
      </c>
      <c r="L31" s="231">
        <v>3314</v>
      </c>
      <c r="M31" s="231">
        <v>3229.6</v>
      </c>
      <c r="N31" s="228">
        <v>84.4</v>
      </c>
      <c r="O31" s="229">
        <v>2.6100000000000002E-2</v>
      </c>
      <c r="P31" s="231">
        <v>3334.1</v>
      </c>
      <c r="Q31" s="231">
        <v>3249.5</v>
      </c>
      <c r="R31" s="228">
        <v>84.6</v>
      </c>
      <c r="S31" s="229">
        <v>2.5999999999999999E-2</v>
      </c>
      <c r="T31" s="231">
        <v>3317.5</v>
      </c>
      <c r="U31" s="231">
        <v>3234.4</v>
      </c>
      <c r="V31" s="228">
        <v>83.1</v>
      </c>
      <c r="W31" s="229">
        <v>2.5700000000000001E-2</v>
      </c>
      <c r="X31" s="228">
        <v>13.2</v>
      </c>
      <c r="Y31" s="228">
        <v>18.8</v>
      </c>
      <c r="Z31" s="228">
        <v>-5.6</v>
      </c>
      <c r="AA31" s="229">
        <v>4.0000000000000001E-3</v>
      </c>
      <c r="AB31" s="228">
        <v>13.2</v>
      </c>
      <c r="AC31" s="228">
        <v>18.8</v>
      </c>
      <c r="AD31" s="228">
        <v>-5.6</v>
      </c>
      <c r="AE31" s="229">
        <v>4.0000000000000001E-3</v>
      </c>
      <c r="AF31" s="228">
        <v>33.299999999999997</v>
      </c>
      <c r="AG31" s="228">
        <v>38.700000000000003</v>
      </c>
      <c r="AH31" s="228">
        <v>-5.4</v>
      </c>
      <c r="AI31" s="229">
        <v>1.01E-2</v>
      </c>
      <c r="AJ31" s="228">
        <v>16.7</v>
      </c>
      <c r="AK31" s="228">
        <v>23.6</v>
      </c>
      <c r="AL31" s="228">
        <v>-6.9</v>
      </c>
      <c r="AM31" s="229">
        <v>5.1000000000000004E-3</v>
      </c>
      <c r="AN31" s="231">
        <v>3293.81</v>
      </c>
      <c r="AO31" s="231">
        <v>3315.67</v>
      </c>
      <c r="AP31" s="228">
        <v>0</v>
      </c>
      <c r="AQ31" s="230">
        <v>28947</v>
      </c>
      <c r="AR31" s="230">
        <v>40592</v>
      </c>
      <c r="AS31" s="230">
        <v>-11645</v>
      </c>
      <c r="AT31" s="229">
        <v>-0.28689999999999999</v>
      </c>
      <c r="AU31" s="230">
        <v>27305</v>
      </c>
      <c r="AV31" s="230">
        <v>37621</v>
      </c>
      <c r="AW31" s="230">
        <v>-10316</v>
      </c>
      <c r="AX31" s="229">
        <v>-0.2742</v>
      </c>
      <c r="AY31" s="230">
        <v>1250</v>
      </c>
      <c r="AZ31" s="230">
        <v>2280</v>
      </c>
      <c r="BA31" s="230">
        <v>-1030</v>
      </c>
      <c r="BB31" s="229">
        <v>-0.45179999999999998</v>
      </c>
      <c r="BC31" s="228">
        <v>392</v>
      </c>
      <c r="BD31" s="228">
        <v>691</v>
      </c>
      <c r="BE31" s="228">
        <v>-299</v>
      </c>
      <c r="BF31" s="229">
        <v>-0.43269999999999997</v>
      </c>
      <c r="BG31" s="230">
        <v>124452</v>
      </c>
      <c r="BH31" s="230">
        <v>159798</v>
      </c>
      <c r="BI31" s="230">
        <v>-35346</v>
      </c>
      <c r="BJ31" s="229">
        <v>-0.22120000000000001</v>
      </c>
      <c r="BK31" s="230">
        <v>62823</v>
      </c>
      <c r="BL31" s="230">
        <v>68875</v>
      </c>
      <c r="BM31" s="230">
        <v>-6052</v>
      </c>
      <c r="BN31" s="229">
        <v>-8.7900000000000006E-2</v>
      </c>
      <c r="BO31" s="230">
        <v>216222</v>
      </c>
      <c r="BP31" s="230">
        <v>269265</v>
      </c>
      <c r="BQ31" s="230">
        <v>-53043</v>
      </c>
      <c r="BR31" s="229">
        <v>-0.19700000000000001</v>
      </c>
      <c r="BS31" s="230">
        <v>6507788</v>
      </c>
      <c r="BT31" s="230">
        <v>6704274</v>
      </c>
      <c r="BU31" s="230">
        <v>-196486</v>
      </c>
      <c r="BV31" s="229">
        <v>-2.93E-2</v>
      </c>
      <c r="BW31" s="230">
        <v>19712600</v>
      </c>
      <c r="BX31" s="230">
        <v>20501200</v>
      </c>
      <c r="BY31" s="230">
        <v>-788600</v>
      </c>
      <c r="BZ31" s="229">
        <v>-3.85E-2</v>
      </c>
      <c r="CA31" s="230">
        <v>16492600</v>
      </c>
      <c r="CB31" s="230">
        <v>17362200</v>
      </c>
      <c r="CC31" s="230">
        <v>-869600</v>
      </c>
      <c r="CD31" s="229">
        <v>-5.0099999999999999E-2</v>
      </c>
      <c r="CE31" s="230">
        <v>3064200</v>
      </c>
      <c r="CF31" s="230">
        <v>3019000</v>
      </c>
      <c r="CG31" s="230">
        <v>45200</v>
      </c>
      <c r="CH31" s="229">
        <v>1.4999999999999999E-2</v>
      </c>
      <c r="CI31" s="230">
        <v>155800</v>
      </c>
      <c r="CJ31" s="230">
        <v>120000</v>
      </c>
      <c r="CK31" s="230">
        <v>35800</v>
      </c>
      <c r="CL31" s="229">
        <v>0.29830000000000001</v>
      </c>
      <c r="CM31" s="230">
        <v>5683600</v>
      </c>
      <c r="CN31" s="230">
        <v>5925000</v>
      </c>
      <c r="CO31" s="230">
        <v>-241400</v>
      </c>
      <c r="CP31" s="229">
        <v>-4.07E-2</v>
      </c>
      <c r="CQ31" s="230">
        <v>5029000</v>
      </c>
      <c r="CR31" s="230">
        <v>4616200</v>
      </c>
      <c r="CS31" s="230">
        <v>412800</v>
      </c>
      <c r="CT31" s="229">
        <v>8.9399999999999993E-2</v>
      </c>
      <c r="CU31" s="230">
        <v>30425200</v>
      </c>
      <c r="CV31" s="230">
        <v>31042400</v>
      </c>
      <c r="CW31" s="230">
        <v>-617200</v>
      </c>
      <c r="CX31" s="229">
        <v>-1.9900000000000001E-2</v>
      </c>
      <c r="CY31" s="228">
        <v>29</v>
      </c>
      <c r="CZ31" s="228">
        <v>32.51</v>
      </c>
      <c r="DA31" s="228">
        <v>-3.51</v>
      </c>
      <c r="DB31" s="228">
        <v>-3.51</v>
      </c>
      <c r="DC31" s="228">
        <v>35.89</v>
      </c>
      <c r="DD31" s="228">
        <v>35.79</v>
      </c>
      <c r="DE31" s="228">
        <v>-6.89</v>
      </c>
      <c r="DF31" s="228">
        <v>0.1</v>
      </c>
      <c r="DG31" s="228">
        <v>28.25</v>
      </c>
      <c r="DH31" s="228">
        <v>31.93</v>
      </c>
      <c r="DI31" s="228">
        <v>-3.68</v>
      </c>
      <c r="DJ31" s="228">
        <v>-3.68</v>
      </c>
      <c r="DK31" s="228">
        <v>30.5</v>
      </c>
      <c r="DL31" s="228">
        <v>33.85</v>
      </c>
      <c r="DM31" s="228">
        <v>-3.35</v>
      </c>
      <c r="DN31" s="228">
        <v>-3.35</v>
      </c>
      <c r="DO31" s="228">
        <v>0.88</v>
      </c>
      <c r="DP31" s="228">
        <v>0.78</v>
      </c>
      <c r="DQ31" s="228">
        <v>0.1</v>
      </c>
      <c r="DR31" s="229">
        <v>0.12820000000000001</v>
      </c>
      <c r="DS31" s="231">
        <v>3300</v>
      </c>
      <c r="DT31" s="231">
        <v>3100</v>
      </c>
      <c r="DU31" s="228">
        <v>0.5</v>
      </c>
      <c r="DV31" s="228">
        <v>0.43</v>
      </c>
      <c r="DW31" s="228">
        <v>7.0000000000000007E-2</v>
      </c>
      <c r="DX31" s="229">
        <v>0.1628</v>
      </c>
      <c r="DY31" s="229">
        <v>0.1633</v>
      </c>
      <c r="DZ31" s="230">
        <v>3139000</v>
      </c>
      <c r="EA31" s="229">
        <v>6.1000000000000004E-3</v>
      </c>
      <c r="EB31" s="229">
        <v>0.1633</v>
      </c>
      <c r="EC31" s="228">
        <v>21.86</v>
      </c>
      <c r="ED31" s="229">
        <v>6.6E-3</v>
      </c>
      <c r="EE31" s="230">
        <v>3073697</v>
      </c>
      <c r="EF31" s="230">
        <v>2135582</v>
      </c>
      <c r="EG31" s="229">
        <v>0.43930000000000002</v>
      </c>
      <c r="EH31" s="229">
        <v>0.4723</v>
      </c>
      <c r="EI31" s="231">
        <v>852499.39</v>
      </c>
      <c r="EJ31" s="231">
        <v>402942.18</v>
      </c>
      <c r="EK31" s="231">
        <v>190753.6</v>
      </c>
      <c r="EL31" s="231">
        <v>19534</v>
      </c>
      <c r="EM31" s="231">
        <v>1446195.17</v>
      </c>
      <c r="EN31" s="231">
        <v>1746763.37</v>
      </c>
      <c r="EO31" s="231">
        <v>-300568.2</v>
      </c>
      <c r="EP31" s="229">
        <v>-0.1721</v>
      </c>
      <c r="EQ31" s="231">
        <v>187998</v>
      </c>
      <c r="ER31" s="231">
        <v>156994</v>
      </c>
      <c r="ES31" s="231">
        <v>653897</v>
      </c>
      <c r="ET31" s="231">
        <v>120808308</v>
      </c>
      <c r="EU31" s="231">
        <v>998889</v>
      </c>
      <c r="EV31" s="231">
        <v>999896</v>
      </c>
      <c r="EW31" s="231">
        <v>-1007</v>
      </c>
      <c r="EX31" s="229">
        <v>-1E-3</v>
      </c>
      <c r="EY31" s="229">
        <v>0.25180000000000002</v>
      </c>
    </row>
    <row r="32" spans="1:155" ht="17.25" thickBot="1" x14ac:dyDescent="0.3">
      <c r="A32" s="226">
        <v>46148</v>
      </c>
      <c r="B32" s="227" t="s">
        <v>162</v>
      </c>
      <c r="C32" s="227" t="s">
        <v>255</v>
      </c>
      <c r="D32" s="231">
        <v>13804</v>
      </c>
      <c r="E32" s="231">
        <v>13452</v>
      </c>
      <c r="F32" s="228">
        <v>352</v>
      </c>
      <c r="G32" s="229">
        <v>2.6200000000000001E-2</v>
      </c>
      <c r="H32" s="231">
        <v>13722</v>
      </c>
      <c r="I32" s="231">
        <v>13426</v>
      </c>
      <c r="J32" s="228">
        <v>296</v>
      </c>
      <c r="K32" s="229">
        <v>2.1999999999999999E-2</v>
      </c>
      <c r="L32" s="231">
        <v>13804</v>
      </c>
      <c r="M32" s="231">
        <v>13452</v>
      </c>
      <c r="N32" s="228">
        <v>352</v>
      </c>
      <c r="O32" s="229">
        <v>2.6200000000000001E-2</v>
      </c>
      <c r="P32" s="231">
        <v>13888</v>
      </c>
      <c r="Q32" s="231">
        <v>13551</v>
      </c>
      <c r="R32" s="228">
        <v>337</v>
      </c>
      <c r="S32" s="229">
        <v>2.4899999999999999E-2</v>
      </c>
      <c r="T32" s="231">
        <v>13972</v>
      </c>
      <c r="U32" s="231">
        <v>13632</v>
      </c>
      <c r="V32" s="228">
        <v>340</v>
      </c>
      <c r="W32" s="229">
        <v>2.4899999999999999E-2</v>
      </c>
      <c r="X32" s="228">
        <v>82</v>
      </c>
      <c r="Y32" s="228">
        <v>26</v>
      </c>
      <c r="Z32" s="228">
        <v>56</v>
      </c>
      <c r="AA32" s="229">
        <v>6.0000000000000001E-3</v>
      </c>
      <c r="AB32" s="228">
        <v>82</v>
      </c>
      <c r="AC32" s="228">
        <v>26</v>
      </c>
      <c r="AD32" s="228">
        <v>56</v>
      </c>
      <c r="AE32" s="229">
        <v>6.0000000000000001E-3</v>
      </c>
      <c r="AF32" s="228">
        <v>166</v>
      </c>
      <c r="AG32" s="228">
        <v>125</v>
      </c>
      <c r="AH32" s="228">
        <v>41</v>
      </c>
      <c r="AI32" s="229">
        <v>1.21E-2</v>
      </c>
      <c r="AJ32" s="228">
        <v>250</v>
      </c>
      <c r="AK32" s="228">
        <v>206</v>
      </c>
      <c r="AL32" s="228">
        <v>44</v>
      </c>
      <c r="AM32" s="229">
        <v>1.8200000000000001E-2</v>
      </c>
      <c r="AN32" s="231">
        <v>13674.27</v>
      </c>
      <c r="AO32" s="231">
        <v>13730</v>
      </c>
      <c r="AP32" s="228">
        <v>0</v>
      </c>
      <c r="AQ32" s="230">
        <v>9297</v>
      </c>
      <c r="AR32" s="230">
        <v>8719</v>
      </c>
      <c r="AS32" s="228">
        <v>578</v>
      </c>
      <c r="AT32" s="229">
        <v>6.6299999999999998E-2</v>
      </c>
      <c r="AU32" s="230">
        <v>8576</v>
      </c>
      <c r="AV32" s="230">
        <v>8336</v>
      </c>
      <c r="AW32" s="228">
        <v>240</v>
      </c>
      <c r="AX32" s="229">
        <v>2.8799999999999999E-2</v>
      </c>
      <c r="AY32" s="228">
        <v>652</v>
      </c>
      <c r="AZ32" s="228">
        <v>345</v>
      </c>
      <c r="BA32" s="228">
        <v>307</v>
      </c>
      <c r="BB32" s="229">
        <v>0.88990000000000002</v>
      </c>
      <c r="BC32" s="228">
        <v>69</v>
      </c>
      <c r="BD32" s="228">
        <v>38</v>
      </c>
      <c r="BE32" s="228">
        <v>31</v>
      </c>
      <c r="BF32" s="229">
        <v>0.81579999999999997</v>
      </c>
      <c r="BG32" s="230">
        <v>72796</v>
      </c>
      <c r="BH32" s="230">
        <v>51986</v>
      </c>
      <c r="BI32" s="230">
        <v>20810</v>
      </c>
      <c r="BJ32" s="229">
        <v>0.40029999999999999</v>
      </c>
      <c r="BK32" s="230">
        <v>33443</v>
      </c>
      <c r="BL32" s="230">
        <v>27651</v>
      </c>
      <c r="BM32" s="230">
        <v>5792</v>
      </c>
      <c r="BN32" s="229">
        <v>0.20949999999999999</v>
      </c>
      <c r="BO32" s="230">
        <v>115536</v>
      </c>
      <c r="BP32" s="230">
        <v>88356</v>
      </c>
      <c r="BQ32" s="230">
        <v>27180</v>
      </c>
      <c r="BR32" s="229">
        <v>0.30759999999999998</v>
      </c>
      <c r="BS32" s="230">
        <v>460671</v>
      </c>
      <c r="BT32" s="230">
        <v>440715</v>
      </c>
      <c r="BU32" s="230">
        <v>19956</v>
      </c>
      <c r="BV32" s="229">
        <v>4.53E-2</v>
      </c>
      <c r="BW32" s="230">
        <v>3150600</v>
      </c>
      <c r="BX32" s="230">
        <v>3118300</v>
      </c>
      <c r="BY32" s="230">
        <v>32300</v>
      </c>
      <c r="BZ32" s="229">
        <v>1.04E-2</v>
      </c>
      <c r="CA32" s="230">
        <v>2527000</v>
      </c>
      <c r="CB32" s="230">
        <v>2498050</v>
      </c>
      <c r="CC32" s="230">
        <v>28950</v>
      </c>
      <c r="CD32" s="229">
        <v>1.1599999999999999E-2</v>
      </c>
      <c r="CE32" s="230">
        <v>617300</v>
      </c>
      <c r="CF32" s="230">
        <v>614750</v>
      </c>
      <c r="CG32" s="230">
        <v>2550</v>
      </c>
      <c r="CH32" s="229">
        <v>4.1000000000000003E-3</v>
      </c>
      <c r="CI32" s="230">
        <v>6300</v>
      </c>
      <c r="CJ32" s="230">
        <v>5500</v>
      </c>
      <c r="CK32" s="228">
        <v>800</v>
      </c>
      <c r="CL32" s="229">
        <v>0.14549999999999999</v>
      </c>
      <c r="CM32" s="230">
        <v>2050450</v>
      </c>
      <c r="CN32" s="230">
        <v>2267400</v>
      </c>
      <c r="CO32" s="230">
        <v>-216950</v>
      </c>
      <c r="CP32" s="229">
        <v>-9.5699999999999993E-2</v>
      </c>
      <c r="CQ32" s="230">
        <v>994100</v>
      </c>
      <c r="CR32" s="230">
        <v>915850</v>
      </c>
      <c r="CS32" s="230">
        <v>78250</v>
      </c>
      <c r="CT32" s="229">
        <v>8.5400000000000004E-2</v>
      </c>
      <c r="CU32" s="230">
        <v>6195150</v>
      </c>
      <c r="CV32" s="230">
        <v>6301550</v>
      </c>
      <c r="CW32" s="230">
        <v>-106400</v>
      </c>
      <c r="CX32" s="229">
        <v>-1.6899999999999998E-2</v>
      </c>
      <c r="CY32" s="228">
        <v>25.49</v>
      </c>
      <c r="CZ32" s="228">
        <v>26.51</v>
      </c>
      <c r="DA32" s="228">
        <v>-1.02</v>
      </c>
      <c r="DB32" s="228">
        <v>-1.02</v>
      </c>
      <c r="DC32" s="228">
        <v>29.05</v>
      </c>
      <c r="DD32" s="228">
        <v>28.97</v>
      </c>
      <c r="DE32" s="228">
        <v>-3.56</v>
      </c>
      <c r="DF32" s="228">
        <v>0.08</v>
      </c>
      <c r="DG32" s="228">
        <v>24.38</v>
      </c>
      <c r="DH32" s="228">
        <v>26.08</v>
      </c>
      <c r="DI32" s="228">
        <v>-1.7</v>
      </c>
      <c r="DJ32" s="228">
        <v>-1.7</v>
      </c>
      <c r="DK32" s="228">
        <v>27.9</v>
      </c>
      <c r="DL32" s="228">
        <v>27.34</v>
      </c>
      <c r="DM32" s="228">
        <v>0.56000000000000005</v>
      </c>
      <c r="DN32" s="228">
        <v>0.56000000000000005</v>
      </c>
      <c r="DO32" s="228">
        <v>0.48</v>
      </c>
      <c r="DP32" s="228">
        <v>0.4</v>
      </c>
      <c r="DQ32" s="228">
        <v>0.08</v>
      </c>
      <c r="DR32" s="229">
        <v>0.2</v>
      </c>
      <c r="DS32" s="231">
        <v>14000</v>
      </c>
      <c r="DT32" s="231">
        <v>12500</v>
      </c>
      <c r="DU32" s="228">
        <v>0.46</v>
      </c>
      <c r="DV32" s="228">
        <v>0.53</v>
      </c>
      <c r="DW32" s="228">
        <v>-7.0000000000000007E-2</v>
      </c>
      <c r="DX32" s="229">
        <v>-0.1321</v>
      </c>
      <c r="DY32" s="229">
        <v>0.19789999999999999</v>
      </c>
      <c r="DZ32" s="230">
        <v>620250</v>
      </c>
      <c r="EA32" s="229">
        <v>6.1000000000000004E-3</v>
      </c>
      <c r="EB32" s="229">
        <v>0.19789999999999999</v>
      </c>
      <c r="EC32" s="228">
        <v>55.73</v>
      </c>
      <c r="ED32" s="229">
        <v>4.1000000000000003E-3</v>
      </c>
      <c r="EE32" s="230">
        <v>199664</v>
      </c>
      <c r="EF32" s="230">
        <v>222260</v>
      </c>
      <c r="EG32" s="229">
        <v>-0.1017</v>
      </c>
      <c r="EH32" s="229">
        <v>0.43340000000000001</v>
      </c>
      <c r="EI32" s="231">
        <v>520611.65</v>
      </c>
      <c r="EJ32" s="231">
        <v>219684.35</v>
      </c>
      <c r="EK32" s="231">
        <v>63587.89</v>
      </c>
      <c r="EL32" s="231">
        <v>14212</v>
      </c>
      <c r="EM32" s="231">
        <v>803883.89</v>
      </c>
      <c r="EN32" s="231">
        <v>611594.64</v>
      </c>
      <c r="EO32" s="231">
        <v>192289.25</v>
      </c>
      <c r="EP32" s="229">
        <v>0.31440000000000001</v>
      </c>
      <c r="EQ32" s="231">
        <v>289327</v>
      </c>
      <c r="ER32" s="231">
        <v>128003</v>
      </c>
      <c r="ES32" s="231">
        <v>435438</v>
      </c>
      <c r="ET32" s="231">
        <v>19673414</v>
      </c>
      <c r="EU32" s="231">
        <v>852768</v>
      </c>
      <c r="EV32" s="231">
        <v>857618</v>
      </c>
      <c r="EW32" s="231">
        <v>-4850</v>
      </c>
      <c r="EX32" s="229">
        <v>-5.7000000000000002E-3</v>
      </c>
      <c r="EY32" s="229">
        <v>0.31490000000000001</v>
      </c>
    </row>
    <row r="33" spans="1:155" ht="17.25" thickBot="1" x14ac:dyDescent="0.3">
      <c r="A33" s="226">
        <v>46148</v>
      </c>
      <c r="B33" s="227" t="s">
        <v>170</v>
      </c>
      <c r="C33" s="227" t="s">
        <v>602</v>
      </c>
      <c r="D33" s="231">
        <v>1022.25</v>
      </c>
      <c r="E33" s="231">
        <v>1005.75</v>
      </c>
      <c r="F33" s="228">
        <v>16.5</v>
      </c>
      <c r="G33" s="229">
        <v>1.6400000000000001E-2</v>
      </c>
      <c r="H33" s="231">
        <v>1015.9</v>
      </c>
      <c r="I33" s="231">
        <v>1000.45</v>
      </c>
      <c r="J33" s="228">
        <v>15.45</v>
      </c>
      <c r="K33" s="229">
        <v>1.54E-2</v>
      </c>
      <c r="L33" s="231">
        <v>1022.25</v>
      </c>
      <c r="M33" s="231">
        <v>1005.75</v>
      </c>
      <c r="N33" s="228">
        <v>16.5</v>
      </c>
      <c r="O33" s="229">
        <v>1.6400000000000001E-2</v>
      </c>
      <c r="P33" s="231">
        <v>1029.3499999999999</v>
      </c>
      <c r="Q33" s="231">
        <v>1013.25</v>
      </c>
      <c r="R33" s="228">
        <v>16.100000000000001</v>
      </c>
      <c r="S33" s="229">
        <v>1.5900000000000001E-2</v>
      </c>
      <c r="T33" s="231">
        <v>1035</v>
      </c>
      <c r="U33" s="231">
        <v>1017</v>
      </c>
      <c r="V33" s="228">
        <v>18</v>
      </c>
      <c r="W33" s="229">
        <v>1.77E-2</v>
      </c>
      <c r="X33" s="228">
        <v>6.35</v>
      </c>
      <c r="Y33" s="228">
        <v>5.3</v>
      </c>
      <c r="Z33" s="228">
        <v>1.05</v>
      </c>
      <c r="AA33" s="229">
        <v>6.3E-3</v>
      </c>
      <c r="AB33" s="228">
        <v>6.35</v>
      </c>
      <c r="AC33" s="228">
        <v>5.3</v>
      </c>
      <c r="AD33" s="228">
        <v>1.05</v>
      </c>
      <c r="AE33" s="229">
        <v>6.3E-3</v>
      </c>
      <c r="AF33" s="228">
        <v>13.45</v>
      </c>
      <c r="AG33" s="228">
        <v>12.8</v>
      </c>
      <c r="AH33" s="228">
        <v>0.65</v>
      </c>
      <c r="AI33" s="229">
        <v>1.32E-2</v>
      </c>
      <c r="AJ33" s="228">
        <v>19.100000000000001</v>
      </c>
      <c r="AK33" s="228">
        <v>16.55</v>
      </c>
      <c r="AL33" s="228">
        <v>2.5499999999999998</v>
      </c>
      <c r="AM33" s="229">
        <v>1.8800000000000001E-2</v>
      </c>
      <c r="AN33" s="231">
        <v>1020.73</v>
      </c>
      <c r="AO33" s="231">
        <v>1025.77</v>
      </c>
      <c r="AP33" s="228">
        <v>0</v>
      </c>
      <c r="AQ33" s="230">
        <v>2136</v>
      </c>
      <c r="AR33" s="230">
        <v>1975</v>
      </c>
      <c r="AS33" s="228">
        <v>161</v>
      </c>
      <c r="AT33" s="229">
        <v>8.1500000000000003E-2</v>
      </c>
      <c r="AU33" s="230">
        <v>1981</v>
      </c>
      <c r="AV33" s="230">
        <v>1799</v>
      </c>
      <c r="AW33" s="228">
        <v>182</v>
      </c>
      <c r="AX33" s="229">
        <v>0.1012</v>
      </c>
      <c r="AY33" s="228">
        <v>146</v>
      </c>
      <c r="AZ33" s="228">
        <v>175</v>
      </c>
      <c r="BA33" s="228">
        <v>-29</v>
      </c>
      <c r="BB33" s="229">
        <v>-0.16569999999999999</v>
      </c>
      <c r="BC33" s="228">
        <v>9</v>
      </c>
      <c r="BD33" s="228">
        <v>1</v>
      </c>
      <c r="BE33" s="228">
        <v>8</v>
      </c>
      <c r="BF33" s="229">
        <v>8</v>
      </c>
      <c r="BG33" s="230">
        <v>3819</v>
      </c>
      <c r="BH33" s="230">
        <v>2108</v>
      </c>
      <c r="BI33" s="230">
        <v>1711</v>
      </c>
      <c r="BJ33" s="229">
        <v>0.81169999999999998</v>
      </c>
      <c r="BK33" s="230">
        <v>1703</v>
      </c>
      <c r="BL33" s="230">
        <v>1527</v>
      </c>
      <c r="BM33" s="228">
        <v>176</v>
      </c>
      <c r="BN33" s="229">
        <v>0.1153</v>
      </c>
      <c r="BO33" s="230">
        <v>7658</v>
      </c>
      <c r="BP33" s="230">
        <v>5610</v>
      </c>
      <c r="BQ33" s="230">
        <v>2048</v>
      </c>
      <c r="BR33" s="229">
        <v>0.36509999999999998</v>
      </c>
      <c r="BS33" s="230">
        <v>1356559</v>
      </c>
      <c r="BT33" s="230">
        <v>990491</v>
      </c>
      <c r="BU33" s="230">
        <v>366068</v>
      </c>
      <c r="BV33" s="229">
        <v>0.36959999999999998</v>
      </c>
      <c r="BW33" s="230">
        <v>13322400</v>
      </c>
      <c r="BX33" s="230">
        <v>13389600</v>
      </c>
      <c r="BY33" s="230">
        <v>-67200</v>
      </c>
      <c r="BZ33" s="229">
        <v>-5.0000000000000001E-3</v>
      </c>
      <c r="CA33" s="230">
        <v>12048750</v>
      </c>
      <c r="CB33" s="230">
        <v>12144300</v>
      </c>
      <c r="CC33" s="230">
        <v>-95550</v>
      </c>
      <c r="CD33" s="229">
        <v>-7.9000000000000008E-3</v>
      </c>
      <c r="CE33" s="230">
        <v>1256850</v>
      </c>
      <c r="CF33" s="230">
        <v>1232175</v>
      </c>
      <c r="CG33" s="230">
        <v>24675</v>
      </c>
      <c r="CH33" s="229">
        <v>0.02</v>
      </c>
      <c r="CI33" s="230">
        <v>16800</v>
      </c>
      <c r="CJ33" s="230">
        <v>13125</v>
      </c>
      <c r="CK33" s="230">
        <v>3675</v>
      </c>
      <c r="CL33" s="229">
        <v>0.28000000000000003</v>
      </c>
      <c r="CM33" s="230">
        <v>2504775</v>
      </c>
      <c r="CN33" s="230">
        <v>2239650</v>
      </c>
      <c r="CO33" s="230">
        <v>265125</v>
      </c>
      <c r="CP33" s="229">
        <v>0.11840000000000001</v>
      </c>
      <c r="CQ33" s="230">
        <v>1277325</v>
      </c>
      <c r="CR33" s="230">
        <v>1311975</v>
      </c>
      <c r="CS33" s="230">
        <v>-34650</v>
      </c>
      <c r="CT33" s="229">
        <v>-2.64E-2</v>
      </c>
      <c r="CU33" s="230">
        <v>17104500</v>
      </c>
      <c r="CV33" s="230">
        <v>16941225</v>
      </c>
      <c r="CW33" s="230">
        <v>163275</v>
      </c>
      <c r="CX33" s="229">
        <v>9.5999999999999992E-3</v>
      </c>
      <c r="CY33" s="228">
        <v>29.34</v>
      </c>
      <c r="CZ33" s="228">
        <v>30.72</v>
      </c>
      <c r="DA33" s="228">
        <v>-1.38</v>
      </c>
      <c r="DB33" s="228">
        <v>-1.38</v>
      </c>
      <c r="DC33" s="228">
        <v>35.58</v>
      </c>
      <c r="DD33" s="228">
        <v>35.61</v>
      </c>
      <c r="DE33" s="228">
        <v>-6.24</v>
      </c>
      <c r="DF33" s="228">
        <v>-0.03</v>
      </c>
      <c r="DG33" s="228">
        <v>29.52</v>
      </c>
      <c r="DH33" s="228">
        <v>30.93</v>
      </c>
      <c r="DI33" s="228">
        <v>-1.41</v>
      </c>
      <c r="DJ33" s="228">
        <v>-1.41</v>
      </c>
      <c r="DK33" s="228">
        <v>28.92</v>
      </c>
      <c r="DL33" s="228">
        <v>30.43</v>
      </c>
      <c r="DM33" s="228">
        <v>-1.51</v>
      </c>
      <c r="DN33" s="228">
        <v>-1.51</v>
      </c>
      <c r="DO33" s="228">
        <v>0.51</v>
      </c>
      <c r="DP33" s="228">
        <v>0.59</v>
      </c>
      <c r="DQ33" s="228">
        <v>-0.08</v>
      </c>
      <c r="DR33" s="229">
        <v>-0.1356</v>
      </c>
      <c r="DS33" s="231">
        <v>1100</v>
      </c>
      <c r="DT33" s="231">
        <v>1000</v>
      </c>
      <c r="DU33" s="228">
        <v>0.45</v>
      </c>
      <c r="DV33" s="228">
        <v>0.72</v>
      </c>
      <c r="DW33" s="228">
        <v>-0.27</v>
      </c>
      <c r="DX33" s="229">
        <v>-0.375</v>
      </c>
      <c r="DY33" s="229">
        <v>9.5600000000000004E-2</v>
      </c>
      <c r="DZ33" s="230">
        <v>1245300</v>
      </c>
      <c r="EA33" s="229">
        <v>6.8999999999999999E-3</v>
      </c>
      <c r="EB33" s="229">
        <v>9.5600000000000004E-2</v>
      </c>
      <c r="EC33" s="228">
        <v>5.04</v>
      </c>
      <c r="ED33" s="229">
        <v>4.8999999999999998E-3</v>
      </c>
      <c r="EE33" s="230">
        <v>885346</v>
      </c>
      <c r="EF33" s="230">
        <v>429677</v>
      </c>
      <c r="EG33" s="229">
        <v>1.0605</v>
      </c>
      <c r="EH33" s="229">
        <v>0.65259999999999996</v>
      </c>
      <c r="EI33" s="231">
        <v>21449.02</v>
      </c>
      <c r="EJ33" s="231">
        <v>9096.5400000000009</v>
      </c>
      <c r="EK33" s="231">
        <v>11450.89</v>
      </c>
      <c r="EL33" s="231">
        <v>2813</v>
      </c>
      <c r="EM33" s="231">
        <v>41996.45</v>
      </c>
      <c r="EN33" s="231">
        <v>30419.43</v>
      </c>
      <c r="EO33" s="231">
        <v>11577.02</v>
      </c>
      <c r="EP33" s="229">
        <v>0.38059999999999999</v>
      </c>
      <c r="EQ33" s="231">
        <v>26558</v>
      </c>
      <c r="ER33" s="231">
        <v>12759</v>
      </c>
      <c r="ES33" s="231">
        <v>136280</v>
      </c>
      <c r="ET33" s="231">
        <v>111298748</v>
      </c>
      <c r="EU33" s="231">
        <v>175596</v>
      </c>
      <c r="EV33" s="231">
        <v>171503</v>
      </c>
      <c r="EW33" s="231">
        <v>4093</v>
      </c>
      <c r="EX33" s="229">
        <v>2.3900000000000001E-2</v>
      </c>
      <c r="EY33" s="229">
        <v>0.1537</v>
      </c>
    </row>
    <row r="34" spans="1:155" ht="17.25" thickBot="1" x14ac:dyDescent="0.3">
      <c r="A34" s="226">
        <v>46148</v>
      </c>
      <c r="B34" s="227" t="s">
        <v>168</v>
      </c>
      <c r="C34" s="227" t="s">
        <v>265</v>
      </c>
      <c r="D34" s="231">
        <v>1490.7</v>
      </c>
      <c r="E34" s="231">
        <v>1479.8</v>
      </c>
      <c r="F34" s="228">
        <v>10.9</v>
      </c>
      <c r="G34" s="229">
        <v>7.4000000000000003E-3</v>
      </c>
      <c r="H34" s="231">
        <v>1486.1</v>
      </c>
      <c r="I34" s="231">
        <v>1477.8</v>
      </c>
      <c r="J34" s="228">
        <v>8.3000000000000007</v>
      </c>
      <c r="K34" s="229">
        <v>5.5999999999999999E-3</v>
      </c>
      <c r="L34" s="231">
        <v>1490.7</v>
      </c>
      <c r="M34" s="231">
        <v>1479.8</v>
      </c>
      <c r="N34" s="228">
        <v>10.9</v>
      </c>
      <c r="O34" s="229">
        <v>7.4000000000000003E-3</v>
      </c>
      <c r="P34" s="231">
        <v>1499.1</v>
      </c>
      <c r="Q34" s="231">
        <v>1488.7</v>
      </c>
      <c r="R34" s="228">
        <v>10.4</v>
      </c>
      <c r="S34" s="229">
        <v>7.0000000000000001E-3</v>
      </c>
      <c r="T34" s="231">
        <v>1503.8</v>
      </c>
      <c r="U34" s="231">
        <v>1492.9</v>
      </c>
      <c r="V34" s="228">
        <v>10.9</v>
      </c>
      <c r="W34" s="229">
        <v>7.3000000000000001E-3</v>
      </c>
      <c r="X34" s="228">
        <v>4.5999999999999996</v>
      </c>
      <c r="Y34" s="228">
        <v>2</v>
      </c>
      <c r="Z34" s="228">
        <v>2.6</v>
      </c>
      <c r="AA34" s="229">
        <v>3.0999999999999999E-3</v>
      </c>
      <c r="AB34" s="228">
        <v>4.5999999999999996</v>
      </c>
      <c r="AC34" s="228">
        <v>2</v>
      </c>
      <c r="AD34" s="228">
        <v>2.6</v>
      </c>
      <c r="AE34" s="229">
        <v>3.0999999999999999E-3</v>
      </c>
      <c r="AF34" s="228">
        <v>13</v>
      </c>
      <c r="AG34" s="228">
        <v>10.9</v>
      </c>
      <c r="AH34" s="228">
        <v>2.1</v>
      </c>
      <c r="AI34" s="229">
        <v>8.6999999999999994E-3</v>
      </c>
      <c r="AJ34" s="228">
        <v>17.7</v>
      </c>
      <c r="AK34" s="228">
        <v>15.1</v>
      </c>
      <c r="AL34" s="228">
        <v>2.6</v>
      </c>
      <c r="AM34" s="229">
        <v>1.1900000000000001E-2</v>
      </c>
      <c r="AN34" s="231">
        <v>1484.3</v>
      </c>
      <c r="AO34" s="231">
        <v>1492.74</v>
      </c>
      <c r="AP34" s="228">
        <v>0</v>
      </c>
      <c r="AQ34" s="230">
        <v>4499</v>
      </c>
      <c r="AR34" s="230">
        <v>4559</v>
      </c>
      <c r="AS34" s="228">
        <v>-60</v>
      </c>
      <c r="AT34" s="229">
        <v>-1.32E-2</v>
      </c>
      <c r="AU34" s="230">
        <v>4174</v>
      </c>
      <c r="AV34" s="230">
        <v>4381</v>
      </c>
      <c r="AW34" s="228">
        <v>-207</v>
      </c>
      <c r="AX34" s="229">
        <v>-4.7199999999999999E-2</v>
      </c>
      <c r="AY34" s="228">
        <v>155</v>
      </c>
      <c r="AZ34" s="228">
        <v>161</v>
      </c>
      <c r="BA34" s="228">
        <v>-6</v>
      </c>
      <c r="BB34" s="229">
        <v>-3.73E-2</v>
      </c>
      <c r="BC34" s="228">
        <v>170</v>
      </c>
      <c r="BD34" s="228">
        <v>17</v>
      </c>
      <c r="BE34" s="228">
        <v>153</v>
      </c>
      <c r="BF34" s="229">
        <v>9</v>
      </c>
      <c r="BG34" s="230">
        <v>9909</v>
      </c>
      <c r="BH34" s="230">
        <v>9424</v>
      </c>
      <c r="BI34" s="228">
        <v>485</v>
      </c>
      <c r="BJ34" s="229">
        <v>5.1499999999999997E-2</v>
      </c>
      <c r="BK34" s="230">
        <v>9402</v>
      </c>
      <c r="BL34" s="230">
        <v>6591</v>
      </c>
      <c r="BM34" s="230">
        <v>2811</v>
      </c>
      <c r="BN34" s="229">
        <v>0.42649999999999999</v>
      </c>
      <c r="BO34" s="230">
        <v>23810</v>
      </c>
      <c r="BP34" s="230">
        <v>20574</v>
      </c>
      <c r="BQ34" s="230">
        <v>3236</v>
      </c>
      <c r="BR34" s="229">
        <v>0.1573</v>
      </c>
      <c r="BS34" s="230">
        <v>2300779</v>
      </c>
      <c r="BT34" s="230">
        <v>2630637</v>
      </c>
      <c r="BU34" s="230">
        <v>-329858</v>
      </c>
      <c r="BV34" s="229">
        <v>-0.12540000000000001</v>
      </c>
      <c r="BW34" s="230">
        <v>14470000</v>
      </c>
      <c r="BX34" s="230">
        <v>14404000</v>
      </c>
      <c r="BY34" s="230">
        <v>66000</v>
      </c>
      <c r="BZ34" s="229">
        <v>4.5999999999999999E-3</v>
      </c>
      <c r="CA34" s="230">
        <v>13296500</v>
      </c>
      <c r="CB34" s="230">
        <v>13316500</v>
      </c>
      <c r="CC34" s="230">
        <v>-20000</v>
      </c>
      <c r="CD34" s="229">
        <v>-1.5E-3</v>
      </c>
      <c r="CE34" s="230">
        <v>1090000</v>
      </c>
      <c r="CF34" s="230">
        <v>1073000</v>
      </c>
      <c r="CG34" s="230">
        <v>17000</v>
      </c>
      <c r="CH34" s="229">
        <v>1.5800000000000002E-2</v>
      </c>
      <c r="CI34" s="230">
        <v>83500</v>
      </c>
      <c r="CJ34" s="230">
        <v>14500</v>
      </c>
      <c r="CK34" s="230">
        <v>69000</v>
      </c>
      <c r="CL34" s="229">
        <v>4.7586000000000004</v>
      </c>
      <c r="CM34" s="230">
        <v>4218000</v>
      </c>
      <c r="CN34" s="230">
        <v>4013000</v>
      </c>
      <c r="CO34" s="230">
        <v>205000</v>
      </c>
      <c r="CP34" s="229">
        <v>5.11E-2</v>
      </c>
      <c r="CQ34" s="230">
        <v>4548000</v>
      </c>
      <c r="CR34" s="230">
        <v>3740000</v>
      </c>
      <c r="CS34" s="230">
        <v>808000</v>
      </c>
      <c r="CT34" s="229">
        <v>0.216</v>
      </c>
      <c r="CU34" s="230">
        <v>23236000</v>
      </c>
      <c r="CV34" s="230">
        <v>22157000</v>
      </c>
      <c r="CW34" s="230">
        <v>1079000</v>
      </c>
      <c r="CX34" s="229">
        <v>4.87E-2</v>
      </c>
      <c r="CY34" s="228">
        <v>22.25</v>
      </c>
      <c r="CZ34" s="228">
        <v>22.43</v>
      </c>
      <c r="DA34" s="228">
        <v>-0.18</v>
      </c>
      <c r="DB34" s="228">
        <v>-0.18</v>
      </c>
      <c r="DC34" s="228">
        <v>25.07</v>
      </c>
      <c r="DD34" s="228">
        <v>25.13</v>
      </c>
      <c r="DE34" s="228">
        <v>-2.82</v>
      </c>
      <c r="DF34" s="228">
        <v>-0.06</v>
      </c>
      <c r="DG34" s="228">
        <v>20.420000000000002</v>
      </c>
      <c r="DH34" s="228">
        <v>21.48</v>
      </c>
      <c r="DI34" s="228">
        <v>-1.06</v>
      </c>
      <c r="DJ34" s="228">
        <v>-1.06</v>
      </c>
      <c r="DK34" s="228">
        <v>24.17</v>
      </c>
      <c r="DL34" s="228">
        <v>23.8</v>
      </c>
      <c r="DM34" s="228">
        <v>0.37</v>
      </c>
      <c r="DN34" s="228">
        <v>0.37</v>
      </c>
      <c r="DO34" s="228">
        <v>1.08</v>
      </c>
      <c r="DP34" s="228">
        <v>0.93</v>
      </c>
      <c r="DQ34" s="228">
        <v>0.15</v>
      </c>
      <c r="DR34" s="229">
        <v>0.1613</v>
      </c>
      <c r="DS34" s="231">
        <v>1480</v>
      </c>
      <c r="DT34" s="231">
        <v>1400</v>
      </c>
      <c r="DU34" s="228">
        <v>0.95</v>
      </c>
      <c r="DV34" s="228">
        <v>0.7</v>
      </c>
      <c r="DW34" s="228">
        <v>0.25</v>
      </c>
      <c r="DX34" s="229">
        <v>0.35709999999999997</v>
      </c>
      <c r="DY34" s="229">
        <v>8.1100000000000005E-2</v>
      </c>
      <c r="DZ34" s="230">
        <v>1087500</v>
      </c>
      <c r="EA34" s="229">
        <v>5.5999999999999999E-3</v>
      </c>
      <c r="EB34" s="229">
        <v>8.1100000000000005E-2</v>
      </c>
      <c r="EC34" s="228">
        <v>8.44</v>
      </c>
      <c r="ED34" s="229">
        <v>5.7000000000000002E-3</v>
      </c>
      <c r="EE34" s="230">
        <v>1635787</v>
      </c>
      <c r="EF34" s="230">
        <v>1755470</v>
      </c>
      <c r="EG34" s="229">
        <v>-6.8199999999999997E-2</v>
      </c>
      <c r="EH34" s="229">
        <v>0.71099999999999997</v>
      </c>
      <c r="EI34" s="231">
        <v>75776.3</v>
      </c>
      <c r="EJ34" s="231">
        <v>68056.77</v>
      </c>
      <c r="EK34" s="231">
        <v>33402.639999999999</v>
      </c>
      <c r="EL34" s="231">
        <v>3946</v>
      </c>
      <c r="EM34" s="231">
        <v>177235.71</v>
      </c>
      <c r="EN34" s="231">
        <v>153043.6</v>
      </c>
      <c r="EO34" s="231">
        <v>24192.11</v>
      </c>
      <c r="EP34" s="229">
        <v>0.15809999999999999</v>
      </c>
      <c r="EQ34" s="231">
        <v>62483</v>
      </c>
      <c r="ER34" s="231">
        <v>63938</v>
      </c>
      <c r="ES34" s="231">
        <v>215807</v>
      </c>
      <c r="ET34" s="231">
        <v>71801274</v>
      </c>
      <c r="EU34" s="231">
        <v>342227</v>
      </c>
      <c r="EV34" s="231">
        <v>324714</v>
      </c>
      <c r="EW34" s="231">
        <v>17513</v>
      </c>
      <c r="EX34" s="229">
        <v>5.3900000000000003E-2</v>
      </c>
      <c r="EY34" s="229">
        <v>0.3236</v>
      </c>
    </row>
    <row r="35" spans="1:155" ht="17.25" thickBot="1" x14ac:dyDescent="0.3">
      <c r="A35" s="226">
        <v>46148</v>
      </c>
      <c r="B35" s="227" t="s">
        <v>161</v>
      </c>
      <c r="C35" s="227" t="s">
        <v>268</v>
      </c>
      <c r="D35" s="228">
        <v>397.1</v>
      </c>
      <c r="E35" s="228">
        <v>399.6</v>
      </c>
      <c r="F35" s="228">
        <v>-2.5</v>
      </c>
      <c r="G35" s="229">
        <v>-6.3E-3</v>
      </c>
      <c r="H35" s="228">
        <v>394.85</v>
      </c>
      <c r="I35" s="228">
        <v>398.65</v>
      </c>
      <c r="J35" s="228">
        <v>-3.8</v>
      </c>
      <c r="K35" s="229">
        <v>-9.4999999999999998E-3</v>
      </c>
      <c r="L35" s="228">
        <v>397.1</v>
      </c>
      <c r="M35" s="228">
        <v>399.6</v>
      </c>
      <c r="N35" s="228">
        <v>-2.5</v>
      </c>
      <c r="O35" s="229">
        <v>-6.3E-3</v>
      </c>
      <c r="P35" s="228">
        <v>400.1</v>
      </c>
      <c r="Q35" s="228">
        <v>402.3</v>
      </c>
      <c r="R35" s="228">
        <v>-2.2000000000000002</v>
      </c>
      <c r="S35" s="229">
        <v>-5.4999999999999997E-3</v>
      </c>
      <c r="T35" s="228">
        <v>402</v>
      </c>
      <c r="U35" s="228">
        <v>405.15</v>
      </c>
      <c r="V35" s="228">
        <v>-3.15</v>
      </c>
      <c r="W35" s="229">
        <v>-7.7999999999999996E-3</v>
      </c>
      <c r="X35" s="228">
        <v>2.25</v>
      </c>
      <c r="Y35" s="228">
        <v>0.95</v>
      </c>
      <c r="Z35" s="228">
        <v>1.3</v>
      </c>
      <c r="AA35" s="229">
        <v>5.7000000000000002E-3</v>
      </c>
      <c r="AB35" s="228">
        <v>2.25</v>
      </c>
      <c r="AC35" s="228">
        <v>0.95</v>
      </c>
      <c r="AD35" s="228">
        <v>1.3</v>
      </c>
      <c r="AE35" s="229">
        <v>5.7000000000000002E-3</v>
      </c>
      <c r="AF35" s="228">
        <v>5.25</v>
      </c>
      <c r="AG35" s="228">
        <v>3.65</v>
      </c>
      <c r="AH35" s="228">
        <v>1.6</v>
      </c>
      <c r="AI35" s="229">
        <v>1.3299999999999999E-2</v>
      </c>
      <c r="AJ35" s="228">
        <v>7.15</v>
      </c>
      <c r="AK35" s="228">
        <v>6.5</v>
      </c>
      <c r="AL35" s="228">
        <v>0.65</v>
      </c>
      <c r="AM35" s="229">
        <v>1.8100000000000002E-2</v>
      </c>
      <c r="AN35" s="228">
        <v>398.68</v>
      </c>
      <c r="AO35" s="228">
        <v>401.44</v>
      </c>
      <c r="AP35" s="228">
        <v>0</v>
      </c>
      <c r="AQ35" s="230">
        <v>8428</v>
      </c>
      <c r="AR35" s="230">
        <v>5090</v>
      </c>
      <c r="AS35" s="230">
        <v>3338</v>
      </c>
      <c r="AT35" s="229">
        <v>0.65580000000000005</v>
      </c>
      <c r="AU35" s="230">
        <v>7639</v>
      </c>
      <c r="AV35" s="230">
        <v>4576</v>
      </c>
      <c r="AW35" s="230">
        <v>3063</v>
      </c>
      <c r="AX35" s="229">
        <v>0.6694</v>
      </c>
      <c r="AY35" s="228">
        <v>661</v>
      </c>
      <c r="AZ35" s="228">
        <v>501</v>
      </c>
      <c r="BA35" s="228">
        <v>160</v>
      </c>
      <c r="BB35" s="229">
        <v>0.31940000000000002</v>
      </c>
      <c r="BC35" s="228">
        <v>128</v>
      </c>
      <c r="BD35" s="228">
        <v>13</v>
      </c>
      <c r="BE35" s="228">
        <v>115</v>
      </c>
      <c r="BF35" s="229">
        <v>8.8461999999999996</v>
      </c>
      <c r="BG35" s="230">
        <v>26055</v>
      </c>
      <c r="BH35" s="230">
        <v>26527</v>
      </c>
      <c r="BI35" s="228">
        <v>-472</v>
      </c>
      <c r="BJ35" s="229">
        <v>-1.78E-2</v>
      </c>
      <c r="BK35" s="230">
        <v>9124</v>
      </c>
      <c r="BL35" s="230">
        <v>6696</v>
      </c>
      <c r="BM35" s="230">
        <v>2428</v>
      </c>
      <c r="BN35" s="229">
        <v>0.36259999999999998</v>
      </c>
      <c r="BO35" s="230">
        <v>43607</v>
      </c>
      <c r="BP35" s="230">
        <v>38313</v>
      </c>
      <c r="BQ35" s="230">
        <v>5294</v>
      </c>
      <c r="BR35" s="229">
        <v>0.13819999999999999</v>
      </c>
      <c r="BS35" s="230">
        <v>11429998</v>
      </c>
      <c r="BT35" s="230">
        <v>6977625</v>
      </c>
      <c r="BU35" s="230">
        <v>4452373</v>
      </c>
      <c r="BV35" s="229">
        <v>0.6381</v>
      </c>
      <c r="BW35" s="230">
        <v>111912000</v>
      </c>
      <c r="BX35" s="230">
        <v>111931500</v>
      </c>
      <c r="BY35" s="230">
        <v>-19500</v>
      </c>
      <c r="BZ35" s="229">
        <v>-2.0000000000000001E-4</v>
      </c>
      <c r="CA35" s="230">
        <v>100503000</v>
      </c>
      <c r="CB35" s="230">
        <v>101217000</v>
      </c>
      <c r="CC35" s="230">
        <v>-714000</v>
      </c>
      <c r="CD35" s="229">
        <v>-7.1000000000000004E-3</v>
      </c>
      <c r="CE35" s="230">
        <v>11131500</v>
      </c>
      <c r="CF35" s="230">
        <v>10582500</v>
      </c>
      <c r="CG35" s="230">
        <v>549000</v>
      </c>
      <c r="CH35" s="229">
        <v>5.1900000000000002E-2</v>
      </c>
      <c r="CI35" s="230">
        <v>277500</v>
      </c>
      <c r="CJ35" s="230">
        <v>132000</v>
      </c>
      <c r="CK35" s="230">
        <v>145500</v>
      </c>
      <c r="CL35" s="229">
        <v>1.1023000000000001</v>
      </c>
      <c r="CM35" s="230">
        <v>42199500</v>
      </c>
      <c r="CN35" s="230">
        <v>38820000</v>
      </c>
      <c r="CO35" s="230">
        <v>3379500</v>
      </c>
      <c r="CP35" s="229">
        <v>8.7099999999999997E-2</v>
      </c>
      <c r="CQ35" s="230">
        <v>15678000</v>
      </c>
      <c r="CR35" s="230">
        <v>14802000</v>
      </c>
      <c r="CS35" s="230">
        <v>876000</v>
      </c>
      <c r="CT35" s="229">
        <v>5.9200000000000003E-2</v>
      </c>
      <c r="CU35" s="230">
        <v>169789500</v>
      </c>
      <c r="CV35" s="230">
        <v>165553500</v>
      </c>
      <c r="CW35" s="230">
        <v>4236000</v>
      </c>
      <c r="CX35" s="229">
        <v>2.5600000000000001E-2</v>
      </c>
      <c r="CY35" s="228">
        <v>21.51</v>
      </c>
      <c r="CZ35" s="228">
        <v>22.27</v>
      </c>
      <c r="DA35" s="228">
        <v>-0.76</v>
      </c>
      <c r="DB35" s="228">
        <v>-0.76</v>
      </c>
      <c r="DC35" s="228">
        <v>27.12</v>
      </c>
      <c r="DD35" s="228">
        <v>27.16</v>
      </c>
      <c r="DE35" s="228">
        <v>-5.61</v>
      </c>
      <c r="DF35" s="228">
        <v>-0.04</v>
      </c>
      <c r="DG35" s="228">
        <v>21.44</v>
      </c>
      <c r="DH35" s="228">
        <v>22.27</v>
      </c>
      <c r="DI35" s="228">
        <v>-0.83</v>
      </c>
      <c r="DJ35" s="228">
        <v>-0.83</v>
      </c>
      <c r="DK35" s="228">
        <v>21.69</v>
      </c>
      <c r="DL35" s="228">
        <v>22.28</v>
      </c>
      <c r="DM35" s="228">
        <v>-0.59</v>
      </c>
      <c r="DN35" s="228">
        <v>-0.59</v>
      </c>
      <c r="DO35" s="228">
        <v>0.37</v>
      </c>
      <c r="DP35" s="228">
        <v>0.38</v>
      </c>
      <c r="DQ35" s="228">
        <v>-0.01</v>
      </c>
      <c r="DR35" s="229">
        <v>-2.63E-2</v>
      </c>
      <c r="DS35" s="228">
        <v>400</v>
      </c>
      <c r="DT35" s="228">
        <v>400</v>
      </c>
      <c r="DU35" s="228">
        <v>0.35</v>
      </c>
      <c r="DV35" s="228">
        <v>0.25</v>
      </c>
      <c r="DW35" s="228">
        <v>0.1</v>
      </c>
      <c r="DX35" s="229">
        <v>0.4</v>
      </c>
      <c r="DY35" s="229">
        <v>0.1019</v>
      </c>
      <c r="DZ35" s="230">
        <v>10714500</v>
      </c>
      <c r="EA35" s="229">
        <v>7.6E-3</v>
      </c>
      <c r="EB35" s="229">
        <v>0.1019</v>
      </c>
      <c r="EC35" s="228">
        <v>2.76</v>
      </c>
      <c r="ED35" s="229">
        <v>6.8999999999999999E-3</v>
      </c>
      <c r="EE35" s="230">
        <v>7645464</v>
      </c>
      <c r="EF35" s="230">
        <v>3792385</v>
      </c>
      <c r="EG35" s="229">
        <v>1.016</v>
      </c>
      <c r="EH35" s="229">
        <v>0.66890000000000005</v>
      </c>
      <c r="EI35" s="231">
        <v>162163.4</v>
      </c>
      <c r="EJ35" s="231">
        <v>54661.62</v>
      </c>
      <c r="EK35" s="231">
        <v>50437.55</v>
      </c>
      <c r="EL35" s="231">
        <v>5447</v>
      </c>
      <c r="EM35" s="231">
        <v>267262.57</v>
      </c>
      <c r="EN35" s="231">
        <v>237485.83</v>
      </c>
      <c r="EO35" s="231">
        <v>29776.74</v>
      </c>
      <c r="EP35" s="229">
        <v>0.12540000000000001</v>
      </c>
      <c r="EQ35" s="231">
        <v>176500</v>
      </c>
      <c r="ER35" s="231">
        <v>61419</v>
      </c>
      <c r="ES35" s="231">
        <v>444750</v>
      </c>
      <c r="ET35" s="231">
        <v>550512361</v>
      </c>
      <c r="EU35" s="231">
        <v>682670</v>
      </c>
      <c r="EV35" s="231">
        <v>668286</v>
      </c>
      <c r="EW35" s="231">
        <v>14384</v>
      </c>
      <c r="EX35" s="229">
        <v>2.1499999999999998E-2</v>
      </c>
      <c r="EY35" s="229">
        <v>0.30840000000000001</v>
      </c>
    </row>
    <row r="36" spans="1:155" ht="17.25" thickBot="1" x14ac:dyDescent="0.3">
      <c r="A36" s="226">
        <v>46148</v>
      </c>
      <c r="B36" s="227" t="s">
        <v>193</v>
      </c>
      <c r="C36" s="227" t="s">
        <v>269</v>
      </c>
      <c r="D36" s="228">
        <v>282.64999999999998</v>
      </c>
      <c r="E36" s="228">
        <v>291.05</v>
      </c>
      <c r="F36" s="228">
        <v>-8.4</v>
      </c>
      <c r="G36" s="229">
        <v>-2.8899999999999999E-2</v>
      </c>
      <c r="H36" s="228">
        <v>280.8</v>
      </c>
      <c r="I36" s="228">
        <v>289.95</v>
      </c>
      <c r="J36" s="228">
        <v>-9.15</v>
      </c>
      <c r="K36" s="229">
        <v>-3.1600000000000003E-2</v>
      </c>
      <c r="L36" s="228">
        <v>282.64999999999998</v>
      </c>
      <c r="M36" s="228">
        <v>291.05</v>
      </c>
      <c r="N36" s="228">
        <v>-8.4</v>
      </c>
      <c r="O36" s="229">
        <v>-2.8899999999999999E-2</v>
      </c>
      <c r="P36" s="228">
        <v>284.45</v>
      </c>
      <c r="Q36" s="228">
        <v>293.10000000000002</v>
      </c>
      <c r="R36" s="228">
        <v>-8.65</v>
      </c>
      <c r="S36" s="229">
        <v>-2.9499999999999998E-2</v>
      </c>
      <c r="T36" s="228">
        <v>285.75</v>
      </c>
      <c r="U36" s="228">
        <v>294.39999999999998</v>
      </c>
      <c r="V36" s="228">
        <v>-8.65</v>
      </c>
      <c r="W36" s="229">
        <v>-2.9399999999999999E-2</v>
      </c>
      <c r="X36" s="228">
        <v>1.85</v>
      </c>
      <c r="Y36" s="228">
        <v>1.1000000000000001</v>
      </c>
      <c r="Z36" s="228">
        <v>0.75</v>
      </c>
      <c r="AA36" s="229">
        <v>6.6E-3</v>
      </c>
      <c r="AB36" s="228">
        <v>1.85</v>
      </c>
      <c r="AC36" s="228">
        <v>1.1000000000000001</v>
      </c>
      <c r="AD36" s="228">
        <v>0.75</v>
      </c>
      <c r="AE36" s="229">
        <v>6.6E-3</v>
      </c>
      <c r="AF36" s="228">
        <v>3.65</v>
      </c>
      <c r="AG36" s="228">
        <v>3.15</v>
      </c>
      <c r="AH36" s="228">
        <v>0.5</v>
      </c>
      <c r="AI36" s="229">
        <v>1.2999999999999999E-2</v>
      </c>
      <c r="AJ36" s="228">
        <v>4.95</v>
      </c>
      <c r="AK36" s="228">
        <v>4.45</v>
      </c>
      <c r="AL36" s="228">
        <v>0.5</v>
      </c>
      <c r="AM36" s="229">
        <v>1.7600000000000001E-2</v>
      </c>
      <c r="AN36" s="228">
        <v>285.2</v>
      </c>
      <c r="AO36" s="228">
        <v>287.92</v>
      </c>
      <c r="AP36" s="228">
        <v>0</v>
      </c>
      <c r="AQ36" s="230">
        <v>8147</v>
      </c>
      <c r="AR36" s="230">
        <v>4245</v>
      </c>
      <c r="AS36" s="230">
        <v>3902</v>
      </c>
      <c r="AT36" s="229">
        <v>0.91920000000000002</v>
      </c>
      <c r="AU36" s="230">
        <v>7472</v>
      </c>
      <c r="AV36" s="230">
        <v>3883</v>
      </c>
      <c r="AW36" s="230">
        <v>3589</v>
      </c>
      <c r="AX36" s="229">
        <v>0.92430000000000001</v>
      </c>
      <c r="AY36" s="228">
        <v>610</v>
      </c>
      <c r="AZ36" s="228">
        <v>336</v>
      </c>
      <c r="BA36" s="228">
        <v>274</v>
      </c>
      <c r="BB36" s="229">
        <v>0.8155</v>
      </c>
      <c r="BC36" s="228">
        <v>65</v>
      </c>
      <c r="BD36" s="228">
        <v>26</v>
      </c>
      <c r="BE36" s="228">
        <v>39</v>
      </c>
      <c r="BF36" s="229">
        <v>1.5</v>
      </c>
      <c r="BG36" s="230">
        <v>41790</v>
      </c>
      <c r="BH36" s="230">
        <v>24249</v>
      </c>
      <c r="BI36" s="230">
        <v>17541</v>
      </c>
      <c r="BJ36" s="229">
        <v>0.72340000000000004</v>
      </c>
      <c r="BK36" s="230">
        <v>17336</v>
      </c>
      <c r="BL36" s="230">
        <v>8298</v>
      </c>
      <c r="BM36" s="230">
        <v>9038</v>
      </c>
      <c r="BN36" s="229">
        <v>1.0891999999999999</v>
      </c>
      <c r="BO36" s="230">
        <v>67273</v>
      </c>
      <c r="BP36" s="230">
        <v>36792</v>
      </c>
      <c r="BQ36" s="230">
        <v>30481</v>
      </c>
      <c r="BR36" s="229">
        <v>0.82850000000000001</v>
      </c>
      <c r="BS36" s="230">
        <v>24606263</v>
      </c>
      <c r="BT36" s="230">
        <v>11046647</v>
      </c>
      <c r="BU36" s="230">
        <v>13559616</v>
      </c>
      <c r="BV36" s="229">
        <v>1.2275</v>
      </c>
      <c r="BW36" s="230">
        <v>103207500</v>
      </c>
      <c r="BX36" s="230">
        <v>101619000</v>
      </c>
      <c r="BY36" s="230">
        <v>1588500</v>
      </c>
      <c r="BZ36" s="229">
        <v>1.5599999999999999E-2</v>
      </c>
      <c r="CA36" s="230">
        <v>83974500</v>
      </c>
      <c r="CB36" s="230">
        <v>82950750</v>
      </c>
      <c r="CC36" s="230">
        <v>1023750</v>
      </c>
      <c r="CD36" s="229">
        <v>1.23E-2</v>
      </c>
      <c r="CE36" s="230">
        <v>18990000</v>
      </c>
      <c r="CF36" s="230">
        <v>18495000</v>
      </c>
      <c r="CG36" s="230">
        <v>495000</v>
      </c>
      <c r="CH36" s="229">
        <v>2.6800000000000001E-2</v>
      </c>
      <c r="CI36" s="230">
        <v>243000</v>
      </c>
      <c r="CJ36" s="230">
        <v>173250</v>
      </c>
      <c r="CK36" s="230">
        <v>69750</v>
      </c>
      <c r="CL36" s="229">
        <v>0.40260000000000001</v>
      </c>
      <c r="CM36" s="230">
        <v>57163500</v>
      </c>
      <c r="CN36" s="230">
        <v>47022750</v>
      </c>
      <c r="CO36" s="230">
        <v>10140750</v>
      </c>
      <c r="CP36" s="229">
        <v>0.2157</v>
      </c>
      <c r="CQ36" s="230">
        <v>18841500</v>
      </c>
      <c r="CR36" s="230">
        <v>17221500</v>
      </c>
      <c r="CS36" s="230">
        <v>1620000</v>
      </c>
      <c r="CT36" s="229">
        <v>9.4100000000000003E-2</v>
      </c>
      <c r="CU36" s="230">
        <v>179212500</v>
      </c>
      <c r="CV36" s="230">
        <v>165863250</v>
      </c>
      <c r="CW36" s="230">
        <v>13349250</v>
      </c>
      <c r="CX36" s="229">
        <v>8.0500000000000002E-2</v>
      </c>
      <c r="CY36" s="228">
        <v>27.47</v>
      </c>
      <c r="CZ36" s="228">
        <v>26.85</v>
      </c>
      <c r="DA36" s="228">
        <v>0.62</v>
      </c>
      <c r="DB36" s="228">
        <v>0.62</v>
      </c>
      <c r="DC36" s="228">
        <v>32.090000000000003</v>
      </c>
      <c r="DD36" s="228">
        <v>31.88</v>
      </c>
      <c r="DE36" s="228">
        <v>-4.62</v>
      </c>
      <c r="DF36" s="228">
        <v>0.21</v>
      </c>
      <c r="DG36" s="228">
        <v>27.67</v>
      </c>
      <c r="DH36" s="228">
        <v>26.91</v>
      </c>
      <c r="DI36" s="228">
        <v>0.76</v>
      </c>
      <c r="DJ36" s="228">
        <v>0.76</v>
      </c>
      <c r="DK36" s="228">
        <v>26.97</v>
      </c>
      <c r="DL36" s="228">
        <v>26.68</v>
      </c>
      <c r="DM36" s="228">
        <v>0.28999999999999998</v>
      </c>
      <c r="DN36" s="228">
        <v>0.28999999999999998</v>
      </c>
      <c r="DO36" s="228">
        <v>0.33</v>
      </c>
      <c r="DP36" s="228">
        <v>0.37</v>
      </c>
      <c r="DQ36" s="228">
        <v>-0.04</v>
      </c>
      <c r="DR36" s="229">
        <v>-0.1081</v>
      </c>
      <c r="DS36" s="228">
        <v>300</v>
      </c>
      <c r="DT36" s="228">
        <v>280</v>
      </c>
      <c r="DU36" s="228">
        <v>0.41</v>
      </c>
      <c r="DV36" s="228">
        <v>0.34</v>
      </c>
      <c r="DW36" s="228">
        <v>7.0000000000000007E-2</v>
      </c>
      <c r="DX36" s="229">
        <v>0.2059</v>
      </c>
      <c r="DY36" s="229">
        <v>0.18640000000000001</v>
      </c>
      <c r="DZ36" s="230">
        <v>18668250</v>
      </c>
      <c r="EA36" s="229">
        <v>6.4000000000000003E-3</v>
      </c>
      <c r="EB36" s="229">
        <v>0.18640000000000001</v>
      </c>
      <c r="EC36" s="228">
        <v>2.72</v>
      </c>
      <c r="ED36" s="229">
        <v>9.4999999999999998E-3</v>
      </c>
      <c r="EE36" s="230">
        <v>14579499</v>
      </c>
      <c r="EF36" s="230">
        <v>3918015</v>
      </c>
      <c r="EG36" s="229">
        <v>2.7210999999999999</v>
      </c>
      <c r="EH36" s="229">
        <v>0.59250000000000003</v>
      </c>
      <c r="EI36" s="231">
        <v>284907.67</v>
      </c>
      <c r="EJ36" s="231">
        <v>111641.4</v>
      </c>
      <c r="EK36" s="231">
        <v>52322.89</v>
      </c>
      <c r="EL36" s="231">
        <v>5988</v>
      </c>
      <c r="EM36" s="231">
        <v>448871.96</v>
      </c>
      <c r="EN36" s="231">
        <v>250932.68</v>
      </c>
      <c r="EO36" s="231">
        <v>197939.28</v>
      </c>
      <c r="EP36" s="229">
        <v>0.78879999999999995</v>
      </c>
      <c r="EQ36" s="231">
        <v>174256</v>
      </c>
      <c r="ER36" s="231">
        <v>53548</v>
      </c>
      <c r="ES36" s="231">
        <v>292065</v>
      </c>
      <c r="ET36" s="231">
        <v>711370982</v>
      </c>
      <c r="EU36" s="231">
        <v>519869</v>
      </c>
      <c r="EV36" s="231">
        <v>489768</v>
      </c>
      <c r="EW36" s="231">
        <v>30101</v>
      </c>
      <c r="EX36" s="229">
        <v>6.1499999999999999E-2</v>
      </c>
      <c r="EY36" s="229">
        <v>0.25190000000000001</v>
      </c>
    </row>
    <row r="37" spans="1:155" ht="17.25" thickBot="1" x14ac:dyDescent="0.3">
      <c r="A37" s="226">
        <v>46148</v>
      </c>
      <c r="B37" s="227" t="s">
        <v>161</v>
      </c>
      <c r="C37" s="227" t="s">
        <v>276</v>
      </c>
      <c r="D37" s="228">
        <v>316.75</v>
      </c>
      <c r="E37" s="228">
        <v>319.64999999999998</v>
      </c>
      <c r="F37" s="228">
        <v>-2.9</v>
      </c>
      <c r="G37" s="229">
        <v>-9.1000000000000004E-3</v>
      </c>
      <c r="H37" s="228">
        <v>315.95</v>
      </c>
      <c r="I37" s="228">
        <v>319.45</v>
      </c>
      <c r="J37" s="228">
        <v>-3.5</v>
      </c>
      <c r="K37" s="229">
        <v>-1.0999999999999999E-2</v>
      </c>
      <c r="L37" s="228">
        <v>316.75</v>
      </c>
      <c r="M37" s="228">
        <v>319.64999999999998</v>
      </c>
      <c r="N37" s="228">
        <v>-2.9</v>
      </c>
      <c r="O37" s="229">
        <v>-9.1000000000000004E-3</v>
      </c>
      <c r="P37" s="228">
        <v>318.85000000000002</v>
      </c>
      <c r="Q37" s="228">
        <v>322.05</v>
      </c>
      <c r="R37" s="228">
        <v>-3.2</v>
      </c>
      <c r="S37" s="229">
        <v>-9.9000000000000008E-3</v>
      </c>
      <c r="T37" s="228">
        <v>320.75</v>
      </c>
      <c r="U37" s="228">
        <v>324.3</v>
      </c>
      <c r="V37" s="228">
        <v>-3.55</v>
      </c>
      <c r="W37" s="229">
        <v>-1.09E-2</v>
      </c>
      <c r="X37" s="228">
        <v>0.8</v>
      </c>
      <c r="Y37" s="228">
        <v>0.2</v>
      </c>
      <c r="Z37" s="228">
        <v>0.6</v>
      </c>
      <c r="AA37" s="229">
        <v>2.5000000000000001E-3</v>
      </c>
      <c r="AB37" s="228">
        <v>0.8</v>
      </c>
      <c r="AC37" s="228">
        <v>0.2</v>
      </c>
      <c r="AD37" s="228">
        <v>0.6</v>
      </c>
      <c r="AE37" s="229">
        <v>2.5000000000000001E-3</v>
      </c>
      <c r="AF37" s="228">
        <v>2.9</v>
      </c>
      <c r="AG37" s="228">
        <v>2.6</v>
      </c>
      <c r="AH37" s="228">
        <v>0.3</v>
      </c>
      <c r="AI37" s="229">
        <v>9.1999999999999998E-3</v>
      </c>
      <c r="AJ37" s="228">
        <v>4.8</v>
      </c>
      <c r="AK37" s="228">
        <v>4.8499999999999996</v>
      </c>
      <c r="AL37" s="228">
        <v>-0.05</v>
      </c>
      <c r="AM37" s="229">
        <v>1.52E-2</v>
      </c>
      <c r="AN37" s="228">
        <v>317.54000000000002</v>
      </c>
      <c r="AO37" s="228">
        <v>319.73</v>
      </c>
      <c r="AP37" s="228">
        <v>0</v>
      </c>
      <c r="AQ37" s="230">
        <v>3703</v>
      </c>
      <c r="AR37" s="230">
        <v>4567</v>
      </c>
      <c r="AS37" s="228">
        <v>-864</v>
      </c>
      <c r="AT37" s="229">
        <v>-0.18920000000000001</v>
      </c>
      <c r="AU37" s="230">
        <v>3420</v>
      </c>
      <c r="AV37" s="230">
        <v>4271</v>
      </c>
      <c r="AW37" s="228">
        <v>-851</v>
      </c>
      <c r="AX37" s="229">
        <v>-0.1993</v>
      </c>
      <c r="AY37" s="228">
        <v>209</v>
      </c>
      <c r="AZ37" s="228">
        <v>287</v>
      </c>
      <c r="BA37" s="228">
        <v>-78</v>
      </c>
      <c r="BB37" s="229">
        <v>-0.27179999999999999</v>
      </c>
      <c r="BC37" s="228">
        <v>74</v>
      </c>
      <c r="BD37" s="228">
        <v>9</v>
      </c>
      <c r="BE37" s="228">
        <v>65</v>
      </c>
      <c r="BF37" s="229">
        <v>7.2222</v>
      </c>
      <c r="BG37" s="230">
        <v>11396</v>
      </c>
      <c r="BH37" s="230">
        <v>15000</v>
      </c>
      <c r="BI37" s="230">
        <v>-3604</v>
      </c>
      <c r="BJ37" s="229">
        <v>-0.24030000000000001</v>
      </c>
      <c r="BK37" s="230">
        <v>5130</v>
      </c>
      <c r="BL37" s="230">
        <v>5977</v>
      </c>
      <c r="BM37" s="228">
        <v>-847</v>
      </c>
      <c r="BN37" s="229">
        <v>-0.14169999999999999</v>
      </c>
      <c r="BO37" s="230">
        <v>20229</v>
      </c>
      <c r="BP37" s="230">
        <v>25544</v>
      </c>
      <c r="BQ37" s="230">
        <v>-5315</v>
      </c>
      <c r="BR37" s="229">
        <v>-0.20810000000000001</v>
      </c>
      <c r="BS37" s="230">
        <v>5126299</v>
      </c>
      <c r="BT37" s="230">
        <v>8754021</v>
      </c>
      <c r="BU37" s="230">
        <v>-3627722</v>
      </c>
      <c r="BV37" s="229">
        <v>-0.41439999999999999</v>
      </c>
      <c r="BW37" s="230">
        <v>82070500</v>
      </c>
      <c r="BX37" s="230">
        <v>80890600</v>
      </c>
      <c r="BY37" s="230">
        <v>1179900</v>
      </c>
      <c r="BZ37" s="229">
        <v>1.46E-2</v>
      </c>
      <c r="CA37" s="230">
        <v>69342400</v>
      </c>
      <c r="CB37" s="230">
        <v>68510200</v>
      </c>
      <c r="CC37" s="230">
        <v>832200</v>
      </c>
      <c r="CD37" s="229">
        <v>1.21E-2</v>
      </c>
      <c r="CE37" s="230">
        <v>12551400</v>
      </c>
      <c r="CF37" s="230">
        <v>12298700</v>
      </c>
      <c r="CG37" s="230">
        <v>252700</v>
      </c>
      <c r="CH37" s="229">
        <v>2.0500000000000001E-2</v>
      </c>
      <c r="CI37" s="230">
        <v>176700</v>
      </c>
      <c r="CJ37" s="230">
        <v>81700</v>
      </c>
      <c r="CK37" s="230">
        <v>95000</v>
      </c>
      <c r="CL37" s="229">
        <v>1.1628000000000001</v>
      </c>
      <c r="CM37" s="230">
        <v>24183200</v>
      </c>
      <c r="CN37" s="230">
        <v>22752500</v>
      </c>
      <c r="CO37" s="230">
        <v>1430700</v>
      </c>
      <c r="CP37" s="229">
        <v>6.2899999999999998E-2</v>
      </c>
      <c r="CQ37" s="230">
        <v>12051700</v>
      </c>
      <c r="CR37" s="230">
        <v>12046000</v>
      </c>
      <c r="CS37" s="230">
        <v>5700</v>
      </c>
      <c r="CT37" s="229">
        <v>5.0000000000000001E-4</v>
      </c>
      <c r="CU37" s="230">
        <v>118305400</v>
      </c>
      <c r="CV37" s="230">
        <v>115689100</v>
      </c>
      <c r="CW37" s="230">
        <v>2616300</v>
      </c>
      <c r="CX37" s="229">
        <v>2.2599999999999999E-2</v>
      </c>
      <c r="CY37" s="228">
        <v>24.8</v>
      </c>
      <c r="CZ37" s="228">
        <v>24.21</v>
      </c>
      <c r="DA37" s="228">
        <v>0.59</v>
      </c>
      <c r="DB37" s="228">
        <v>0.59</v>
      </c>
      <c r="DC37" s="228">
        <v>28.34</v>
      </c>
      <c r="DD37" s="228">
        <v>28.37</v>
      </c>
      <c r="DE37" s="228">
        <v>-3.54</v>
      </c>
      <c r="DF37" s="228">
        <v>-0.03</v>
      </c>
      <c r="DG37" s="228">
        <v>25.06</v>
      </c>
      <c r="DH37" s="228">
        <v>24.1</v>
      </c>
      <c r="DI37" s="228">
        <v>0.96</v>
      </c>
      <c r="DJ37" s="228">
        <v>0.96</v>
      </c>
      <c r="DK37" s="228">
        <v>24.23</v>
      </c>
      <c r="DL37" s="228">
        <v>24.51</v>
      </c>
      <c r="DM37" s="228">
        <v>-0.28000000000000003</v>
      </c>
      <c r="DN37" s="228">
        <v>-0.28000000000000003</v>
      </c>
      <c r="DO37" s="228">
        <v>0.5</v>
      </c>
      <c r="DP37" s="228">
        <v>0.53</v>
      </c>
      <c r="DQ37" s="228">
        <v>-0.03</v>
      </c>
      <c r="DR37" s="229">
        <v>-5.6599999999999998E-2</v>
      </c>
      <c r="DS37" s="228">
        <v>320</v>
      </c>
      <c r="DT37" s="228">
        <v>320</v>
      </c>
      <c r="DU37" s="228">
        <v>0.45</v>
      </c>
      <c r="DV37" s="228">
        <v>0.4</v>
      </c>
      <c r="DW37" s="228">
        <v>0.05</v>
      </c>
      <c r="DX37" s="229">
        <v>0.125</v>
      </c>
      <c r="DY37" s="229">
        <v>0.15509999999999999</v>
      </c>
      <c r="DZ37" s="230">
        <v>12380400</v>
      </c>
      <c r="EA37" s="229">
        <v>6.6E-3</v>
      </c>
      <c r="EB37" s="229">
        <v>0.15509999999999999</v>
      </c>
      <c r="EC37" s="228">
        <v>2.19</v>
      </c>
      <c r="ED37" s="229">
        <v>6.8999999999999999E-3</v>
      </c>
      <c r="EE37" s="230">
        <v>2867282</v>
      </c>
      <c r="EF37" s="230">
        <v>4094850</v>
      </c>
      <c r="EG37" s="229">
        <v>-0.29980000000000001</v>
      </c>
      <c r="EH37" s="229">
        <v>0.55930000000000002</v>
      </c>
      <c r="EI37" s="231">
        <v>71814.259999999995</v>
      </c>
      <c r="EJ37" s="231">
        <v>31141.06</v>
      </c>
      <c r="EK37" s="231">
        <v>22355.84</v>
      </c>
      <c r="EL37" s="231">
        <v>4268</v>
      </c>
      <c r="EM37" s="231">
        <v>125311.16</v>
      </c>
      <c r="EN37" s="231">
        <v>158833.98000000001</v>
      </c>
      <c r="EO37" s="231">
        <v>-33522.82</v>
      </c>
      <c r="EP37" s="229">
        <v>-0.21110000000000001</v>
      </c>
      <c r="EQ37" s="231">
        <v>79746</v>
      </c>
      <c r="ER37" s="231">
        <v>37245</v>
      </c>
      <c r="ES37" s="231">
        <v>260229</v>
      </c>
      <c r="ET37" s="231">
        <v>660840864</v>
      </c>
      <c r="EU37" s="231">
        <v>377220</v>
      </c>
      <c r="EV37" s="231">
        <v>371051</v>
      </c>
      <c r="EW37" s="231">
        <v>6169</v>
      </c>
      <c r="EX37" s="229">
        <v>1.66E-2</v>
      </c>
      <c r="EY37" s="229">
        <v>0.17899999999999999</v>
      </c>
    </row>
    <row r="38" spans="1:155" ht="17.25" thickBot="1" x14ac:dyDescent="0.3">
      <c r="A38" s="226">
        <v>46148</v>
      </c>
      <c r="B38" s="227" t="s">
        <v>193</v>
      </c>
      <c r="C38" s="227" t="s">
        <v>281</v>
      </c>
      <c r="D38" s="231">
        <v>1446.2</v>
      </c>
      <c r="E38" s="231">
        <v>1467.4</v>
      </c>
      <c r="F38" s="228">
        <v>-21.2</v>
      </c>
      <c r="G38" s="229">
        <v>-1.44E-2</v>
      </c>
      <c r="H38" s="231">
        <v>1437.9</v>
      </c>
      <c r="I38" s="231">
        <v>1463.6</v>
      </c>
      <c r="J38" s="228">
        <v>-25.7</v>
      </c>
      <c r="K38" s="229">
        <v>-1.7600000000000001E-2</v>
      </c>
      <c r="L38" s="231">
        <v>1446.2</v>
      </c>
      <c r="M38" s="231">
        <v>1467.4</v>
      </c>
      <c r="N38" s="228">
        <v>-21.2</v>
      </c>
      <c r="O38" s="229">
        <v>-1.44E-2</v>
      </c>
      <c r="P38" s="231">
        <v>1455.9</v>
      </c>
      <c r="Q38" s="231">
        <v>1477.1</v>
      </c>
      <c r="R38" s="228">
        <v>-21.2</v>
      </c>
      <c r="S38" s="229">
        <v>-1.44E-2</v>
      </c>
      <c r="T38" s="231">
        <v>1463.6</v>
      </c>
      <c r="U38" s="231">
        <v>1484.6</v>
      </c>
      <c r="V38" s="228">
        <v>-21</v>
      </c>
      <c r="W38" s="229">
        <v>-1.41E-2</v>
      </c>
      <c r="X38" s="228">
        <v>8.3000000000000007</v>
      </c>
      <c r="Y38" s="228">
        <v>3.8</v>
      </c>
      <c r="Z38" s="228">
        <v>4.5</v>
      </c>
      <c r="AA38" s="229">
        <v>5.7999999999999996E-3</v>
      </c>
      <c r="AB38" s="228">
        <v>8.3000000000000007</v>
      </c>
      <c r="AC38" s="228">
        <v>3.8</v>
      </c>
      <c r="AD38" s="228">
        <v>4.5</v>
      </c>
      <c r="AE38" s="229">
        <v>5.7999999999999996E-3</v>
      </c>
      <c r="AF38" s="228">
        <v>18</v>
      </c>
      <c r="AG38" s="228">
        <v>13.5</v>
      </c>
      <c r="AH38" s="228">
        <v>4.5</v>
      </c>
      <c r="AI38" s="229">
        <v>1.2500000000000001E-2</v>
      </c>
      <c r="AJ38" s="228">
        <v>25.7</v>
      </c>
      <c r="AK38" s="228">
        <v>21</v>
      </c>
      <c r="AL38" s="228">
        <v>4.7</v>
      </c>
      <c r="AM38" s="229">
        <v>1.7899999999999999E-2</v>
      </c>
      <c r="AN38" s="231">
        <v>1451.07</v>
      </c>
      <c r="AO38" s="231">
        <v>1460.09</v>
      </c>
      <c r="AP38" s="228">
        <v>0</v>
      </c>
      <c r="AQ38" s="230">
        <v>25752</v>
      </c>
      <c r="AR38" s="230">
        <v>26869</v>
      </c>
      <c r="AS38" s="230">
        <v>-1117</v>
      </c>
      <c r="AT38" s="229">
        <v>-4.1599999999999998E-2</v>
      </c>
      <c r="AU38" s="230">
        <v>22546</v>
      </c>
      <c r="AV38" s="230">
        <v>24308</v>
      </c>
      <c r="AW38" s="230">
        <v>-1762</v>
      </c>
      <c r="AX38" s="229">
        <v>-7.2499999999999995E-2</v>
      </c>
      <c r="AY38" s="230">
        <v>2619</v>
      </c>
      <c r="AZ38" s="230">
        <v>2286</v>
      </c>
      <c r="BA38" s="228">
        <v>333</v>
      </c>
      <c r="BB38" s="229">
        <v>0.1457</v>
      </c>
      <c r="BC38" s="228">
        <v>587</v>
      </c>
      <c r="BD38" s="228">
        <v>275</v>
      </c>
      <c r="BE38" s="228">
        <v>312</v>
      </c>
      <c r="BF38" s="229">
        <v>1.1345000000000001</v>
      </c>
      <c r="BG38" s="230">
        <v>198227</v>
      </c>
      <c r="BH38" s="230">
        <v>123365</v>
      </c>
      <c r="BI38" s="230">
        <v>74862</v>
      </c>
      <c r="BJ38" s="229">
        <v>0.60680000000000001</v>
      </c>
      <c r="BK38" s="230">
        <v>120725</v>
      </c>
      <c r="BL38" s="230">
        <v>90873</v>
      </c>
      <c r="BM38" s="230">
        <v>29852</v>
      </c>
      <c r="BN38" s="229">
        <v>0.32850000000000001</v>
      </c>
      <c r="BO38" s="230">
        <v>344704</v>
      </c>
      <c r="BP38" s="230">
        <v>241107</v>
      </c>
      <c r="BQ38" s="230">
        <v>103597</v>
      </c>
      <c r="BR38" s="229">
        <v>0.42970000000000003</v>
      </c>
      <c r="BS38" s="230">
        <v>15207996</v>
      </c>
      <c r="BT38" s="230">
        <v>24543159</v>
      </c>
      <c r="BU38" s="230">
        <v>-9335163</v>
      </c>
      <c r="BV38" s="229">
        <v>-0.38040000000000002</v>
      </c>
      <c r="BW38" s="230">
        <v>97085500</v>
      </c>
      <c r="BX38" s="230">
        <v>95807500</v>
      </c>
      <c r="BY38" s="230">
        <v>1278000</v>
      </c>
      <c r="BZ38" s="229">
        <v>1.3299999999999999E-2</v>
      </c>
      <c r="CA38" s="230">
        <v>76972000</v>
      </c>
      <c r="CB38" s="230">
        <v>76328000</v>
      </c>
      <c r="CC38" s="230">
        <v>644000</v>
      </c>
      <c r="CD38" s="229">
        <v>8.3999999999999995E-3</v>
      </c>
      <c r="CE38" s="230">
        <v>19647500</v>
      </c>
      <c r="CF38" s="230">
        <v>19182500</v>
      </c>
      <c r="CG38" s="230">
        <v>465000</v>
      </c>
      <c r="CH38" s="229">
        <v>2.4199999999999999E-2</v>
      </c>
      <c r="CI38" s="230">
        <v>466000</v>
      </c>
      <c r="CJ38" s="230">
        <v>297000</v>
      </c>
      <c r="CK38" s="230">
        <v>169000</v>
      </c>
      <c r="CL38" s="229">
        <v>0.56899999999999995</v>
      </c>
      <c r="CM38" s="230">
        <v>48645000</v>
      </c>
      <c r="CN38" s="230">
        <v>40086000</v>
      </c>
      <c r="CO38" s="230">
        <v>8559000</v>
      </c>
      <c r="CP38" s="229">
        <v>0.2135</v>
      </c>
      <c r="CQ38" s="230">
        <v>35061500</v>
      </c>
      <c r="CR38" s="230">
        <v>37083500</v>
      </c>
      <c r="CS38" s="230">
        <v>-2022000</v>
      </c>
      <c r="CT38" s="229">
        <v>-5.45E-2</v>
      </c>
      <c r="CU38" s="230">
        <v>180792000</v>
      </c>
      <c r="CV38" s="230">
        <v>172977000</v>
      </c>
      <c r="CW38" s="230">
        <v>7815000</v>
      </c>
      <c r="CX38" s="229">
        <v>4.5199999999999997E-2</v>
      </c>
      <c r="CY38" s="228">
        <v>21.24</v>
      </c>
      <c r="CZ38" s="228">
        <v>21.55</v>
      </c>
      <c r="DA38" s="228">
        <v>-0.31</v>
      </c>
      <c r="DB38" s="228">
        <v>-0.31</v>
      </c>
      <c r="DC38" s="228">
        <v>26.71</v>
      </c>
      <c r="DD38" s="228">
        <v>26.67</v>
      </c>
      <c r="DE38" s="228">
        <v>-5.47</v>
      </c>
      <c r="DF38" s="228">
        <v>0.04</v>
      </c>
      <c r="DG38" s="228">
        <v>20.63</v>
      </c>
      <c r="DH38" s="228">
        <v>20.3</v>
      </c>
      <c r="DI38" s="228">
        <v>0.33</v>
      </c>
      <c r="DJ38" s="228">
        <v>0.33</v>
      </c>
      <c r="DK38" s="228">
        <v>22.24</v>
      </c>
      <c r="DL38" s="228">
        <v>23.26</v>
      </c>
      <c r="DM38" s="228">
        <v>-1.02</v>
      </c>
      <c r="DN38" s="228">
        <v>-1.02</v>
      </c>
      <c r="DO38" s="228">
        <v>0.72</v>
      </c>
      <c r="DP38" s="228">
        <v>0.93</v>
      </c>
      <c r="DQ38" s="228">
        <v>-0.21</v>
      </c>
      <c r="DR38" s="229">
        <v>-0.2258</v>
      </c>
      <c r="DS38" s="231">
        <v>1500</v>
      </c>
      <c r="DT38" s="231">
        <v>1400</v>
      </c>
      <c r="DU38" s="228">
        <v>0.61</v>
      </c>
      <c r="DV38" s="228">
        <v>0.74</v>
      </c>
      <c r="DW38" s="228">
        <v>-0.13</v>
      </c>
      <c r="DX38" s="229">
        <v>-0.1757</v>
      </c>
      <c r="DY38" s="229">
        <v>0.2072</v>
      </c>
      <c r="DZ38" s="230">
        <v>19479500</v>
      </c>
      <c r="EA38" s="229">
        <v>6.7000000000000002E-3</v>
      </c>
      <c r="EB38" s="229">
        <v>0.2072</v>
      </c>
      <c r="EC38" s="228">
        <v>9.02</v>
      </c>
      <c r="ED38" s="229">
        <v>6.1999999999999998E-3</v>
      </c>
      <c r="EE38" s="230">
        <v>7393624</v>
      </c>
      <c r="EF38" s="230">
        <v>11155792</v>
      </c>
      <c r="EG38" s="229">
        <v>-0.3372</v>
      </c>
      <c r="EH38" s="229">
        <v>0.48620000000000002</v>
      </c>
      <c r="EI38" s="231">
        <v>1492066.34</v>
      </c>
      <c r="EJ38" s="231">
        <v>862651.54</v>
      </c>
      <c r="EK38" s="231">
        <v>187004.45</v>
      </c>
      <c r="EL38" s="231">
        <v>35614</v>
      </c>
      <c r="EM38" s="231">
        <v>2541722.33</v>
      </c>
      <c r="EN38" s="231">
        <v>1786178.38</v>
      </c>
      <c r="EO38" s="231">
        <v>755543.95</v>
      </c>
      <c r="EP38" s="229">
        <v>0.42299999999999999</v>
      </c>
      <c r="EQ38" s="231">
        <v>718866</v>
      </c>
      <c r="ER38" s="231">
        <v>482153</v>
      </c>
      <c r="ES38" s="231">
        <v>1406037</v>
      </c>
      <c r="ET38" s="231">
        <v>664381721</v>
      </c>
      <c r="EU38" s="231">
        <v>2607056</v>
      </c>
      <c r="EV38" s="231">
        <v>2508473</v>
      </c>
      <c r="EW38" s="231">
        <v>98583</v>
      </c>
      <c r="EX38" s="229">
        <v>3.9300000000000002E-2</v>
      </c>
      <c r="EY38" s="229">
        <v>0.27210000000000001</v>
      </c>
    </row>
    <row r="39" spans="1:155" ht="17.25" thickBot="1" x14ac:dyDescent="0.3">
      <c r="A39" s="226">
        <v>46148</v>
      </c>
      <c r="B39" s="227" t="s">
        <v>175</v>
      </c>
      <c r="C39" s="227" t="s">
        <v>462</v>
      </c>
      <c r="D39" s="231">
        <v>1866.4</v>
      </c>
      <c r="E39" s="231">
        <v>1825.5</v>
      </c>
      <c r="F39" s="228">
        <v>40.9</v>
      </c>
      <c r="G39" s="229">
        <v>2.24E-2</v>
      </c>
      <c r="H39" s="231">
        <v>1859</v>
      </c>
      <c r="I39" s="231">
        <v>1821.2</v>
      </c>
      <c r="J39" s="228">
        <v>37.799999999999997</v>
      </c>
      <c r="K39" s="229">
        <v>2.0799999999999999E-2</v>
      </c>
      <c r="L39" s="231">
        <v>1866.4</v>
      </c>
      <c r="M39" s="231">
        <v>1825.5</v>
      </c>
      <c r="N39" s="228">
        <v>40.9</v>
      </c>
      <c r="O39" s="229">
        <v>2.24E-2</v>
      </c>
      <c r="P39" s="231">
        <v>1879.9</v>
      </c>
      <c r="Q39" s="231">
        <v>1838.8</v>
      </c>
      <c r="R39" s="228">
        <v>41.1</v>
      </c>
      <c r="S39" s="229">
        <v>2.24E-2</v>
      </c>
      <c r="T39" s="231">
        <v>1885.1</v>
      </c>
      <c r="U39" s="231">
        <v>1858.3</v>
      </c>
      <c r="V39" s="228">
        <v>26.8</v>
      </c>
      <c r="W39" s="229">
        <v>1.44E-2</v>
      </c>
      <c r="X39" s="228">
        <v>7.4</v>
      </c>
      <c r="Y39" s="228">
        <v>4.3</v>
      </c>
      <c r="Z39" s="228">
        <v>3.1</v>
      </c>
      <c r="AA39" s="229">
        <v>4.0000000000000001E-3</v>
      </c>
      <c r="AB39" s="228">
        <v>7.4</v>
      </c>
      <c r="AC39" s="228">
        <v>4.3</v>
      </c>
      <c r="AD39" s="228">
        <v>3.1</v>
      </c>
      <c r="AE39" s="229">
        <v>4.0000000000000001E-3</v>
      </c>
      <c r="AF39" s="228">
        <v>20.9</v>
      </c>
      <c r="AG39" s="228">
        <v>17.600000000000001</v>
      </c>
      <c r="AH39" s="228">
        <v>3.3</v>
      </c>
      <c r="AI39" s="229">
        <v>1.12E-2</v>
      </c>
      <c r="AJ39" s="228">
        <v>26.1</v>
      </c>
      <c r="AK39" s="228">
        <v>37.1</v>
      </c>
      <c r="AL39" s="228">
        <v>-11</v>
      </c>
      <c r="AM39" s="229">
        <v>1.4E-2</v>
      </c>
      <c r="AN39" s="231">
        <v>1857.22</v>
      </c>
      <c r="AO39" s="231">
        <v>1866.9</v>
      </c>
      <c r="AP39" s="228">
        <v>0</v>
      </c>
      <c r="AQ39" s="230">
        <v>4451</v>
      </c>
      <c r="AR39" s="230">
        <v>2860</v>
      </c>
      <c r="AS39" s="230">
        <v>1591</v>
      </c>
      <c r="AT39" s="229">
        <v>0.55630000000000002</v>
      </c>
      <c r="AU39" s="230">
        <v>4255</v>
      </c>
      <c r="AV39" s="230">
        <v>2744</v>
      </c>
      <c r="AW39" s="230">
        <v>1511</v>
      </c>
      <c r="AX39" s="229">
        <v>0.55069999999999997</v>
      </c>
      <c r="AY39" s="228">
        <v>186</v>
      </c>
      <c r="AZ39" s="228">
        <v>116</v>
      </c>
      <c r="BA39" s="228">
        <v>70</v>
      </c>
      <c r="BB39" s="229">
        <v>0.60340000000000005</v>
      </c>
      <c r="BC39" s="228">
        <v>10</v>
      </c>
      <c r="BD39" s="228">
        <v>0</v>
      </c>
      <c r="BE39" s="228">
        <v>10</v>
      </c>
      <c r="BF39" s="229">
        <v>0</v>
      </c>
      <c r="BG39" s="230">
        <v>11870</v>
      </c>
      <c r="BH39" s="230">
        <v>11518</v>
      </c>
      <c r="BI39" s="228">
        <v>352</v>
      </c>
      <c r="BJ39" s="229">
        <v>3.0599999999999999E-2</v>
      </c>
      <c r="BK39" s="230">
        <v>5558</v>
      </c>
      <c r="BL39" s="230">
        <v>4683</v>
      </c>
      <c r="BM39" s="228">
        <v>875</v>
      </c>
      <c r="BN39" s="229">
        <v>0.18679999999999999</v>
      </c>
      <c r="BO39" s="230">
        <v>21879</v>
      </c>
      <c r="BP39" s="230">
        <v>19061</v>
      </c>
      <c r="BQ39" s="230">
        <v>2818</v>
      </c>
      <c r="BR39" s="229">
        <v>0.14779999999999999</v>
      </c>
      <c r="BS39" s="230">
        <v>1270981</v>
      </c>
      <c r="BT39" s="230">
        <v>1017646</v>
      </c>
      <c r="BU39" s="230">
        <v>253335</v>
      </c>
      <c r="BV39" s="229">
        <v>0.24890000000000001</v>
      </c>
      <c r="BW39" s="230">
        <v>10459500</v>
      </c>
      <c r="BX39" s="230">
        <v>10522500</v>
      </c>
      <c r="BY39" s="230">
        <v>-63000</v>
      </c>
      <c r="BZ39" s="229">
        <v>-6.0000000000000001E-3</v>
      </c>
      <c r="CA39" s="230">
        <v>9121500</v>
      </c>
      <c r="CB39" s="230">
        <v>9201750</v>
      </c>
      <c r="CC39" s="230">
        <v>-80250</v>
      </c>
      <c r="CD39" s="229">
        <v>-8.6999999999999994E-3</v>
      </c>
      <c r="CE39" s="230">
        <v>1330875</v>
      </c>
      <c r="CF39" s="230">
        <v>1316625</v>
      </c>
      <c r="CG39" s="230">
        <v>14250</v>
      </c>
      <c r="CH39" s="229">
        <v>1.0800000000000001E-2</v>
      </c>
      <c r="CI39" s="230">
        <v>7125</v>
      </c>
      <c r="CJ39" s="230">
        <v>4125</v>
      </c>
      <c r="CK39" s="230">
        <v>3000</v>
      </c>
      <c r="CL39" s="229">
        <v>0.72729999999999995</v>
      </c>
      <c r="CM39" s="230">
        <v>4016625</v>
      </c>
      <c r="CN39" s="230">
        <v>4247625</v>
      </c>
      <c r="CO39" s="230">
        <v>-231000</v>
      </c>
      <c r="CP39" s="229">
        <v>-5.4399999999999997E-2</v>
      </c>
      <c r="CQ39" s="230">
        <v>2110500</v>
      </c>
      <c r="CR39" s="230">
        <v>1968750</v>
      </c>
      <c r="CS39" s="230">
        <v>141750</v>
      </c>
      <c r="CT39" s="229">
        <v>7.1999999999999995E-2</v>
      </c>
      <c r="CU39" s="230">
        <v>16586625</v>
      </c>
      <c r="CV39" s="230">
        <v>16738875</v>
      </c>
      <c r="CW39" s="230">
        <v>-152250</v>
      </c>
      <c r="CX39" s="229">
        <v>-9.1000000000000004E-3</v>
      </c>
      <c r="CY39" s="228">
        <v>22.51</v>
      </c>
      <c r="CZ39" s="228">
        <v>23.05</v>
      </c>
      <c r="DA39" s="228">
        <v>-0.54</v>
      </c>
      <c r="DB39" s="228">
        <v>-0.54</v>
      </c>
      <c r="DC39" s="228">
        <v>26.75</v>
      </c>
      <c r="DD39" s="228">
        <v>26.67</v>
      </c>
      <c r="DE39" s="228">
        <v>-4.24</v>
      </c>
      <c r="DF39" s="228">
        <v>0.08</v>
      </c>
      <c r="DG39" s="228">
        <v>21.75</v>
      </c>
      <c r="DH39" s="228">
        <v>22.58</v>
      </c>
      <c r="DI39" s="228">
        <v>-0.83</v>
      </c>
      <c r="DJ39" s="228">
        <v>-0.83</v>
      </c>
      <c r="DK39" s="228">
        <v>24.15</v>
      </c>
      <c r="DL39" s="228">
        <v>24.2</v>
      </c>
      <c r="DM39" s="228">
        <v>-0.05</v>
      </c>
      <c r="DN39" s="228">
        <v>-0.05</v>
      </c>
      <c r="DO39" s="228">
        <v>0.53</v>
      </c>
      <c r="DP39" s="228">
        <v>0.46</v>
      </c>
      <c r="DQ39" s="228">
        <v>7.0000000000000007E-2</v>
      </c>
      <c r="DR39" s="229">
        <v>0.1522</v>
      </c>
      <c r="DS39" s="231">
        <v>1860</v>
      </c>
      <c r="DT39" s="231">
        <v>1700</v>
      </c>
      <c r="DU39" s="228">
        <v>0.47</v>
      </c>
      <c r="DV39" s="228">
        <v>0.41</v>
      </c>
      <c r="DW39" s="228">
        <v>0.06</v>
      </c>
      <c r="DX39" s="229">
        <v>0.14630000000000001</v>
      </c>
      <c r="DY39" s="229">
        <v>0.12790000000000001</v>
      </c>
      <c r="DZ39" s="230">
        <v>1320750</v>
      </c>
      <c r="EA39" s="229">
        <v>7.1999999999999998E-3</v>
      </c>
      <c r="EB39" s="229">
        <v>0.12790000000000001</v>
      </c>
      <c r="EC39" s="228">
        <v>9.68</v>
      </c>
      <c r="ED39" s="229">
        <v>5.1999999999999998E-3</v>
      </c>
      <c r="EE39" s="230">
        <v>890307</v>
      </c>
      <c r="EF39" s="230">
        <v>587212</v>
      </c>
      <c r="EG39" s="229">
        <v>0.51619999999999999</v>
      </c>
      <c r="EH39" s="229">
        <v>0.70050000000000001</v>
      </c>
      <c r="EI39" s="231">
        <v>85994.21</v>
      </c>
      <c r="EJ39" s="231">
        <v>37981.11</v>
      </c>
      <c r="EK39" s="231">
        <v>31006.92</v>
      </c>
      <c r="EL39" s="231">
        <v>2812</v>
      </c>
      <c r="EM39" s="231">
        <v>154982.24</v>
      </c>
      <c r="EN39" s="231">
        <v>134273.76</v>
      </c>
      <c r="EO39" s="231">
        <v>20708.48</v>
      </c>
      <c r="EP39" s="229">
        <v>0.1542</v>
      </c>
      <c r="EQ39" s="231">
        <v>76960</v>
      </c>
      <c r="ER39" s="231">
        <v>37325</v>
      </c>
      <c r="ES39" s="231">
        <v>195397</v>
      </c>
      <c r="ET39" s="231">
        <v>45527821</v>
      </c>
      <c r="EU39" s="231">
        <v>309682</v>
      </c>
      <c r="EV39" s="231">
        <v>308101</v>
      </c>
      <c r="EW39" s="231">
        <v>1581</v>
      </c>
      <c r="EX39" s="229">
        <v>5.1000000000000004E-3</v>
      </c>
      <c r="EY39" s="229">
        <v>0.36430000000000001</v>
      </c>
    </row>
    <row r="40" spans="1:155" ht="17.25" thickBot="1" x14ac:dyDescent="0.3">
      <c r="A40" s="226">
        <v>46148</v>
      </c>
      <c r="B40" s="227" t="s">
        <v>172</v>
      </c>
      <c r="C40" s="227" t="s">
        <v>283</v>
      </c>
      <c r="D40" s="231">
        <v>1090.2</v>
      </c>
      <c r="E40" s="231">
        <v>1051.8</v>
      </c>
      <c r="F40" s="228">
        <v>38.4</v>
      </c>
      <c r="G40" s="229">
        <v>3.6499999999999998E-2</v>
      </c>
      <c r="H40" s="231">
        <v>1096</v>
      </c>
      <c r="I40" s="231">
        <v>1059.9000000000001</v>
      </c>
      <c r="J40" s="228">
        <v>36.1</v>
      </c>
      <c r="K40" s="229">
        <v>3.4099999999999998E-2</v>
      </c>
      <c r="L40" s="231">
        <v>1090.2</v>
      </c>
      <c r="M40" s="231">
        <v>1051.8</v>
      </c>
      <c r="N40" s="228">
        <v>38.4</v>
      </c>
      <c r="O40" s="229">
        <v>3.6499999999999998E-2</v>
      </c>
      <c r="P40" s="231">
        <v>1093.5999999999999</v>
      </c>
      <c r="Q40" s="231">
        <v>1056</v>
      </c>
      <c r="R40" s="228">
        <v>37.6</v>
      </c>
      <c r="S40" s="229">
        <v>3.56E-2</v>
      </c>
      <c r="T40" s="231">
        <v>1098.0999999999999</v>
      </c>
      <c r="U40" s="231">
        <v>1062.0999999999999</v>
      </c>
      <c r="V40" s="228">
        <v>36</v>
      </c>
      <c r="W40" s="229">
        <v>3.39E-2</v>
      </c>
      <c r="X40" s="228">
        <v>-5.8</v>
      </c>
      <c r="Y40" s="228">
        <v>-8.1</v>
      </c>
      <c r="Z40" s="228">
        <v>2.2999999999999998</v>
      </c>
      <c r="AA40" s="229">
        <v>-5.3E-3</v>
      </c>
      <c r="AB40" s="228">
        <v>-5.8</v>
      </c>
      <c r="AC40" s="228">
        <v>-8.1</v>
      </c>
      <c r="AD40" s="228">
        <v>2.2999999999999998</v>
      </c>
      <c r="AE40" s="229">
        <v>-5.3E-3</v>
      </c>
      <c r="AF40" s="228">
        <v>-2.4</v>
      </c>
      <c r="AG40" s="228">
        <v>-3.9</v>
      </c>
      <c r="AH40" s="228">
        <v>1.5</v>
      </c>
      <c r="AI40" s="229">
        <v>-2.2000000000000001E-3</v>
      </c>
      <c r="AJ40" s="228">
        <v>2.1</v>
      </c>
      <c r="AK40" s="228">
        <v>2.2000000000000002</v>
      </c>
      <c r="AL40" s="228">
        <v>-0.1</v>
      </c>
      <c r="AM40" s="229">
        <v>1.9E-3</v>
      </c>
      <c r="AN40" s="231">
        <v>1075.8499999999999</v>
      </c>
      <c r="AO40" s="231">
        <v>1076.23</v>
      </c>
      <c r="AP40" s="228">
        <v>0</v>
      </c>
      <c r="AQ40" s="230">
        <v>28355</v>
      </c>
      <c r="AR40" s="230">
        <v>12145</v>
      </c>
      <c r="AS40" s="230">
        <v>16210</v>
      </c>
      <c r="AT40" s="229">
        <v>1.3347</v>
      </c>
      <c r="AU40" s="230">
        <v>26352</v>
      </c>
      <c r="AV40" s="230">
        <v>10640</v>
      </c>
      <c r="AW40" s="230">
        <v>15712</v>
      </c>
      <c r="AX40" s="229">
        <v>1.4766999999999999</v>
      </c>
      <c r="AY40" s="230">
        <v>1762</v>
      </c>
      <c r="AZ40" s="230">
        <v>1372</v>
      </c>
      <c r="BA40" s="228">
        <v>390</v>
      </c>
      <c r="BB40" s="229">
        <v>0.2843</v>
      </c>
      <c r="BC40" s="228">
        <v>241</v>
      </c>
      <c r="BD40" s="228">
        <v>133</v>
      </c>
      <c r="BE40" s="228">
        <v>108</v>
      </c>
      <c r="BF40" s="229">
        <v>0.81200000000000006</v>
      </c>
      <c r="BG40" s="230">
        <v>104134</v>
      </c>
      <c r="BH40" s="230">
        <v>46444</v>
      </c>
      <c r="BI40" s="230">
        <v>57690</v>
      </c>
      <c r="BJ40" s="229">
        <v>1.2421</v>
      </c>
      <c r="BK40" s="230">
        <v>49929</v>
      </c>
      <c r="BL40" s="230">
        <v>27810</v>
      </c>
      <c r="BM40" s="230">
        <v>22119</v>
      </c>
      <c r="BN40" s="229">
        <v>0.7954</v>
      </c>
      <c r="BO40" s="230">
        <v>182418</v>
      </c>
      <c r="BP40" s="230">
        <v>86399</v>
      </c>
      <c r="BQ40" s="230">
        <v>96019</v>
      </c>
      <c r="BR40" s="229">
        <v>1.1113</v>
      </c>
      <c r="BS40" s="230">
        <v>15270724</v>
      </c>
      <c r="BT40" s="230">
        <v>12829281</v>
      </c>
      <c r="BU40" s="230">
        <v>2441443</v>
      </c>
      <c r="BV40" s="229">
        <v>0.1903</v>
      </c>
      <c r="BW40" s="230">
        <v>100336500</v>
      </c>
      <c r="BX40" s="230">
        <v>96547500</v>
      </c>
      <c r="BY40" s="230">
        <v>3789000</v>
      </c>
      <c r="BZ40" s="229">
        <v>3.9199999999999999E-2</v>
      </c>
      <c r="CA40" s="230">
        <v>78623250</v>
      </c>
      <c r="CB40" s="230">
        <v>75284250</v>
      </c>
      <c r="CC40" s="230">
        <v>3339000</v>
      </c>
      <c r="CD40" s="229">
        <v>4.4400000000000002E-2</v>
      </c>
      <c r="CE40" s="230">
        <v>21511500</v>
      </c>
      <c r="CF40" s="230">
        <v>21079500</v>
      </c>
      <c r="CG40" s="230">
        <v>432000</v>
      </c>
      <c r="CH40" s="229">
        <v>2.0500000000000001E-2</v>
      </c>
      <c r="CI40" s="230">
        <v>201750</v>
      </c>
      <c r="CJ40" s="230">
        <v>183750</v>
      </c>
      <c r="CK40" s="230">
        <v>18000</v>
      </c>
      <c r="CL40" s="229">
        <v>9.8000000000000004E-2</v>
      </c>
      <c r="CM40" s="230">
        <v>33020250</v>
      </c>
      <c r="CN40" s="230">
        <v>34888500</v>
      </c>
      <c r="CO40" s="230">
        <v>-1868250</v>
      </c>
      <c r="CP40" s="229">
        <v>-5.3499999999999999E-2</v>
      </c>
      <c r="CQ40" s="230">
        <v>25122750</v>
      </c>
      <c r="CR40" s="230">
        <v>23883000</v>
      </c>
      <c r="CS40" s="230">
        <v>1239750</v>
      </c>
      <c r="CT40" s="229">
        <v>5.1900000000000002E-2</v>
      </c>
      <c r="CU40" s="230">
        <v>158479500</v>
      </c>
      <c r="CV40" s="230">
        <v>155319000</v>
      </c>
      <c r="CW40" s="230">
        <v>3160500</v>
      </c>
      <c r="CX40" s="229">
        <v>2.0299999999999999E-2</v>
      </c>
      <c r="CY40" s="228">
        <v>31.2</v>
      </c>
      <c r="CZ40" s="228">
        <v>32.32</v>
      </c>
      <c r="DA40" s="228">
        <v>-1.1200000000000001</v>
      </c>
      <c r="DB40" s="228">
        <v>-1.1200000000000001</v>
      </c>
      <c r="DC40" s="228">
        <v>29.17</v>
      </c>
      <c r="DD40" s="228">
        <v>28.89</v>
      </c>
      <c r="DE40" s="228">
        <v>2.0299999999999998</v>
      </c>
      <c r="DF40" s="228">
        <v>0.28000000000000003</v>
      </c>
      <c r="DG40" s="228">
        <v>30.86</v>
      </c>
      <c r="DH40" s="228">
        <v>32.549999999999997</v>
      </c>
      <c r="DI40" s="228">
        <v>-1.69</v>
      </c>
      <c r="DJ40" s="228">
        <v>-1.69</v>
      </c>
      <c r="DK40" s="228">
        <v>31.91</v>
      </c>
      <c r="DL40" s="228">
        <v>31.94</v>
      </c>
      <c r="DM40" s="228">
        <v>-0.03</v>
      </c>
      <c r="DN40" s="228">
        <v>-0.03</v>
      </c>
      <c r="DO40" s="228">
        <v>0.76</v>
      </c>
      <c r="DP40" s="228">
        <v>0.68</v>
      </c>
      <c r="DQ40" s="228">
        <v>0.08</v>
      </c>
      <c r="DR40" s="229">
        <v>0.1176</v>
      </c>
      <c r="DS40" s="231">
        <v>1100</v>
      </c>
      <c r="DT40" s="231">
        <v>1100</v>
      </c>
      <c r="DU40" s="228">
        <v>0.48</v>
      </c>
      <c r="DV40" s="228">
        <v>0.6</v>
      </c>
      <c r="DW40" s="228">
        <v>-0.12</v>
      </c>
      <c r="DX40" s="229">
        <v>-0.2</v>
      </c>
      <c r="DY40" s="229">
        <v>0.21640000000000001</v>
      </c>
      <c r="DZ40" s="230">
        <v>21263250</v>
      </c>
      <c r="EA40" s="229">
        <v>3.0999999999999999E-3</v>
      </c>
      <c r="EB40" s="229">
        <v>0.21640000000000001</v>
      </c>
      <c r="EC40" s="228">
        <v>0.38</v>
      </c>
      <c r="ED40" s="229">
        <v>4.0000000000000002E-4</v>
      </c>
      <c r="EE40" s="230">
        <v>7843088</v>
      </c>
      <c r="EF40" s="230">
        <v>4897303</v>
      </c>
      <c r="EG40" s="229">
        <v>0.60150000000000003</v>
      </c>
      <c r="EH40" s="229">
        <v>0.51359999999999995</v>
      </c>
      <c r="EI40" s="231">
        <v>884744.13</v>
      </c>
      <c r="EJ40" s="231">
        <v>395462.76</v>
      </c>
      <c r="EK40" s="231">
        <v>228810.78</v>
      </c>
      <c r="EL40" s="231">
        <v>15340</v>
      </c>
      <c r="EM40" s="231">
        <v>1509017.67</v>
      </c>
      <c r="EN40" s="231">
        <v>704631.82</v>
      </c>
      <c r="EO40" s="231">
        <v>804385.85</v>
      </c>
      <c r="EP40" s="229">
        <v>1.1415999999999999</v>
      </c>
      <c r="EQ40" s="231">
        <v>375098</v>
      </c>
      <c r="ER40" s="231">
        <v>265133</v>
      </c>
      <c r="ES40" s="231">
        <v>1094616</v>
      </c>
      <c r="ET40" s="231">
        <v>580324288</v>
      </c>
      <c r="EU40" s="231">
        <v>1734847</v>
      </c>
      <c r="EV40" s="231">
        <v>1663392</v>
      </c>
      <c r="EW40" s="231">
        <v>71455</v>
      </c>
      <c r="EX40" s="229">
        <v>4.2999999999999997E-2</v>
      </c>
      <c r="EY40" s="229">
        <v>0.27310000000000001</v>
      </c>
    </row>
    <row r="41" spans="1:155" ht="17.25" thickBot="1" x14ac:dyDescent="0.3">
      <c r="A41" s="226">
        <v>46148</v>
      </c>
      <c r="B41" s="227" t="s">
        <v>175</v>
      </c>
      <c r="C41" s="227" t="s">
        <v>561</v>
      </c>
      <c r="D41" s="231">
        <v>1010.5</v>
      </c>
      <c r="E41" s="228">
        <v>967.4</v>
      </c>
      <c r="F41" s="228">
        <v>43.1</v>
      </c>
      <c r="G41" s="229">
        <v>4.4600000000000001E-2</v>
      </c>
      <c r="H41" s="231">
        <v>1004.1</v>
      </c>
      <c r="I41" s="228">
        <v>964.4</v>
      </c>
      <c r="J41" s="228">
        <v>39.700000000000003</v>
      </c>
      <c r="K41" s="229">
        <v>4.1200000000000001E-2</v>
      </c>
      <c r="L41" s="231">
        <v>1010.5</v>
      </c>
      <c r="M41" s="228">
        <v>967.4</v>
      </c>
      <c r="N41" s="228">
        <v>43.1</v>
      </c>
      <c r="O41" s="229">
        <v>4.4600000000000001E-2</v>
      </c>
      <c r="P41" s="231">
        <v>1016.8</v>
      </c>
      <c r="Q41" s="228">
        <v>974.45</v>
      </c>
      <c r="R41" s="228">
        <v>42.35</v>
      </c>
      <c r="S41" s="229">
        <v>4.3499999999999997E-2</v>
      </c>
      <c r="T41" s="231">
        <v>1015.9</v>
      </c>
      <c r="U41" s="228">
        <v>970.8</v>
      </c>
      <c r="V41" s="228">
        <v>45.1</v>
      </c>
      <c r="W41" s="229">
        <v>4.65E-2</v>
      </c>
      <c r="X41" s="228">
        <v>6.4</v>
      </c>
      <c r="Y41" s="228">
        <v>3</v>
      </c>
      <c r="Z41" s="228">
        <v>3.4</v>
      </c>
      <c r="AA41" s="229">
        <v>6.4000000000000003E-3</v>
      </c>
      <c r="AB41" s="228">
        <v>6.4</v>
      </c>
      <c r="AC41" s="228">
        <v>3</v>
      </c>
      <c r="AD41" s="228">
        <v>3.4</v>
      </c>
      <c r="AE41" s="229">
        <v>6.4000000000000003E-3</v>
      </c>
      <c r="AF41" s="228">
        <v>12.7</v>
      </c>
      <c r="AG41" s="228">
        <v>10.050000000000001</v>
      </c>
      <c r="AH41" s="228">
        <v>2.65</v>
      </c>
      <c r="AI41" s="229">
        <v>1.26E-2</v>
      </c>
      <c r="AJ41" s="228">
        <v>11.8</v>
      </c>
      <c r="AK41" s="228">
        <v>6.4</v>
      </c>
      <c r="AL41" s="228">
        <v>5.4</v>
      </c>
      <c r="AM41" s="229">
        <v>1.18E-2</v>
      </c>
      <c r="AN41" s="228">
        <v>995.99</v>
      </c>
      <c r="AO41" s="231">
        <v>1002.71</v>
      </c>
      <c r="AP41" s="228">
        <v>0</v>
      </c>
      <c r="AQ41" s="230">
        <v>12578</v>
      </c>
      <c r="AR41" s="230">
        <v>6430</v>
      </c>
      <c r="AS41" s="230">
        <v>6148</v>
      </c>
      <c r="AT41" s="229">
        <v>0.95609999999999995</v>
      </c>
      <c r="AU41" s="230">
        <v>11863</v>
      </c>
      <c r="AV41" s="230">
        <v>6053</v>
      </c>
      <c r="AW41" s="230">
        <v>5810</v>
      </c>
      <c r="AX41" s="229">
        <v>0.95989999999999998</v>
      </c>
      <c r="AY41" s="228">
        <v>598</v>
      </c>
      <c r="AZ41" s="228">
        <v>287</v>
      </c>
      <c r="BA41" s="228">
        <v>311</v>
      </c>
      <c r="BB41" s="229">
        <v>1.0835999999999999</v>
      </c>
      <c r="BC41" s="228">
        <v>117</v>
      </c>
      <c r="BD41" s="228">
        <v>90</v>
      </c>
      <c r="BE41" s="228">
        <v>27</v>
      </c>
      <c r="BF41" s="229">
        <v>0.3</v>
      </c>
      <c r="BG41" s="230">
        <v>32945</v>
      </c>
      <c r="BH41" s="230">
        <v>15262</v>
      </c>
      <c r="BI41" s="230">
        <v>17683</v>
      </c>
      <c r="BJ41" s="229">
        <v>1.1586000000000001</v>
      </c>
      <c r="BK41" s="230">
        <v>17506</v>
      </c>
      <c r="BL41" s="230">
        <v>8579</v>
      </c>
      <c r="BM41" s="230">
        <v>8927</v>
      </c>
      <c r="BN41" s="229">
        <v>1.0406</v>
      </c>
      <c r="BO41" s="230">
        <v>63029</v>
      </c>
      <c r="BP41" s="230">
        <v>30271</v>
      </c>
      <c r="BQ41" s="230">
        <v>32758</v>
      </c>
      <c r="BR41" s="229">
        <v>1.0822000000000001</v>
      </c>
      <c r="BS41" s="230">
        <v>6428007</v>
      </c>
      <c r="BT41" s="230">
        <v>4165242</v>
      </c>
      <c r="BU41" s="230">
        <v>2262765</v>
      </c>
      <c r="BV41" s="229">
        <v>0.54320000000000002</v>
      </c>
      <c r="BW41" s="230">
        <v>44075625</v>
      </c>
      <c r="BX41" s="230">
        <v>44971575</v>
      </c>
      <c r="BY41" s="230">
        <v>-895950</v>
      </c>
      <c r="BZ41" s="229">
        <v>-1.9900000000000001E-2</v>
      </c>
      <c r="CA41" s="230">
        <v>38063025</v>
      </c>
      <c r="CB41" s="230">
        <v>39065400</v>
      </c>
      <c r="CC41" s="230">
        <v>-1002375</v>
      </c>
      <c r="CD41" s="229">
        <v>-2.5700000000000001E-2</v>
      </c>
      <c r="CE41" s="230">
        <v>5899575</v>
      </c>
      <c r="CF41" s="230">
        <v>5812125</v>
      </c>
      <c r="CG41" s="230">
        <v>87450</v>
      </c>
      <c r="CH41" s="229">
        <v>1.4999999999999999E-2</v>
      </c>
      <c r="CI41" s="230">
        <v>113025</v>
      </c>
      <c r="CJ41" s="230">
        <v>94050</v>
      </c>
      <c r="CK41" s="230">
        <v>18975</v>
      </c>
      <c r="CL41" s="229">
        <v>0.20180000000000001</v>
      </c>
      <c r="CM41" s="230">
        <v>16006650</v>
      </c>
      <c r="CN41" s="230">
        <v>18702750</v>
      </c>
      <c r="CO41" s="230">
        <v>-2696100</v>
      </c>
      <c r="CP41" s="229">
        <v>-0.14419999999999999</v>
      </c>
      <c r="CQ41" s="230">
        <v>9428100</v>
      </c>
      <c r="CR41" s="230">
        <v>9097275</v>
      </c>
      <c r="CS41" s="230">
        <v>330825</v>
      </c>
      <c r="CT41" s="229">
        <v>3.6400000000000002E-2</v>
      </c>
      <c r="CU41" s="230">
        <v>69510375</v>
      </c>
      <c r="CV41" s="230">
        <v>72771600</v>
      </c>
      <c r="CW41" s="230">
        <v>-3261225</v>
      </c>
      <c r="CX41" s="229">
        <v>-4.48E-2</v>
      </c>
      <c r="CY41" s="228">
        <v>36.15</v>
      </c>
      <c r="CZ41" s="228">
        <v>38.299999999999997</v>
      </c>
      <c r="DA41" s="228">
        <v>-2.15</v>
      </c>
      <c r="DB41" s="228">
        <v>-2.15</v>
      </c>
      <c r="DC41" s="228">
        <v>44.94</v>
      </c>
      <c r="DD41" s="228">
        <v>44.72</v>
      </c>
      <c r="DE41" s="228">
        <v>-8.7899999999999991</v>
      </c>
      <c r="DF41" s="228">
        <v>0.22</v>
      </c>
      <c r="DG41" s="228">
        <v>35.950000000000003</v>
      </c>
      <c r="DH41" s="228">
        <v>38.520000000000003</v>
      </c>
      <c r="DI41" s="228">
        <v>-2.57</v>
      </c>
      <c r="DJ41" s="228">
        <v>-2.57</v>
      </c>
      <c r="DK41" s="228">
        <v>36.53</v>
      </c>
      <c r="DL41" s="228">
        <v>37.9</v>
      </c>
      <c r="DM41" s="228">
        <v>-1.37</v>
      </c>
      <c r="DN41" s="228">
        <v>-1.37</v>
      </c>
      <c r="DO41" s="228">
        <v>0.59</v>
      </c>
      <c r="DP41" s="228">
        <v>0.49</v>
      </c>
      <c r="DQ41" s="228">
        <v>0.1</v>
      </c>
      <c r="DR41" s="229">
        <v>0.2041</v>
      </c>
      <c r="DS41" s="231">
        <v>1100</v>
      </c>
      <c r="DT41" s="228">
        <v>900</v>
      </c>
      <c r="DU41" s="228">
        <v>0.53</v>
      </c>
      <c r="DV41" s="228">
        <v>0.56000000000000005</v>
      </c>
      <c r="DW41" s="228">
        <v>-0.03</v>
      </c>
      <c r="DX41" s="229">
        <v>-5.3600000000000002E-2</v>
      </c>
      <c r="DY41" s="229">
        <v>0.13639999999999999</v>
      </c>
      <c r="DZ41" s="230">
        <v>5906175</v>
      </c>
      <c r="EA41" s="229">
        <v>6.1999999999999998E-3</v>
      </c>
      <c r="EB41" s="229">
        <v>0.13639999999999999</v>
      </c>
      <c r="EC41" s="228">
        <v>6.72</v>
      </c>
      <c r="ED41" s="229">
        <v>6.7000000000000002E-3</v>
      </c>
      <c r="EE41" s="230">
        <v>3676459</v>
      </c>
      <c r="EF41" s="230">
        <v>1742411</v>
      </c>
      <c r="EG41" s="229">
        <v>1.1100000000000001</v>
      </c>
      <c r="EH41" s="229">
        <v>0.57189999999999996</v>
      </c>
      <c r="EI41" s="231">
        <v>285891.57</v>
      </c>
      <c r="EJ41" s="231">
        <v>139374.85999999999</v>
      </c>
      <c r="EK41" s="231">
        <v>103389.86</v>
      </c>
      <c r="EL41" s="231">
        <v>7629</v>
      </c>
      <c r="EM41" s="231">
        <v>528656.29</v>
      </c>
      <c r="EN41" s="231">
        <v>247974.45</v>
      </c>
      <c r="EO41" s="231">
        <v>280681.84000000003</v>
      </c>
      <c r="EP41" s="229">
        <v>1.1318999999999999</v>
      </c>
      <c r="EQ41" s="231">
        <v>166353</v>
      </c>
      <c r="ER41" s="231">
        <v>88843</v>
      </c>
      <c r="ES41" s="231">
        <v>445762</v>
      </c>
      <c r="ET41" s="231">
        <v>210567108</v>
      </c>
      <c r="EU41" s="231">
        <v>700959</v>
      </c>
      <c r="EV41" s="231">
        <v>713805</v>
      </c>
      <c r="EW41" s="231">
        <v>-12846</v>
      </c>
      <c r="EX41" s="229">
        <v>-1.7999999999999999E-2</v>
      </c>
      <c r="EY41" s="229">
        <v>0.3301</v>
      </c>
    </row>
    <row r="42" spans="1:155" ht="17.25" thickBot="1" x14ac:dyDescent="0.3">
      <c r="A42" s="226">
        <v>46148</v>
      </c>
      <c r="B42" s="227" t="s">
        <v>170</v>
      </c>
      <c r="C42" s="227" t="s">
        <v>288</v>
      </c>
      <c r="D42" s="231">
        <v>1857.5</v>
      </c>
      <c r="E42" s="231">
        <v>1825.4</v>
      </c>
      <c r="F42" s="228">
        <v>32.1</v>
      </c>
      <c r="G42" s="229">
        <v>1.7600000000000001E-2</v>
      </c>
      <c r="H42" s="231">
        <v>1850.2</v>
      </c>
      <c r="I42" s="231">
        <v>1820.8</v>
      </c>
      <c r="J42" s="228">
        <v>29.4</v>
      </c>
      <c r="K42" s="229">
        <v>1.61E-2</v>
      </c>
      <c r="L42" s="231">
        <v>1857.5</v>
      </c>
      <c r="M42" s="231">
        <v>1825.4</v>
      </c>
      <c r="N42" s="228">
        <v>32.1</v>
      </c>
      <c r="O42" s="229">
        <v>1.7600000000000001E-2</v>
      </c>
      <c r="P42" s="231">
        <v>1870.2</v>
      </c>
      <c r="Q42" s="231">
        <v>1837.9</v>
      </c>
      <c r="R42" s="228">
        <v>32.299999999999997</v>
      </c>
      <c r="S42" s="229">
        <v>1.7600000000000001E-2</v>
      </c>
      <c r="T42" s="231">
        <v>1876.5</v>
      </c>
      <c r="U42" s="231">
        <v>1840.4</v>
      </c>
      <c r="V42" s="228">
        <v>36.1</v>
      </c>
      <c r="W42" s="229">
        <v>1.9599999999999999E-2</v>
      </c>
      <c r="X42" s="228">
        <v>7.3</v>
      </c>
      <c r="Y42" s="228">
        <v>4.5999999999999996</v>
      </c>
      <c r="Z42" s="228">
        <v>2.7</v>
      </c>
      <c r="AA42" s="229">
        <v>3.8999999999999998E-3</v>
      </c>
      <c r="AB42" s="228">
        <v>7.3</v>
      </c>
      <c r="AC42" s="228">
        <v>4.5999999999999996</v>
      </c>
      <c r="AD42" s="228">
        <v>2.7</v>
      </c>
      <c r="AE42" s="229">
        <v>3.8999999999999998E-3</v>
      </c>
      <c r="AF42" s="228">
        <v>20</v>
      </c>
      <c r="AG42" s="228">
        <v>17.100000000000001</v>
      </c>
      <c r="AH42" s="228">
        <v>2.9</v>
      </c>
      <c r="AI42" s="229">
        <v>1.0800000000000001E-2</v>
      </c>
      <c r="AJ42" s="228">
        <v>26.3</v>
      </c>
      <c r="AK42" s="228">
        <v>19.600000000000001</v>
      </c>
      <c r="AL42" s="228">
        <v>6.7</v>
      </c>
      <c r="AM42" s="229">
        <v>1.4200000000000001E-2</v>
      </c>
      <c r="AN42" s="231">
        <v>1851.29</v>
      </c>
      <c r="AO42" s="231">
        <v>1862.01</v>
      </c>
      <c r="AP42" s="228">
        <v>0</v>
      </c>
      <c r="AQ42" s="230">
        <v>8570</v>
      </c>
      <c r="AR42" s="230">
        <v>5856</v>
      </c>
      <c r="AS42" s="230">
        <v>2714</v>
      </c>
      <c r="AT42" s="229">
        <v>0.46350000000000002</v>
      </c>
      <c r="AU42" s="230">
        <v>8163</v>
      </c>
      <c r="AV42" s="230">
        <v>5585</v>
      </c>
      <c r="AW42" s="230">
        <v>2578</v>
      </c>
      <c r="AX42" s="229">
        <v>0.46160000000000001</v>
      </c>
      <c r="AY42" s="228">
        <v>347</v>
      </c>
      <c r="AZ42" s="228">
        <v>257</v>
      </c>
      <c r="BA42" s="228">
        <v>90</v>
      </c>
      <c r="BB42" s="229">
        <v>0.35020000000000001</v>
      </c>
      <c r="BC42" s="228">
        <v>60</v>
      </c>
      <c r="BD42" s="228">
        <v>14</v>
      </c>
      <c r="BE42" s="228">
        <v>46</v>
      </c>
      <c r="BF42" s="229">
        <v>3.2856999999999998</v>
      </c>
      <c r="BG42" s="230">
        <v>49253</v>
      </c>
      <c r="BH42" s="230">
        <v>22108</v>
      </c>
      <c r="BI42" s="230">
        <v>27145</v>
      </c>
      <c r="BJ42" s="229">
        <v>1.2278</v>
      </c>
      <c r="BK42" s="230">
        <v>24905</v>
      </c>
      <c r="BL42" s="230">
        <v>14984</v>
      </c>
      <c r="BM42" s="230">
        <v>9921</v>
      </c>
      <c r="BN42" s="229">
        <v>0.66210000000000002</v>
      </c>
      <c r="BO42" s="230">
        <v>82728</v>
      </c>
      <c r="BP42" s="230">
        <v>42948</v>
      </c>
      <c r="BQ42" s="230">
        <v>39780</v>
      </c>
      <c r="BR42" s="229">
        <v>0.92620000000000002</v>
      </c>
      <c r="BS42" s="230">
        <v>3461306</v>
      </c>
      <c r="BT42" s="230">
        <v>3260724</v>
      </c>
      <c r="BU42" s="230">
        <v>200582</v>
      </c>
      <c r="BV42" s="229">
        <v>6.1499999999999999E-2</v>
      </c>
      <c r="BW42" s="230">
        <v>28101850</v>
      </c>
      <c r="BX42" s="230">
        <v>28029050</v>
      </c>
      <c r="BY42" s="230">
        <v>72800</v>
      </c>
      <c r="BZ42" s="229">
        <v>2.5999999999999999E-3</v>
      </c>
      <c r="CA42" s="230">
        <v>24359650</v>
      </c>
      <c r="CB42" s="230">
        <v>24351600</v>
      </c>
      <c r="CC42" s="230">
        <v>8050</v>
      </c>
      <c r="CD42" s="229">
        <v>2.9999999999999997E-4</v>
      </c>
      <c r="CE42" s="230">
        <v>3709650</v>
      </c>
      <c r="CF42" s="230">
        <v>3655750</v>
      </c>
      <c r="CG42" s="230">
        <v>53900</v>
      </c>
      <c r="CH42" s="229">
        <v>1.47E-2</v>
      </c>
      <c r="CI42" s="230">
        <v>32550</v>
      </c>
      <c r="CJ42" s="230">
        <v>21700</v>
      </c>
      <c r="CK42" s="230">
        <v>10850</v>
      </c>
      <c r="CL42" s="229">
        <v>0.5</v>
      </c>
      <c r="CM42" s="230">
        <v>9716000</v>
      </c>
      <c r="CN42" s="230">
        <v>9644600</v>
      </c>
      <c r="CO42" s="230">
        <v>71400</v>
      </c>
      <c r="CP42" s="229">
        <v>7.4000000000000003E-3</v>
      </c>
      <c r="CQ42" s="230">
        <v>7490350</v>
      </c>
      <c r="CR42" s="230">
        <v>6867350</v>
      </c>
      <c r="CS42" s="230">
        <v>623000</v>
      </c>
      <c r="CT42" s="229">
        <v>9.0700000000000003E-2</v>
      </c>
      <c r="CU42" s="230">
        <v>45308200</v>
      </c>
      <c r="CV42" s="230">
        <v>44541000</v>
      </c>
      <c r="CW42" s="230">
        <v>767200</v>
      </c>
      <c r="CX42" s="229">
        <v>1.72E-2</v>
      </c>
      <c r="CY42" s="228">
        <v>22.68</v>
      </c>
      <c r="CZ42" s="228">
        <v>23.35</v>
      </c>
      <c r="DA42" s="228">
        <v>-0.67</v>
      </c>
      <c r="DB42" s="228">
        <v>-0.67</v>
      </c>
      <c r="DC42" s="228">
        <v>25.56</v>
      </c>
      <c r="DD42" s="228">
        <v>25.53</v>
      </c>
      <c r="DE42" s="228">
        <v>-2.88</v>
      </c>
      <c r="DF42" s="228">
        <v>0.03</v>
      </c>
      <c r="DG42" s="228">
        <v>21.91</v>
      </c>
      <c r="DH42" s="228">
        <v>22.48</v>
      </c>
      <c r="DI42" s="228">
        <v>-0.56999999999999995</v>
      </c>
      <c r="DJ42" s="228">
        <v>-0.56999999999999995</v>
      </c>
      <c r="DK42" s="228">
        <v>24.19</v>
      </c>
      <c r="DL42" s="228">
        <v>24.65</v>
      </c>
      <c r="DM42" s="228">
        <v>-0.46</v>
      </c>
      <c r="DN42" s="228">
        <v>-0.46</v>
      </c>
      <c r="DO42" s="228">
        <v>0.77</v>
      </c>
      <c r="DP42" s="228">
        <v>0.71</v>
      </c>
      <c r="DQ42" s="228">
        <v>0.06</v>
      </c>
      <c r="DR42" s="229">
        <v>8.4500000000000006E-2</v>
      </c>
      <c r="DS42" s="231">
        <v>1860</v>
      </c>
      <c r="DT42" s="231">
        <v>1800</v>
      </c>
      <c r="DU42" s="228">
        <v>0.51</v>
      </c>
      <c r="DV42" s="228">
        <v>0.68</v>
      </c>
      <c r="DW42" s="228">
        <v>-0.17</v>
      </c>
      <c r="DX42" s="229">
        <v>-0.25</v>
      </c>
      <c r="DY42" s="229">
        <v>0.13320000000000001</v>
      </c>
      <c r="DZ42" s="230">
        <v>3677450</v>
      </c>
      <c r="EA42" s="229">
        <v>6.7999999999999996E-3</v>
      </c>
      <c r="EB42" s="229">
        <v>0.13320000000000001</v>
      </c>
      <c r="EC42" s="228">
        <v>10.72</v>
      </c>
      <c r="ED42" s="229">
        <v>5.7999999999999996E-3</v>
      </c>
      <c r="EE42" s="230">
        <v>2194827</v>
      </c>
      <c r="EF42" s="230">
        <v>1925820</v>
      </c>
      <c r="EG42" s="229">
        <v>0.13969999999999999</v>
      </c>
      <c r="EH42" s="229">
        <v>0.6341</v>
      </c>
      <c r="EI42" s="231">
        <v>329816.65000000002</v>
      </c>
      <c r="EJ42" s="231">
        <v>158104.1</v>
      </c>
      <c r="EK42" s="231">
        <v>55546.46</v>
      </c>
      <c r="EL42" s="231">
        <v>9117</v>
      </c>
      <c r="EM42" s="231">
        <v>543467.21</v>
      </c>
      <c r="EN42" s="231">
        <v>277808.53999999998</v>
      </c>
      <c r="EO42" s="231">
        <v>265658.67</v>
      </c>
      <c r="EP42" s="229">
        <v>0.95630000000000004</v>
      </c>
      <c r="EQ42" s="231">
        <v>177767</v>
      </c>
      <c r="ER42" s="231">
        <v>128333</v>
      </c>
      <c r="ES42" s="231">
        <v>522469</v>
      </c>
      <c r="ET42" s="231">
        <v>121755902</v>
      </c>
      <c r="EU42" s="231">
        <v>828569</v>
      </c>
      <c r="EV42" s="231">
        <v>804851</v>
      </c>
      <c r="EW42" s="231">
        <v>23718</v>
      </c>
      <c r="EX42" s="229">
        <v>2.9499999999999998E-2</v>
      </c>
      <c r="EY42" s="229">
        <v>0.37209999999999999</v>
      </c>
    </row>
    <row r="43" spans="1:155" ht="17.25" thickBot="1" x14ac:dyDescent="0.3">
      <c r="A43" s="226">
        <v>46148</v>
      </c>
      <c r="B43" s="227" t="s">
        <v>168</v>
      </c>
      <c r="C43" s="227" t="s">
        <v>291</v>
      </c>
      <c r="D43" s="231">
        <v>1158.5</v>
      </c>
      <c r="E43" s="231">
        <v>1158.9000000000001</v>
      </c>
      <c r="F43" s="228">
        <v>-0.4</v>
      </c>
      <c r="G43" s="229">
        <v>-2.9999999999999997E-4</v>
      </c>
      <c r="H43" s="231">
        <v>1152.2</v>
      </c>
      <c r="I43" s="231">
        <v>1153.5</v>
      </c>
      <c r="J43" s="228">
        <v>-1.3</v>
      </c>
      <c r="K43" s="229">
        <v>-1.1000000000000001E-3</v>
      </c>
      <c r="L43" s="231">
        <v>1158.5</v>
      </c>
      <c r="M43" s="231">
        <v>1158.9000000000001</v>
      </c>
      <c r="N43" s="228">
        <v>-0.4</v>
      </c>
      <c r="O43" s="229">
        <v>-2.9999999999999997E-4</v>
      </c>
      <c r="P43" s="231">
        <v>1160.7</v>
      </c>
      <c r="Q43" s="231">
        <v>1158.0999999999999</v>
      </c>
      <c r="R43" s="228">
        <v>2.6</v>
      </c>
      <c r="S43" s="229">
        <v>2.2000000000000001E-3</v>
      </c>
      <c r="T43" s="231">
        <v>1165.5</v>
      </c>
      <c r="U43" s="231">
        <v>1157.5</v>
      </c>
      <c r="V43" s="228">
        <v>8</v>
      </c>
      <c r="W43" s="229">
        <v>6.8999999999999999E-3</v>
      </c>
      <c r="X43" s="228">
        <v>6.3</v>
      </c>
      <c r="Y43" s="228">
        <v>5.4</v>
      </c>
      <c r="Z43" s="228">
        <v>0.9</v>
      </c>
      <c r="AA43" s="229">
        <v>5.4999999999999997E-3</v>
      </c>
      <c r="AB43" s="228">
        <v>6.3</v>
      </c>
      <c r="AC43" s="228">
        <v>5.4</v>
      </c>
      <c r="AD43" s="228">
        <v>0.9</v>
      </c>
      <c r="AE43" s="229">
        <v>5.4999999999999997E-3</v>
      </c>
      <c r="AF43" s="228">
        <v>8.5</v>
      </c>
      <c r="AG43" s="228">
        <v>4.5999999999999996</v>
      </c>
      <c r="AH43" s="228">
        <v>3.9</v>
      </c>
      <c r="AI43" s="229">
        <v>7.4000000000000003E-3</v>
      </c>
      <c r="AJ43" s="228">
        <v>13.3</v>
      </c>
      <c r="AK43" s="228">
        <v>4</v>
      </c>
      <c r="AL43" s="228">
        <v>9.3000000000000007</v>
      </c>
      <c r="AM43" s="229">
        <v>1.15E-2</v>
      </c>
      <c r="AN43" s="231">
        <v>1155.6099999999999</v>
      </c>
      <c r="AO43" s="231">
        <v>1156.02</v>
      </c>
      <c r="AP43" s="228">
        <v>0</v>
      </c>
      <c r="AQ43" s="230">
        <v>3289</v>
      </c>
      <c r="AR43" s="230">
        <v>1954</v>
      </c>
      <c r="AS43" s="230">
        <v>1335</v>
      </c>
      <c r="AT43" s="229">
        <v>0.68320000000000003</v>
      </c>
      <c r="AU43" s="230">
        <v>3062</v>
      </c>
      <c r="AV43" s="230">
        <v>1793</v>
      </c>
      <c r="AW43" s="230">
        <v>1269</v>
      </c>
      <c r="AX43" s="229">
        <v>0.70779999999999998</v>
      </c>
      <c r="AY43" s="228">
        <v>222</v>
      </c>
      <c r="AZ43" s="228">
        <v>161</v>
      </c>
      <c r="BA43" s="228">
        <v>61</v>
      </c>
      <c r="BB43" s="229">
        <v>0.37890000000000001</v>
      </c>
      <c r="BC43" s="228">
        <v>5</v>
      </c>
      <c r="BD43" s="228">
        <v>0</v>
      </c>
      <c r="BE43" s="228">
        <v>5</v>
      </c>
      <c r="BF43" s="229">
        <v>0</v>
      </c>
      <c r="BG43" s="230">
        <v>6964</v>
      </c>
      <c r="BH43" s="230">
        <v>2817</v>
      </c>
      <c r="BI43" s="230">
        <v>4147</v>
      </c>
      <c r="BJ43" s="229">
        <v>1.4721</v>
      </c>
      <c r="BK43" s="230">
        <v>1802</v>
      </c>
      <c r="BL43" s="228">
        <v>846</v>
      </c>
      <c r="BM43" s="228">
        <v>956</v>
      </c>
      <c r="BN43" s="229">
        <v>1.1299999999999999</v>
      </c>
      <c r="BO43" s="230">
        <v>12055</v>
      </c>
      <c r="BP43" s="230">
        <v>5617</v>
      </c>
      <c r="BQ43" s="230">
        <v>6438</v>
      </c>
      <c r="BR43" s="229">
        <v>1.1462000000000001</v>
      </c>
      <c r="BS43" s="230">
        <v>1584633</v>
      </c>
      <c r="BT43" s="230">
        <v>1147765</v>
      </c>
      <c r="BU43" s="230">
        <v>436868</v>
      </c>
      <c r="BV43" s="229">
        <v>0.38059999999999999</v>
      </c>
      <c r="BW43" s="230">
        <v>9525450</v>
      </c>
      <c r="BX43" s="230">
        <v>9487500</v>
      </c>
      <c r="BY43" s="230">
        <v>37950</v>
      </c>
      <c r="BZ43" s="229">
        <v>4.0000000000000001E-3</v>
      </c>
      <c r="CA43" s="230">
        <v>8542050</v>
      </c>
      <c r="CB43" s="230">
        <v>8517850</v>
      </c>
      <c r="CC43" s="230">
        <v>24200</v>
      </c>
      <c r="CD43" s="229">
        <v>2.8E-3</v>
      </c>
      <c r="CE43" s="230">
        <v>975150</v>
      </c>
      <c r="CF43" s="230">
        <v>964150</v>
      </c>
      <c r="CG43" s="230">
        <v>11000</v>
      </c>
      <c r="CH43" s="229">
        <v>1.14E-2</v>
      </c>
      <c r="CI43" s="230">
        <v>8250</v>
      </c>
      <c r="CJ43" s="230">
        <v>5500</v>
      </c>
      <c r="CK43" s="230">
        <v>2750</v>
      </c>
      <c r="CL43" s="229">
        <v>0.5</v>
      </c>
      <c r="CM43" s="230">
        <v>3045350</v>
      </c>
      <c r="CN43" s="230">
        <v>2569050</v>
      </c>
      <c r="CO43" s="230">
        <v>476300</v>
      </c>
      <c r="CP43" s="229">
        <v>0.18540000000000001</v>
      </c>
      <c r="CQ43" s="230">
        <v>1425600</v>
      </c>
      <c r="CR43" s="230">
        <v>1371700</v>
      </c>
      <c r="CS43" s="230">
        <v>53900</v>
      </c>
      <c r="CT43" s="229">
        <v>3.9300000000000002E-2</v>
      </c>
      <c r="CU43" s="230">
        <v>13996400</v>
      </c>
      <c r="CV43" s="230">
        <v>13428250</v>
      </c>
      <c r="CW43" s="230">
        <v>568150</v>
      </c>
      <c r="CX43" s="229">
        <v>4.2299999999999997E-2</v>
      </c>
      <c r="CY43" s="228">
        <v>27.9</v>
      </c>
      <c r="CZ43" s="228">
        <v>28.14</v>
      </c>
      <c r="DA43" s="228">
        <v>-0.24</v>
      </c>
      <c r="DB43" s="228">
        <v>-0.24</v>
      </c>
      <c r="DC43" s="228">
        <v>27.43</v>
      </c>
      <c r="DD43" s="228">
        <v>27.5</v>
      </c>
      <c r="DE43" s="228">
        <v>0.47</v>
      </c>
      <c r="DF43" s="228">
        <v>-7.0000000000000007E-2</v>
      </c>
      <c r="DG43" s="228">
        <v>27.84</v>
      </c>
      <c r="DH43" s="228">
        <v>28</v>
      </c>
      <c r="DI43" s="228">
        <v>-0.16</v>
      </c>
      <c r="DJ43" s="228">
        <v>-0.16</v>
      </c>
      <c r="DK43" s="228">
        <v>28.13</v>
      </c>
      <c r="DL43" s="228">
        <v>28.62</v>
      </c>
      <c r="DM43" s="228">
        <v>-0.49</v>
      </c>
      <c r="DN43" s="228">
        <v>-0.49</v>
      </c>
      <c r="DO43" s="228">
        <v>0.47</v>
      </c>
      <c r="DP43" s="228">
        <v>0.53</v>
      </c>
      <c r="DQ43" s="228">
        <v>-0.06</v>
      </c>
      <c r="DR43" s="229">
        <v>-0.1132</v>
      </c>
      <c r="DS43" s="231">
        <v>1200</v>
      </c>
      <c r="DT43" s="231">
        <v>1100</v>
      </c>
      <c r="DU43" s="228">
        <v>0.26</v>
      </c>
      <c r="DV43" s="228">
        <v>0.3</v>
      </c>
      <c r="DW43" s="228">
        <v>-0.04</v>
      </c>
      <c r="DX43" s="229">
        <v>-0.1333</v>
      </c>
      <c r="DY43" s="229">
        <v>0.1032</v>
      </c>
      <c r="DZ43" s="230">
        <v>969650</v>
      </c>
      <c r="EA43" s="229">
        <v>1.9E-3</v>
      </c>
      <c r="EB43" s="229">
        <v>0.1032</v>
      </c>
      <c r="EC43" s="228">
        <v>0.41</v>
      </c>
      <c r="ED43" s="229">
        <v>4.0000000000000002E-4</v>
      </c>
      <c r="EE43" s="230">
        <v>1003696</v>
      </c>
      <c r="EF43" s="230">
        <v>674581</v>
      </c>
      <c r="EG43" s="229">
        <v>0.4879</v>
      </c>
      <c r="EH43" s="229">
        <v>0.63339999999999996</v>
      </c>
      <c r="EI43" s="231">
        <v>46537.3</v>
      </c>
      <c r="EJ43" s="231">
        <v>11426.4</v>
      </c>
      <c r="EK43" s="231">
        <v>20905.18</v>
      </c>
      <c r="EL43" s="231">
        <v>2372</v>
      </c>
      <c r="EM43" s="231">
        <v>78868.88</v>
      </c>
      <c r="EN43" s="231">
        <v>36709.93</v>
      </c>
      <c r="EO43" s="231">
        <v>42158.95</v>
      </c>
      <c r="EP43" s="229">
        <v>1.1484000000000001</v>
      </c>
      <c r="EQ43" s="231">
        <v>37156</v>
      </c>
      <c r="ER43" s="231">
        <v>15877</v>
      </c>
      <c r="ES43" s="231">
        <v>110374</v>
      </c>
      <c r="ET43" s="231">
        <v>65472757</v>
      </c>
      <c r="EU43" s="231">
        <v>163407</v>
      </c>
      <c r="EV43" s="231">
        <v>156639</v>
      </c>
      <c r="EW43" s="231">
        <v>6768</v>
      </c>
      <c r="EX43" s="229">
        <v>4.3200000000000002E-2</v>
      </c>
      <c r="EY43" s="229">
        <v>0.21379999999999999</v>
      </c>
    </row>
    <row r="44" spans="1:155" ht="17.25" thickBot="1" x14ac:dyDescent="0.3">
      <c r="A44" s="226">
        <v>46148</v>
      </c>
      <c r="B44" s="227" t="s">
        <v>227</v>
      </c>
      <c r="C44" s="227" t="s">
        <v>294</v>
      </c>
      <c r="D44" s="228">
        <v>216.73</v>
      </c>
      <c r="E44" s="228">
        <v>212.45</v>
      </c>
      <c r="F44" s="228">
        <v>4.28</v>
      </c>
      <c r="G44" s="229">
        <v>2.01E-2</v>
      </c>
      <c r="H44" s="228">
        <v>215.47</v>
      </c>
      <c r="I44" s="228">
        <v>211.32</v>
      </c>
      <c r="J44" s="228">
        <v>4.1500000000000004</v>
      </c>
      <c r="K44" s="229">
        <v>1.9599999999999999E-2</v>
      </c>
      <c r="L44" s="228">
        <v>216.73</v>
      </c>
      <c r="M44" s="228">
        <v>212.45</v>
      </c>
      <c r="N44" s="228">
        <v>4.28</v>
      </c>
      <c r="O44" s="229">
        <v>2.01E-2</v>
      </c>
      <c r="P44" s="228">
        <v>215.32</v>
      </c>
      <c r="Q44" s="228">
        <v>211.02</v>
      </c>
      <c r="R44" s="228">
        <v>4.3</v>
      </c>
      <c r="S44" s="229">
        <v>2.0400000000000001E-2</v>
      </c>
      <c r="T44" s="228">
        <v>216.6</v>
      </c>
      <c r="U44" s="228">
        <v>212.08</v>
      </c>
      <c r="V44" s="228">
        <v>4.5199999999999996</v>
      </c>
      <c r="W44" s="229">
        <v>2.1299999999999999E-2</v>
      </c>
      <c r="X44" s="228">
        <v>1.26</v>
      </c>
      <c r="Y44" s="228">
        <v>1.1299999999999999</v>
      </c>
      <c r="Z44" s="228">
        <v>0.13</v>
      </c>
      <c r="AA44" s="229">
        <v>5.7999999999999996E-3</v>
      </c>
      <c r="AB44" s="228">
        <v>1.26</v>
      </c>
      <c r="AC44" s="228">
        <v>1.1299999999999999</v>
      </c>
      <c r="AD44" s="228">
        <v>0.13</v>
      </c>
      <c r="AE44" s="229">
        <v>5.7999999999999996E-3</v>
      </c>
      <c r="AF44" s="228">
        <v>-0.15</v>
      </c>
      <c r="AG44" s="228">
        <v>-0.3</v>
      </c>
      <c r="AH44" s="228">
        <v>0.15</v>
      </c>
      <c r="AI44" s="229">
        <v>-6.9999999999999999E-4</v>
      </c>
      <c r="AJ44" s="228">
        <v>1.1299999999999999</v>
      </c>
      <c r="AK44" s="228">
        <v>0.76</v>
      </c>
      <c r="AL44" s="228">
        <v>0.37</v>
      </c>
      <c r="AM44" s="229">
        <v>5.1999999999999998E-3</v>
      </c>
      <c r="AN44" s="228">
        <v>216.09</v>
      </c>
      <c r="AO44" s="228">
        <v>213.97</v>
      </c>
      <c r="AP44" s="228">
        <v>0</v>
      </c>
      <c r="AQ44" s="230">
        <v>10192</v>
      </c>
      <c r="AR44" s="230">
        <v>4976</v>
      </c>
      <c r="AS44" s="230">
        <v>5216</v>
      </c>
      <c r="AT44" s="229">
        <v>1.0482</v>
      </c>
      <c r="AU44" s="230">
        <v>8915</v>
      </c>
      <c r="AV44" s="230">
        <v>4317</v>
      </c>
      <c r="AW44" s="230">
        <v>4598</v>
      </c>
      <c r="AX44" s="229">
        <v>1.0650999999999999</v>
      </c>
      <c r="AY44" s="230">
        <v>1140</v>
      </c>
      <c r="AZ44" s="228">
        <v>598</v>
      </c>
      <c r="BA44" s="228">
        <v>542</v>
      </c>
      <c r="BB44" s="229">
        <v>0.90639999999999998</v>
      </c>
      <c r="BC44" s="228">
        <v>137</v>
      </c>
      <c r="BD44" s="228">
        <v>61</v>
      </c>
      <c r="BE44" s="228">
        <v>76</v>
      </c>
      <c r="BF44" s="229">
        <v>1.2459</v>
      </c>
      <c r="BG44" s="230">
        <v>26750</v>
      </c>
      <c r="BH44" s="230">
        <v>16528</v>
      </c>
      <c r="BI44" s="230">
        <v>10222</v>
      </c>
      <c r="BJ44" s="229">
        <v>0.61850000000000005</v>
      </c>
      <c r="BK44" s="230">
        <v>18509</v>
      </c>
      <c r="BL44" s="230">
        <v>11414</v>
      </c>
      <c r="BM44" s="230">
        <v>7095</v>
      </c>
      <c r="BN44" s="229">
        <v>0.62160000000000004</v>
      </c>
      <c r="BO44" s="230">
        <v>55451</v>
      </c>
      <c r="BP44" s="230">
        <v>32918</v>
      </c>
      <c r="BQ44" s="230">
        <v>22533</v>
      </c>
      <c r="BR44" s="229">
        <v>0.6845</v>
      </c>
      <c r="BS44" s="230">
        <v>25063055</v>
      </c>
      <c r="BT44" s="230">
        <v>21445079</v>
      </c>
      <c r="BU44" s="230">
        <v>3617976</v>
      </c>
      <c r="BV44" s="229">
        <v>0.16869999999999999</v>
      </c>
      <c r="BW44" s="230">
        <v>186287750</v>
      </c>
      <c r="BX44" s="230">
        <v>185770750</v>
      </c>
      <c r="BY44" s="230">
        <v>517000</v>
      </c>
      <c r="BZ44" s="229">
        <v>2.8E-3</v>
      </c>
      <c r="CA44" s="230">
        <v>171685250</v>
      </c>
      <c r="CB44" s="230">
        <v>171528500</v>
      </c>
      <c r="CC44" s="230">
        <v>156750</v>
      </c>
      <c r="CD44" s="229">
        <v>8.9999999999999998E-4</v>
      </c>
      <c r="CE44" s="230">
        <v>14269750</v>
      </c>
      <c r="CF44" s="230">
        <v>13964500</v>
      </c>
      <c r="CG44" s="230">
        <v>305250</v>
      </c>
      <c r="CH44" s="229">
        <v>2.1899999999999999E-2</v>
      </c>
      <c r="CI44" s="230">
        <v>332750</v>
      </c>
      <c r="CJ44" s="230">
        <v>277750</v>
      </c>
      <c r="CK44" s="230">
        <v>55000</v>
      </c>
      <c r="CL44" s="229">
        <v>0.19800000000000001</v>
      </c>
      <c r="CM44" s="230">
        <v>80638250</v>
      </c>
      <c r="CN44" s="230">
        <v>83305750</v>
      </c>
      <c r="CO44" s="230">
        <v>-2667500</v>
      </c>
      <c r="CP44" s="229">
        <v>-3.2000000000000001E-2</v>
      </c>
      <c r="CQ44" s="230">
        <v>57271500</v>
      </c>
      <c r="CR44" s="230">
        <v>53834000</v>
      </c>
      <c r="CS44" s="230">
        <v>3437500</v>
      </c>
      <c r="CT44" s="229">
        <v>6.3899999999999998E-2</v>
      </c>
      <c r="CU44" s="230">
        <v>324197500</v>
      </c>
      <c r="CV44" s="230">
        <v>322910500</v>
      </c>
      <c r="CW44" s="230">
        <v>1287000</v>
      </c>
      <c r="CX44" s="229">
        <v>4.0000000000000001E-3</v>
      </c>
      <c r="CY44" s="228">
        <v>29.05</v>
      </c>
      <c r="CZ44" s="228">
        <v>29.44</v>
      </c>
      <c r="DA44" s="228">
        <v>-0.39</v>
      </c>
      <c r="DB44" s="228">
        <v>-0.39</v>
      </c>
      <c r="DC44" s="228">
        <v>35.450000000000003</v>
      </c>
      <c r="DD44" s="228">
        <v>35.44</v>
      </c>
      <c r="DE44" s="228">
        <v>-6.4</v>
      </c>
      <c r="DF44" s="228">
        <v>0.01</v>
      </c>
      <c r="DG44" s="228">
        <v>28.28</v>
      </c>
      <c r="DH44" s="228">
        <v>28.76</v>
      </c>
      <c r="DI44" s="228">
        <v>-0.48</v>
      </c>
      <c r="DJ44" s="228">
        <v>-0.48</v>
      </c>
      <c r="DK44" s="228">
        <v>30.17</v>
      </c>
      <c r="DL44" s="228">
        <v>30.42</v>
      </c>
      <c r="DM44" s="228">
        <v>-0.25</v>
      </c>
      <c r="DN44" s="228">
        <v>-0.25</v>
      </c>
      <c r="DO44" s="228">
        <v>0.71</v>
      </c>
      <c r="DP44" s="228">
        <v>0.65</v>
      </c>
      <c r="DQ44" s="228">
        <v>0.06</v>
      </c>
      <c r="DR44" s="229">
        <v>9.2299999999999993E-2</v>
      </c>
      <c r="DS44" s="228">
        <v>210</v>
      </c>
      <c r="DT44" s="228">
        <v>210</v>
      </c>
      <c r="DU44" s="228">
        <v>0.69</v>
      </c>
      <c r="DV44" s="228">
        <v>0.69</v>
      </c>
      <c r="DW44" s="228">
        <v>0</v>
      </c>
      <c r="DX44" s="229">
        <v>0</v>
      </c>
      <c r="DY44" s="229">
        <v>7.8399999999999997E-2</v>
      </c>
      <c r="DZ44" s="230">
        <v>14242250</v>
      </c>
      <c r="EA44" s="229">
        <v>-6.4999999999999997E-3</v>
      </c>
      <c r="EB44" s="229">
        <v>7.8399999999999997E-2</v>
      </c>
      <c r="EC44" s="228">
        <v>-2.12</v>
      </c>
      <c r="ED44" s="229">
        <v>-9.7999999999999997E-3</v>
      </c>
      <c r="EE44" s="230">
        <v>12977836</v>
      </c>
      <c r="EF44" s="230">
        <v>7343801</v>
      </c>
      <c r="EG44" s="229">
        <v>0.76719999999999999</v>
      </c>
      <c r="EH44" s="229">
        <v>0.51780000000000004</v>
      </c>
      <c r="EI44" s="231">
        <v>165862.60999999999</v>
      </c>
      <c r="EJ44" s="231">
        <v>107134.59</v>
      </c>
      <c r="EK44" s="231">
        <v>60496.639999999999</v>
      </c>
      <c r="EL44" s="231">
        <v>8557</v>
      </c>
      <c r="EM44" s="231">
        <v>333493.84000000003</v>
      </c>
      <c r="EN44" s="231">
        <v>196020.15</v>
      </c>
      <c r="EO44" s="231">
        <v>137473.69</v>
      </c>
      <c r="EP44" s="229">
        <v>0.70130000000000003</v>
      </c>
      <c r="EQ44" s="231">
        <v>176008</v>
      </c>
      <c r="ER44" s="231">
        <v>117177</v>
      </c>
      <c r="ES44" s="231">
        <v>403540</v>
      </c>
      <c r="ET44" s="231">
        <v>1049350971</v>
      </c>
      <c r="EU44" s="231">
        <v>696725</v>
      </c>
      <c r="EV44" s="231">
        <v>686014</v>
      </c>
      <c r="EW44" s="231">
        <v>10711</v>
      </c>
      <c r="EX44" s="229">
        <v>1.5599999999999999E-2</v>
      </c>
      <c r="EY44" s="229">
        <v>0.309</v>
      </c>
    </row>
    <row r="45" spans="1:155" ht="17.25" thickBot="1" x14ac:dyDescent="0.3">
      <c r="A45" s="226">
        <v>46148</v>
      </c>
      <c r="B45" s="227" t="s">
        <v>221</v>
      </c>
      <c r="C45" s="227" t="s">
        <v>295</v>
      </c>
      <c r="D45" s="231">
        <v>2409.5</v>
      </c>
      <c r="E45" s="231">
        <v>2418.1999999999998</v>
      </c>
      <c r="F45" s="228">
        <v>-8.6999999999999993</v>
      </c>
      <c r="G45" s="229">
        <v>-3.5999999999999999E-3</v>
      </c>
      <c r="H45" s="231">
        <v>2435.4</v>
      </c>
      <c r="I45" s="231">
        <v>2427.3000000000002</v>
      </c>
      <c r="J45" s="228">
        <v>8.1</v>
      </c>
      <c r="K45" s="229">
        <v>3.3E-3</v>
      </c>
      <c r="L45" s="231">
        <v>2409.5</v>
      </c>
      <c r="M45" s="231">
        <v>2418.1999999999998</v>
      </c>
      <c r="N45" s="228">
        <v>-8.6999999999999993</v>
      </c>
      <c r="O45" s="229">
        <v>-3.5999999999999999E-3</v>
      </c>
      <c r="P45" s="231">
        <v>2407.5</v>
      </c>
      <c r="Q45" s="231">
        <v>2406</v>
      </c>
      <c r="R45" s="228">
        <v>1.5</v>
      </c>
      <c r="S45" s="229">
        <v>5.9999999999999995E-4</v>
      </c>
      <c r="T45" s="231">
        <v>2402.6</v>
      </c>
      <c r="U45" s="231">
        <v>2404.8000000000002</v>
      </c>
      <c r="V45" s="228">
        <v>-2.2000000000000002</v>
      </c>
      <c r="W45" s="229">
        <v>-8.9999999999999998E-4</v>
      </c>
      <c r="X45" s="228">
        <v>-25.9</v>
      </c>
      <c r="Y45" s="228">
        <v>-9.1</v>
      </c>
      <c r="Z45" s="228">
        <v>-16.8</v>
      </c>
      <c r="AA45" s="229">
        <v>-1.06E-2</v>
      </c>
      <c r="AB45" s="228">
        <v>-25.9</v>
      </c>
      <c r="AC45" s="228">
        <v>-9.1</v>
      </c>
      <c r="AD45" s="228">
        <v>-16.8</v>
      </c>
      <c r="AE45" s="229">
        <v>-1.06E-2</v>
      </c>
      <c r="AF45" s="228">
        <v>-27.9</v>
      </c>
      <c r="AG45" s="228">
        <v>-21.3</v>
      </c>
      <c r="AH45" s="228">
        <v>-6.6</v>
      </c>
      <c r="AI45" s="229">
        <v>-1.15E-2</v>
      </c>
      <c r="AJ45" s="228">
        <v>-32.799999999999997</v>
      </c>
      <c r="AK45" s="228">
        <v>-22.5</v>
      </c>
      <c r="AL45" s="228">
        <v>-10.3</v>
      </c>
      <c r="AM45" s="229">
        <v>-1.35E-2</v>
      </c>
      <c r="AN45" s="231">
        <v>2409.48</v>
      </c>
      <c r="AO45" s="231">
        <v>2407.5700000000002</v>
      </c>
      <c r="AP45" s="228">
        <v>0</v>
      </c>
      <c r="AQ45" s="230">
        <v>27736</v>
      </c>
      <c r="AR45" s="230">
        <v>12327</v>
      </c>
      <c r="AS45" s="230">
        <v>15409</v>
      </c>
      <c r="AT45" s="229">
        <v>1.25</v>
      </c>
      <c r="AU45" s="230">
        <v>22106</v>
      </c>
      <c r="AV45" s="230">
        <v>10125</v>
      </c>
      <c r="AW45" s="230">
        <v>11981</v>
      </c>
      <c r="AX45" s="229">
        <v>1.1833</v>
      </c>
      <c r="AY45" s="230">
        <v>4975</v>
      </c>
      <c r="AZ45" s="230">
        <v>1957</v>
      </c>
      <c r="BA45" s="230">
        <v>3018</v>
      </c>
      <c r="BB45" s="229">
        <v>1.5422</v>
      </c>
      <c r="BC45" s="228">
        <v>655</v>
      </c>
      <c r="BD45" s="228">
        <v>245</v>
      </c>
      <c r="BE45" s="228">
        <v>410</v>
      </c>
      <c r="BF45" s="229">
        <v>1.6735</v>
      </c>
      <c r="BG45" s="230">
        <v>89260</v>
      </c>
      <c r="BH45" s="230">
        <v>45115</v>
      </c>
      <c r="BI45" s="230">
        <v>44145</v>
      </c>
      <c r="BJ45" s="229">
        <v>0.97850000000000004</v>
      </c>
      <c r="BK45" s="230">
        <v>44307</v>
      </c>
      <c r="BL45" s="230">
        <v>19243</v>
      </c>
      <c r="BM45" s="230">
        <v>25064</v>
      </c>
      <c r="BN45" s="229">
        <v>1.3025</v>
      </c>
      <c r="BO45" s="230">
        <v>161303</v>
      </c>
      <c r="BP45" s="230">
        <v>76685</v>
      </c>
      <c r="BQ45" s="230">
        <v>84618</v>
      </c>
      <c r="BR45" s="229">
        <v>1.1033999999999999</v>
      </c>
      <c r="BS45" s="230">
        <v>3218152</v>
      </c>
      <c r="BT45" s="230">
        <v>3471696</v>
      </c>
      <c r="BU45" s="230">
        <v>-253544</v>
      </c>
      <c r="BV45" s="229">
        <v>-7.2999999999999995E-2</v>
      </c>
      <c r="BW45" s="230">
        <v>38816350</v>
      </c>
      <c r="BX45" s="230">
        <v>37518575</v>
      </c>
      <c r="BY45" s="230">
        <v>1297775</v>
      </c>
      <c r="BZ45" s="229">
        <v>3.4599999999999999E-2</v>
      </c>
      <c r="CA45" s="230">
        <v>35633850</v>
      </c>
      <c r="CB45" s="230">
        <v>34755175</v>
      </c>
      <c r="CC45" s="230">
        <v>878675</v>
      </c>
      <c r="CD45" s="229">
        <v>2.53E-2</v>
      </c>
      <c r="CE45" s="230">
        <v>2880325</v>
      </c>
      <c r="CF45" s="230">
        <v>2543800</v>
      </c>
      <c r="CG45" s="230">
        <v>336525</v>
      </c>
      <c r="CH45" s="229">
        <v>0.1323</v>
      </c>
      <c r="CI45" s="230">
        <v>302175</v>
      </c>
      <c r="CJ45" s="230">
        <v>219600</v>
      </c>
      <c r="CK45" s="230">
        <v>82575</v>
      </c>
      <c r="CL45" s="229">
        <v>0.376</v>
      </c>
      <c r="CM45" s="230">
        <v>13320025</v>
      </c>
      <c r="CN45" s="230">
        <v>11927425</v>
      </c>
      <c r="CO45" s="230">
        <v>1392600</v>
      </c>
      <c r="CP45" s="229">
        <v>0.1168</v>
      </c>
      <c r="CQ45" s="230">
        <v>9109125</v>
      </c>
      <c r="CR45" s="230">
        <v>8487150</v>
      </c>
      <c r="CS45" s="230">
        <v>621975</v>
      </c>
      <c r="CT45" s="229">
        <v>7.3300000000000004E-2</v>
      </c>
      <c r="CU45" s="230">
        <v>61245500</v>
      </c>
      <c r="CV45" s="230">
        <v>57933150</v>
      </c>
      <c r="CW45" s="230">
        <v>3312350</v>
      </c>
      <c r="CX45" s="229">
        <v>5.7200000000000001E-2</v>
      </c>
      <c r="CY45" s="228">
        <v>26.8</v>
      </c>
      <c r="CZ45" s="228">
        <v>26.84</v>
      </c>
      <c r="DA45" s="228">
        <v>-0.04</v>
      </c>
      <c r="DB45" s="228">
        <v>-0.04</v>
      </c>
      <c r="DC45" s="228">
        <v>27.95</v>
      </c>
      <c r="DD45" s="228">
        <v>28.02</v>
      </c>
      <c r="DE45" s="228">
        <v>-1.1499999999999999</v>
      </c>
      <c r="DF45" s="228">
        <v>-7.0000000000000007E-2</v>
      </c>
      <c r="DG45" s="228">
        <v>27.27</v>
      </c>
      <c r="DH45" s="228">
        <v>26.92</v>
      </c>
      <c r="DI45" s="228">
        <v>0.35</v>
      </c>
      <c r="DJ45" s="228">
        <v>0.35</v>
      </c>
      <c r="DK45" s="228">
        <v>25.85</v>
      </c>
      <c r="DL45" s="228">
        <v>26.65</v>
      </c>
      <c r="DM45" s="228">
        <v>-0.8</v>
      </c>
      <c r="DN45" s="228">
        <v>-0.8</v>
      </c>
      <c r="DO45" s="228">
        <v>0.68</v>
      </c>
      <c r="DP45" s="228">
        <v>0.71</v>
      </c>
      <c r="DQ45" s="228">
        <v>-0.03</v>
      </c>
      <c r="DR45" s="229">
        <v>-4.2299999999999997E-2</v>
      </c>
      <c r="DS45" s="231">
        <v>2600</v>
      </c>
      <c r="DT45" s="231">
        <v>2400</v>
      </c>
      <c r="DU45" s="228">
        <v>0.5</v>
      </c>
      <c r="DV45" s="228">
        <v>0.43</v>
      </c>
      <c r="DW45" s="228">
        <v>7.0000000000000007E-2</v>
      </c>
      <c r="DX45" s="229">
        <v>0.1628</v>
      </c>
      <c r="DY45" s="229">
        <v>8.2000000000000003E-2</v>
      </c>
      <c r="DZ45" s="230">
        <v>2763400</v>
      </c>
      <c r="EA45" s="229">
        <v>-8.0000000000000004E-4</v>
      </c>
      <c r="EB45" s="229">
        <v>8.2000000000000003E-2</v>
      </c>
      <c r="EC45" s="228">
        <v>-1.91</v>
      </c>
      <c r="ED45" s="229">
        <v>-8.0000000000000004E-4</v>
      </c>
      <c r="EE45" s="230">
        <v>1660290</v>
      </c>
      <c r="EF45" s="230">
        <v>1360972</v>
      </c>
      <c r="EG45" s="229">
        <v>0.21990000000000001</v>
      </c>
      <c r="EH45" s="229">
        <v>0.51590000000000003</v>
      </c>
      <c r="EI45" s="231">
        <v>397028.44</v>
      </c>
      <c r="EJ45" s="231">
        <v>186730.2</v>
      </c>
      <c r="EK45" s="231">
        <v>117712.29</v>
      </c>
      <c r="EL45" s="231">
        <v>15451</v>
      </c>
      <c r="EM45" s="231">
        <v>701470.93</v>
      </c>
      <c r="EN45" s="231">
        <v>335361.8</v>
      </c>
      <c r="EO45" s="231">
        <v>366109.13</v>
      </c>
      <c r="EP45" s="229">
        <v>1.0916999999999999</v>
      </c>
      <c r="EQ45" s="231">
        <v>341404</v>
      </c>
      <c r="ER45" s="231">
        <v>227207</v>
      </c>
      <c r="ES45" s="231">
        <v>935201</v>
      </c>
      <c r="ET45" s="231">
        <v>153229333</v>
      </c>
      <c r="EU45" s="231">
        <v>1503812</v>
      </c>
      <c r="EV45" s="231">
        <v>1426700</v>
      </c>
      <c r="EW45" s="231">
        <v>77112</v>
      </c>
      <c r="EX45" s="229">
        <v>5.3999999999999999E-2</v>
      </c>
      <c r="EY45" s="229">
        <v>0.3997</v>
      </c>
    </row>
    <row r="46" spans="1:155" ht="17.25" thickBot="1" x14ac:dyDescent="0.3">
      <c r="A46" s="226">
        <v>46148</v>
      </c>
      <c r="B46" s="227" t="s">
        <v>221</v>
      </c>
      <c r="C46" s="227" t="s">
        <v>296</v>
      </c>
      <c r="D46" s="231">
        <v>1466</v>
      </c>
      <c r="E46" s="231">
        <v>1453.8</v>
      </c>
      <c r="F46" s="228">
        <v>12.2</v>
      </c>
      <c r="G46" s="229">
        <v>8.3999999999999995E-3</v>
      </c>
      <c r="H46" s="231">
        <v>1466.7</v>
      </c>
      <c r="I46" s="231">
        <v>1452.2</v>
      </c>
      <c r="J46" s="228">
        <v>14.5</v>
      </c>
      <c r="K46" s="229">
        <v>0.01</v>
      </c>
      <c r="L46" s="231">
        <v>1466</v>
      </c>
      <c r="M46" s="231">
        <v>1453.8</v>
      </c>
      <c r="N46" s="228">
        <v>12.2</v>
      </c>
      <c r="O46" s="229">
        <v>8.3999999999999995E-3</v>
      </c>
      <c r="P46" s="231">
        <v>1466.5</v>
      </c>
      <c r="Q46" s="231">
        <v>1454.4</v>
      </c>
      <c r="R46" s="228">
        <v>12.1</v>
      </c>
      <c r="S46" s="229">
        <v>8.3000000000000001E-3</v>
      </c>
      <c r="T46" s="231">
        <v>1471</v>
      </c>
      <c r="U46" s="231">
        <v>1455.9</v>
      </c>
      <c r="V46" s="228">
        <v>15.1</v>
      </c>
      <c r="W46" s="229">
        <v>1.04E-2</v>
      </c>
      <c r="X46" s="228">
        <v>-0.7</v>
      </c>
      <c r="Y46" s="228">
        <v>1.6</v>
      </c>
      <c r="Z46" s="228">
        <v>-2.2999999999999998</v>
      </c>
      <c r="AA46" s="229">
        <v>-5.0000000000000001E-4</v>
      </c>
      <c r="AB46" s="228">
        <v>-0.7</v>
      </c>
      <c r="AC46" s="228">
        <v>1.6</v>
      </c>
      <c r="AD46" s="228">
        <v>-2.2999999999999998</v>
      </c>
      <c r="AE46" s="229">
        <v>-5.0000000000000001E-4</v>
      </c>
      <c r="AF46" s="228">
        <v>-0.2</v>
      </c>
      <c r="AG46" s="228">
        <v>2.2000000000000002</v>
      </c>
      <c r="AH46" s="228">
        <v>-2.4</v>
      </c>
      <c r="AI46" s="229">
        <v>-1E-4</v>
      </c>
      <c r="AJ46" s="228">
        <v>4.3</v>
      </c>
      <c r="AK46" s="228">
        <v>3.7</v>
      </c>
      <c r="AL46" s="228">
        <v>0.6</v>
      </c>
      <c r="AM46" s="229">
        <v>2.8999999999999998E-3</v>
      </c>
      <c r="AN46" s="231">
        <v>1466.94</v>
      </c>
      <c r="AO46" s="231">
        <v>1465.98</v>
      </c>
      <c r="AP46" s="228">
        <v>0</v>
      </c>
      <c r="AQ46" s="230">
        <v>2095</v>
      </c>
      <c r="AR46" s="230">
        <v>2065</v>
      </c>
      <c r="AS46" s="228">
        <v>30</v>
      </c>
      <c r="AT46" s="229">
        <v>1.4500000000000001E-2</v>
      </c>
      <c r="AU46" s="230">
        <v>1955</v>
      </c>
      <c r="AV46" s="230">
        <v>1912</v>
      </c>
      <c r="AW46" s="228">
        <v>43</v>
      </c>
      <c r="AX46" s="229">
        <v>2.2499999999999999E-2</v>
      </c>
      <c r="AY46" s="228">
        <v>135</v>
      </c>
      <c r="AZ46" s="228">
        <v>141</v>
      </c>
      <c r="BA46" s="228">
        <v>-6</v>
      </c>
      <c r="BB46" s="229">
        <v>-4.2599999999999999E-2</v>
      </c>
      <c r="BC46" s="228">
        <v>5</v>
      </c>
      <c r="BD46" s="228">
        <v>12</v>
      </c>
      <c r="BE46" s="228">
        <v>-7</v>
      </c>
      <c r="BF46" s="229">
        <v>-0.58330000000000004</v>
      </c>
      <c r="BG46" s="230">
        <v>8841</v>
      </c>
      <c r="BH46" s="230">
        <v>6447</v>
      </c>
      <c r="BI46" s="230">
        <v>2394</v>
      </c>
      <c r="BJ46" s="229">
        <v>0.37130000000000002</v>
      </c>
      <c r="BK46" s="230">
        <v>4299</v>
      </c>
      <c r="BL46" s="230">
        <v>3756</v>
      </c>
      <c r="BM46" s="228">
        <v>543</v>
      </c>
      <c r="BN46" s="229">
        <v>0.14460000000000001</v>
      </c>
      <c r="BO46" s="230">
        <v>15235</v>
      </c>
      <c r="BP46" s="230">
        <v>12268</v>
      </c>
      <c r="BQ46" s="230">
        <v>2967</v>
      </c>
      <c r="BR46" s="229">
        <v>0.24179999999999999</v>
      </c>
      <c r="BS46" s="230">
        <v>909242</v>
      </c>
      <c r="BT46" s="230">
        <v>726691</v>
      </c>
      <c r="BU46" s="230">
        <v>182551</v>
      </c>
      <c r="BV46" s="229">
        <v>0.25119999999999998</v>
      </c>
      <c r="BW46" s="230">
        <v>19644000</v>
      </c>
      <c r="BX46" s="230">
        <v>19503600</v>
      </c>
      <c r="BY46" s="230">
        <v>140400</v>
      </c>
      <c r="BZ46" s="229">
        <v>7.1999999999999998E-3</v>
      </c>
      <c r="CA46" s="230">
        <v>19119000</v>
      </c>
      <c r="CB46" s="230">
        <v>19005000</v>
      </c>
      <c r="CC46" s="230">
        <v>114000</v>
      </c>
      <c r="CD46" s="229">
        <v>6.0000000000000001E-3</v>
      </c>
      <c r="CE46" s="230">
        <v>504000</v>
      </c>
      <c r="CF46" s="230">
        <v>480600</v>
      </c>
      <c r="CG46" s="230">
        <v>23400</v>
      </c>
      <c r="CH46" s="229">
        <v>4.87E-2</v>
      </c>
      <c r="CI46" s="230">
        <v>21000</v>
      </c>
      <c r="CJ46" s="230">
        <v>18000</v>
      </c>
      <c r="CK46" s="230">
        <v>3000</v>
      </c>
      <c r="CL46" s="229">
        <v>0.16669999999999999</v>
      </c>
      <c r="CM46" s="230">
        <v>6663600</v>
      </c>
      <c r="CN46" s="230">
        <v>6577800</v>
      </c>
      <c r="CO46" s="230">
        <v>85800</v>
      </c>
      <c r="CP46" s="229">
        <v>1.2999999999999999E-2</v>
      </c>
      <c r="CQ46" s="230">
        <v>4504800</v>
      </c>
      <c r="CR46" s="230">
        <v>4633200</v>
      </c>
      <c r="CS46" s="230">
        <v>-128400</v>
      </c>
      <c r="CT46" s="229">
        <v>-2.7699999999999999E-2</v>
      </c>
      <c r="CU46" s="230">
        <v>30812400</v>
      </c>
      <c r="CV46" s="230">
        <v>30714600</v>
      </c>
      <c r="CW46" s="230">
        <v>97800</v>
      </c>
      <c r="CX46" s="229">
        <v>3.2000000000000002E-3</v>
      </c>
      <c r="CY46" s="228">
        <v>27.81</v>
      </c>
      <c r="CZ46" s="228">
        <v>28.37</v>
      </c>
      <c r="DA46" s="228">
        <v>-0.56000000000000005</v>
      </c>
      <c r="DB46" s="228">
        <v>-0.56000000000000005</v>
      </c>
      <c r="DC46" s="228">
        <v>32.08</v>
      </c>
      <c r="DD46" s="228">
        <v>32.130000000000003</v>
      </c>
      <c r="DE46" s="228">
        <v>-4.2699999999999996</v>
      </c>
      <c r="DF46" s="228">
        <v>-0.05</v>
      </c>
      <c r="DG46" s="228">
        <v>27.6</v>
      </c>
      <c r="DH46" s="228">
        <v>27.97</v>
      </c>
      <c r="DI46" s="228">
        <v>-0.37</v>
      </c>
      <c r="DJ46" s="228">
        <v>-0.37</v>
      </c>
      <c r="DK46" s="228">
        <v>28.24</v>
      </c>
      <c r="DL46" s="228">
        <v>29.06</v>
      </c>
      <c r="DM46" s="228">
        <v>-0.82</v>
      </c>
      <c r="DN46" s="228">
        <v>-0.82</v>
      </c>
      <c r="DO46" s="228">
        <v>0.68</v>
      </c>
      <c r="DP46" s="228">
        <v>0.7</v>
      </c>
      <c r="DQ46" s="228">
        <v>-0.02</v>
      </c>
      <c r="DR46" s="229">
        <v>-2.86E-2</v>
      </c>
      <c r="DS46" s="231">
        <v>1500</v>
      </c>
      <c r="DT46" s="231">
        <v>1500</v>
      </c>
      <c r="DU46" s="228">
        <v>0.49</v>
      </c>
      <c r="DV46" s="228">
        <v>0.57999999999999996</v>
      </c>
      <c r="DW46" s="228">
        <v>-0.09</v>
      </c>
      <c r="DX46" s="229">
        <v>-0.1552</v>
      </c>
      <c r="DY46" s="229">
        <v>2.6700000000000002E-2</v>
      </c>
      <c r="DZ46" s="230">
        <v>498600</v>
      </c>
      <c r="EA46" s="229">
        <v>2.9999999999999997E-4</v>
      </c>
      <c r="EB46" s="229">
        <v>2.6700000000000002E-2</v>
      </c>
      <c r="EC46" s="228">
        <v>-0.96</v>
      </c>
      <c r="ED46" s="229">
        <v>-6.9999999999999999E-4</v>
      </c>
      <c r="EE46" s="230">
        <v>402563</v>
      </c>
      <c r="EF46" s="230">
        <v>252380</v>
      </c>
      <c r="EG46" s="229">
        <v>0.59509999999999996</v>
      </c>
      <c r="EH46" s="229">
        <v>0.44269999999999998</v>
      </c>
      <c r="EI46" s="231">
        <v>81623.06</v>
      </c>
      <c r="EJ46" s="231">
        <v>37012.160000000003</v>
      </c>
      <c r="EK46" s="231">
        <v>18438.68</v>
      </c>
      <c r="EL46" s="231">
        <v>5035</v>
      </c>
      <c r="EM46" s="231">
        <v>137073.9</v>
      </c>
      <c r="EN46" s="231">
        <v>110127.93</v>
      </c>
      <c r="EO46" s="231">
        <v>26945.97</v>
      </c>
      <c r="EP46" s="229">
        <v>0.2447</v>
      </c>
      <c r="EQ46" s="231">
        <v>101285</v>
      </c>
      <c r="ER46" s="231">
        <v>62918</v>
      </c>
      <c r="ES46" s="231">
        <v>287985</v>
      </c>
      <c r="ET46" s="231">
        <v>95553300</v>
      </c>
      <c r="EU46" s="231">
        <v>452188</v>
      </c>
      <c r="EV46" s="231">
        <v>448094</v>
      </c>
      <c r="EW46" s="231">
        <v>4094</v>
      </c>
      <c r="EX46" s="229">
        <v>9.1000000000000004E-3</v>
      </c>
      <c r="EY46" s="229">
        <v>0.32250000000000001</v>
      </c>
    </row>
    <row r="47" spans="1:155" ht="17.25" thickBot="1" x14ac:dyDescent="0.3">
      <c r="A47" s="226">
        <v>46148</v>
      </c>
      <c r="B47" s="227" t="s">
        <v>168</v>
      </c>
      <c r="C47" s="227" t="s">
        <v>297</v>
      </c>
      <c r="D47" s="231">
        <v>4375.8999999999996</v>
      </c>
      <c r="E47" s="231">
        <v>4387.6000000000004</v>
      </c>
      <c r="F47" s="228">
        <v>-11.7</v>
      </c>
      <c r="G47" s="229">
        <v>-2.7000000000000001E-3</v>
      </c>
      <c r="H47" s="231">
        <v>4359.6000000000004</v>
      </c>
      <c r="I47" s="231">
        <v>4373.6000000000004</v>
      </c>
      <c r="J47" s="228">
        <v>-14</v>
      </c>
      <c r="K47" s="229">
        <v>-3.2000000000000002E-3</v>
      </c>
      <c r="L47" s="231">
        <v>4375.8999999999996</v>
      </c>
      <c r="M47" s="231">
        <v>4387.6000000000004</v>
      </c>
      <c r="N47" s="228">
        <v>-11.7</v>
      </c>
      <c r="O47" s="229">
        <v>-2.7000000000000001E-3</v>
      </c>
      <c r="P47" s="231">
        <v>4404.3</v>
      </c>
      <c r="Q47" s="231">
        <v>4417.1000000000004</v>
      </c>
      <c r="R47" s="228">
        <v>-12.8</v>
      </c>
      <c r="S47" s="229">
        <v>-2.8999999999999998E-3</v>
      </c>
      <c r="T47" s="231">
        <v>4418.3999999999996</v>
      </c>
      <c r="U47" s="231">
        <v>4427.3999999999996</v>
      </c>
      <c r="V47" s="228">
        <v>-9</v>
      </c>
      <c r="W47" s="229">
        <v>-2E-3</v>
      </c>
      <c r="X47" s="228">
        <v>16.3</v>
      </c>
      <c r="Y47" s="228">
        <v>14</v>
      </c>
      <c r="Z47" s="228">
        <v>2.2999999999999998</v>
      </c>
      <c r="AA47" s="229">
        <v>3.7000000000000002E-3</v>
      </c>
      <c r="AB47" s="228">
        <v>16.3</v>
      </c>
      <c r="AC47" s="228">
        <v>14</v>
      </c>
      <c r="AD47" s="228">
        <v>2.2999999999999998</v>
      </c>
      <c r="AE47" s="229">
        <v>3.7000000000000002E-3</v>
      </c>
      <c r="AF47" s="228">
        <v>44.7</v>
      </c>
      <c r="AG47" s="228">
        <v>43.5</v>
      </c>
      <c r="AH47" s="228">
        <v>1.2</v>
      </c>
      <c r="AI47" s="229">
        <v>1.03E-2</v>
      </c>
      <c r="AJ47" s="228">
        <v>58.8</v>
      </c>
      <c r="AK47" s="228">
        <v>53.8</v>
      </c>
      <c r="AL47" s="228">
        <v>5</v>
      </c>
      <c r="AM47" s="229">
        <v>1.35E-2</v>
      </c>
      <c r="AN47" s="231">
        <v>4350.3599999999997</v>
      </c>
      <c r="AO47" s="231">
        <v>4376.7</v>
      </c>
      <c r="AP47" s="228">
        <v>0</v>
      </c>
      <c r="AQ47" s="230">
        <v>10319</v>
      </c>
      <c r="AR47" s="230">
        <v>4811</v>
      </c>
      <c r="AS47" s="230">
        <v>5508</v>
      </c>
      <c r="AT47" s="229">
        <v>1.1449</v>
      </c>
      <c r="AU47" s="230">
        <v>10046</v>
      </c>
      <c r="AV47" s="230">
        <v>4647</v>
      </c>
      <c r="AW47" s="230">
        <v>5399</v>
      </c>
      <c r="AX47" s="229">
        <v>1.1617999999999999</v>
      </c>
      <c r="AY47" s="228">
        <v>233</v>
      </c>
      <c r="AZ47" s="228">
        <v>146</v>
      </c>
      <c r="BA47" s="228">
        <v>87</v>
      </c>
      <c r="BB47" s="229">
        <v>0.59589999999999999</v>
      </c>
      <c r="BC47" s="228">
        <v>40</v>
      </c>
      <c r="BD47" s="228">
        <v>18</v>
      </c>
      <c r="BE47" s="228">
        <v>22</v>
      </c>
      <c r="BF47" s="229">
        <v>1.2222</v>
      </c>
      <c r="BG47" s="230">
        <v>27095</v>
      </c>
      <c r="BH47" s="230">
        <v>12716</v>
      </c>
      <c r="BI47" s="230">
        <v>14379</v>
      </c>
      <c r="BJ47" s="229">
        <v>1.1308</v>
      </c>
      <c r="BK47" s="230">
        <v>17279</v>
      </c>
      <c r="BL47" s="230">
        <v>8028</v>
      </c>
      <c r="BM47" s="230">
        <v>9251</v>
      </c>
      <c r="BN47" s="229">
        <v>1.1523000000000001</v>
      </c>
      <c r="BO47" s="230">
        <v>54693</v>
      </c>
      <c r="BP47" s="230">
        <v>25555</v>
      </c>
      <c r="BQ47" s="230">
        <v>29138</v>
      </c>
      <c r="BR47" s="229">
        <v>1.1402000000000001</v>
      </c>
      <c r="BS47" s="230">
        <v>1495439</v>
      </c>
      <c r="BT47" s="230">
        <v>867118</v>
      </c>
      <c r="BU47" s="230">
        <v>628321</v>
      </c>
      <c r="BV47" s="229">
        <v>0.72460000000000002</v>
      </c>
      <c r="BW47" s="230">
        <v>8702400</v>
      </c>
      <c r="BX47" s="230">
        <v>8943200</v>
      </c>
      <c r="BY47" s="230">
        <v>-240800</v>
      </c>
      <c r="BZ47" s="229">
        <v>-2.69E-2</v>
      </c>
      <c r="CA47" s="230">
        <v>7783125</v>
      </c>
      <c r="CB47" s="230">
        <v>8043700</v>
      </c>
      <c r="CC47" s="230">
        <v>-260575</v>
      </c>
      <c r="CD47" s="229">
        <v>-3.2399999999999998E-2</v>
      </c>
      <c r="CE47" s="230">
        <v>909300</v>
      </c>
      <c r="CF47" s="230">
        <v>893025</v>
      </c>
      <c r="CG47" s="230">
        <v>16275</v>
      </c>
      <c r="CH47" s="229">
        <v>1.8200000000000001E-2</v>
      </c>
      <c r="CI47" s="230">
        <v>9975</v>
      </c>
      <c r="CJ47" s="230">
        <v>6475</v>
      </c>
      <c r="CK47" s="230">
        <v>3500</v>
      </c>
      <c r="CL47" s="229">
        <v>0.54049999999999998</v>
      </c>
      <c r="CM47" s="230">
        <v>1934275</v>
      </c>
      <c r="CN47" s="230">
        <v>1728825</v>
      </c>
      <c r="CO47" s="230">
        <v>205450</v>
      </c>
      <c r="CP47" s="229">
        <v>0.1188</v>
      </c>
      <c r="CQ47" s="230">
        <v>1351525</v>
      </c>
      <c r="CR47" s="230">
        <v>1360450</v>
      </c>
      <c r="CS47" s="230">
        <v>-8925</v>
      </c>
      <c r="CT47" s="229">
        <v>-6.6E-3</v>
      </c>
      <c r="CU47" s="230">
        <v>11988200</v>
      </c>
      <c r="CV47" s="230">
        <v>12032475</v>
      </c>
      <c r="CW47" s="230">
        <v>-44275</v>
      </c>
      <c r="CX47" s="229">
        <v>-3.7000000000000002E-3</v>
      </c>
      <c r="CY47" s="228">
        <v>27.53</v>
      </c>
      <c r="CZ47" s="228">
        <v>27.55</v>
      </c>
      <c r="DA47" s="228">
        <v>-0.02</v>
      </c>
      <c r="DB47" s="228">
        <v>-0.02</v>
      </c>
      <c r="DC47" s="228">
        <v>27.31</v>
      </c>
      <c r="DD47" s="228">
        <v>27.37</v>
      </c>
      <c r="DE47" s="228">
        <v>0.22</v>
      </c>
      <c r="DF47" s="228">
        <v>-0.06</v>
      </c>
      <c r="DG47" s="228">
        <v>27.3</v>
      </c>
      <c r="DH47" s="228">
        <v>27.12</v>
      </c>
      <c r="DI47" s="228">
        <v>0.18</v>
      </c>
      <c r="DJ47" s="228">
        <v>0.18</v>
      </c>
      <c r="DK47" s="228">
        <v>27.9</v>
      </c>
      <c r="DL47" s="228">
        <v>28.21</v>
      </c>
      <c r="DM47" s="228">
        <v>-0.31</v>
      </c>
      <c r="DN47" s="228">
        <v>-0.31</v>
      </c>
      <c r="DO47" s="228">
        <v>0.7</v>
      </c>
      <c r="DP47" s="228">
        <v>0.79</v>
      </c>
      <c r="DQ47" s="228">
        <v>-0.09</v>
      </c>
      <c r="DR47" s="229">
        <v>-0.1139</v>
      </c>
      <c r="DS47" s="231">
        <v>4500</v>
      </c>
      <c r="DT47" s="231">
        <v>4000</v>
      </c>
      <c r="DU47" s="228">
        <v>0.64</v>
      </c>
      <c r="DV47" s="228">
        <v>0.63</v>
      </c>
      <c r="DW47" s="228">
        <v>0.01</v>
      </c>
      <c r="DX47" s="229">
        <v>1.5900000000000001E-2</v>
      </c>
      <c r="DY47" s="229">
        <v>0.1056</v>
      </c>
      <c r="DZ47" s="230">
        <v>899500</v>
      </c>
      <c r="EA47" s="229">
        <v>6.4999999999999997E-3</v>
      </c>
      <c r="EB47" s="229">
        <v>0.1056</v>
      </c>
      <c r="EC47" s="228">
        <v>26.34</v>
      </c>
      <c r="ED47" s="229">
        <v>6.1000000000000004E-3</v>
      </c>
      <c r="EE47" s="230">
        <v>846175</v>
      </c>
      <c r="EF47" s="230">
        <v>452300</v>
      </c>
      <c r="EG47" s="229">
        <v>0.87080000000000002</v>
      </c>
      <c r="EH47" s="229">
        <v>0.56579999999999997</v>
      </c>
      <c r="EI47" s="231">
        <v>217078.43</v>
      </c>
      <c r="EJ47" s="231">
        <v>131497.38</v>
      </c>
      <c r="EK47" s="231">
        <v>78574.39</v>
      </c>
      <c r="EL47" s="231">
        <v>4256</v>
      </c>
      <c r="EM47" s="231">
        <v>427150.2</v>
      </c>
      <c r="EN47" s="231">
        <v>200308.41</v>
      </c>
      <c r="EO47" s="231">
        <v>226841.79</v>
      </c>
      <c r="EP47" s="229">
        <v>1.1325000000000001</v>
      </c>
      <c r="EQ47" s="231">
        <v>88313</v>
      </c>
      <c r="ER47" s="231">
        <v>56507</v>
      </c>
      <c r="ES47" s="231">
        <v>381071</v>
      </c>
      <c r="ET47" s="231">
        <v>41744334</v>
      </c>
      <c r="EU47" s="231">
        <v>525891</v>
      </c>
      <c r="EV47" s="231">
        <v>528630</v>
      </c>
      <c r="EW47" s="231">
        <v>-2739</v>
      </c>
      <c r="EX47" s="229">
        <v>-5.1999999999999998E-3</v>
      </c>
      <c r="EY47" s="229">
        <v>0.28720000000000001</v>
      </c>
    </row>
    <row r="48" spans="1:155" ht="17.25" thickBot="1" x14ac:dyDescent="0.3">
      <c r="A48" s="226">
        <v>46148</v>
      </c>
      <c r="B48" s="227" t="s">
        <v>162</v>
      </c>
      <c r="C48" s="227" t="s">
        <v>685</v>
      </c>
      <c r="D48" s="228">
        <v>360.35</v>
      </c>
      <c r="E48" s="228">
        <v>342.1</v>
      </c>
      <c r="F48" s="228">
        <v>18.25</v>
      </c>
      <c r="G48" s="229">
        <v>5.33E-2</v>
      </c>
      <c r="H48" s="228">
        <v>358.15</v>
      </c>
      <c r="I48" s="228">
        <v>340.15</v>
      </c>
      <c r="J48" s="228">
        <v>18</v>
      </c>
      <c r="K48" s="229">
        <v>5.2900000000000003E-2</v>
      </c>
      <c r="L48" s="228">
        <v>360.35</v>
      </c>
      <c r="M48" s="228">
        <v>342.1</v>
      </c>
      <c r="N48" s="228">
        <v>18.25</v>
      </c>
      <c r="O48" s="229">
        <v>5.33E-2</v>
      </c>
      <c r="P48" s="228">
        <v>359.65</v>
      </c>
      <c r="Q48" s="228">
        <v>343.05</v>
      </c>
      <c r="R48" s="228">
        <v>16.600000000000001</v>
      </c>
      <c r="S48" s="229">
        <v>4.8399999999999999E-2</v>
      </c>
      <c r="T48" s="228">
        <v>360.9</v>
      </c>
      <c r="U48" s="228">
        <v>344.2</v>
      </c>
      <c r="V48" s="228">
        <v>16.7</v>
      </c>
      <c r="W48" s="229">
        <v>4.8500000000000001E-2</v>
      </c>
      <c r="X48" s="228">
        <v>2.2000000000000002</v>
      </c>
      <c r="Y48" s="228">
        <v>1.95</v>
      </c>
      <c r="Z48" s="228">
        <v>0.25</v>
      </c>
      <c r="AA48" s="229">
        <v>6.1000000000000004E-3</v>
      </c>
      <c r="AB48" s="228">
        <v>2.2000000000000002</v>
      </c>
      <c r="AC48" s="228">
        <v>1.95</v>
      </c>
      <c r="AD48" s="228">
        <v>0.25</v>
      </c>
      <c r="AE48" s="229">
        <v>6.1000000000000004E-3</v>
      </c>
      <c r="AF48" s="228">
        <v>1.5</v>
      </c>
      <c r="AG48" s="228">
        <v>2.9</v>
      </c>
      <c r="AH48" s="228">
        <v>-1.4</v>
      </c>
      <c r="AI48" s="229">
        <v>4.1999999999999997E-3</v>
      </c>
      <c r="AJ48" s="228">
        <v>2.75</v>
      </c>
      <c r="AK48" s="228">
        <v>4.05</v>
      </c>
      <c r="AL48" s="228">
        <v>-1.3</v>
      </c>
      <c r="AM48" s="229">
        <v>7.7000000000000002E-3</v>
      </c>
      <c r="AN48" s="228">
        <v>353.58</v>
      </c>
      <c r="AO48" s="228">
        <v>354.58</v>
      </c>
      <c r="AP48" s="228">
        <v>0</v>
      </c>
      <c r="AQ48" s="230">
        <v>19740</v>
      </c>
      <c r="AR48" s="230">
        <v>10590</v>
      </c>
      <c r="AS48" s="230">
        <v>9150</v>
      </c>
      <c r="AT48" s="229">
        <v>0.86399999999999999</v>
      </c>
      <c r="AU48" s="230">
        <v>17372</v>
      </c>
      <c r="AV48" s="230">
        <v>9518</v>
      </c>
      <c r="AW48" s="230">
        <v>7854</v>
      </c>
      <c r="AX48" s="229">
        <v>0.82520000000000004</v>
      </c>
      <c r="AY48" s="230">
        <v>2161</v>
      </c>
      <c r="AZ48" s="230">
        <v>1039</v>
      </c>
      <c r="BA48" s="230">
        <v>1122</v>
      </c>
      <c r="BB48" s="229">
        <v>1.0799000000000001</v>
      </c>
      <c r="BC48" s="228">
        <v>207</v>
      </c>
      <c r="BD48" s="228">
        <v>33</v>
      </c>
      <c r="BE48" s="228">
        <v>174</v>
      </c>
      <c r="BF48" s="229">
        <v>5.2727000000000004</v>
      </c>
      <c r="BG48" s="230">
        <v>54276</v>
      </c>
      <c r="BH48" s="230">
        <v>27886</v>
      </c>
      <c r="BI48" s="230">
        <v>26390</v>
      </c>
      <c r="BJ48" s="229">
        <v>0.94640000000000002</v>
      </c>
      <c r="BK48" s="230">
        <v>24956</v>
      </c>
      <c r="BL48" s="230">
        <v>8876</v>
      </c>
      <c r="BM48" s="230">
        <v>16080</v>
      </c>
      <c r="BN48" s="229">
        <v>1.8116000000000001</v>
      </c>
      <c r="BO48" s="230">
        <v>98972</v>
      </c>
      <c r="BP48" s="230">
        <v>47352</v>
      </c>
      <c r="BQ48" s="230">
        <v>51620</v>
      </c>
      <c r="BR48" s="229">
        <v>1.0901000000000001</v>
      </c>
      <c r="BS48" s="230">
        <v>11036464</v>
      </c>
      <c r="BT48" s="230">
        <v>6084755</v>
      </c>
      <c r="BU48" s="230">
        <v>4951709</v>
      </c>
      <c r="BV48" s="229">
        <v>0.81379999999999997</v>
      </c>
      <c r="BW48" s="230">
        <v>69032000</v>
      </c>
      <c r="BX48" s="230">
        <v>69904800</v>
      </c>
      <c r="BY48" s="230">
        <v>-872800</v>
      </c>
      <c r="BZ48" s="229">
        <v>-1.2500000000000001E-2</v>
      </c>
      <c r="CA48" s="230">
        <v>64087200</v>
      </c>
      <c r="CB48" s="230">
        <v>64803200</v>
      </c>
      <c r="CC48" s="230">
        <v>-716000</v>
      </c>
      <c r="CD48" s="229">
        <v>-1.0999999999999999E-2</v>
      </c>
      <c r="CE48" s="230">
        <v>4501600</v>
      </c>
      <c r="CF48" s="230">
        <v>4594400</v>
      </c>
      <c r="CG48" s="230">
        <v>-92800</v>
      </c>
      <c r="CH48" s="229">
        <v>-2.0199999999999999E-2</v>
      </c>
      <c r="CI48" s="230">
        <v>443200</v>
      </c>
      <c r="CJ48" s="230">
        <v>507200</v>
      </c>
      <c r="CK48" s="230">
        <v>-64000</v>
      </c>
      <c r="CL48" s="229">
        <v>-0.12620000000000001</v>
      </c>
      <c r="CM48" s="230">
        <v>26910400</v>
      </c>
      <c r="CN48" s="230">
        <v>25924000</v>
      </c>
      <c r="CO48" s="230">
        <v>986400</v>
      </c>
      <c r="CP48" s="229">
        <v>3.7999999999999999E-2</v>
      </c>
      <c r="CQ48" s="230">
        <v>17364800</v>
      </c>
      <c r="CR48" s="230">
        <v>16437600</v>
      </c>
      <c r="CS48" s="230">
        <v>927200</v>
      </c>
      <c r="CT48" s="229">
        <v>5.6399999999999999E-2</v>
      </c>
      <c r="CU48" s="230">
        <v>113307200</v>
      </c>
      <c r="CV48" s="230">
        <v>112266400</v>
      </c>
      <c r="CW48" s="230">
        <v>1040800</v>
      </c>
      <c r="CX48" s="229">
        <v>9.2999999999999992E-3</v>
      </c>
      <c r="CY48" s="228">
        <v>36.72</v>
      </c>
      <c r="CZ48" s="228">
        <v>37.950000000000003</v>
      </c>
      <c r="DA48" s="228">
        <v>-1.23</v>
      </c>
      <c r="DB48" s="228">
        <v>-1.23</v>
      </c>
      <c r="DC48" s="228">
        <v>38.46</v>
      </c>
      <c r="DD48" s="228">
        <v>37.909999999999997</v>
      </c>
      <c r="DE48" s="228">
        <v>-1.74</v>
      </c>
      <c r="DF48" s="228">
        <v>0.55000000000000004</v>
      </c>
      <c r="DG48" s="228">
        <v>35.79</v>
      </c>
      <c r="DH48" s="228">
        <v>37.770000000000003</v>
      </c>
      <c r="DI48" s="228">
        <v>-1.98</v>
      </c>
      <c r="DJ48" s="228">
        <v>-1.98</v>
      </c>
      <c r="DK48" s="228">
        <v>38.729999999999997</v>
      </c>
      <c r="DL48" s="228">
        <v>38.520000000000003</v>
      </c>
      <c r="DM48" s="228">
        <v>0.21</v>
      </c>
      <c r="DN48" s="228">
        <v>0.21</v>
      </c>
      <c r="DO48" s="228">
        <v>0.65</v>
      </c>
      <c r="DP48" s="228">
        <v>0.63</v>
      </c>
      <c r="DQ48" s="228">
        <v>0.02</v>
      </c>
      <c r="DR48" s="229">
        <v>3.1699999999999999E-2</v>
      </c>
      <c r="DS48" s="228">
        <v>400</v>
      </c>
      <c r="DT48" s="228">
        <v>350</v>
      </c>
      <c r="DU48" s="228">
        <v>0.46</v>
      </c>
      <c r="DV48" s="228">
        <v>0.32</v>
      </c>
      <c r="DW48" s="228">
        <v>0.14000000000000001</v>
      </c>
      <c r="DX48" s="229">
        <v>0.4375</v>
      </c>
      <c r="DY48" s="229">
        <v>7.1599999999999997E-2</v>
      </c>
      <c r="DZ48" s="230">
        <v>5101600</v>
      </c>
      <c r="EA48" s="229">
        <v>-1.9E-3</v>
      </c>
      <c r="EB48" s="229">
        <v>7.1599999999999997E-2</v>
      </c>
      <c r="EC48" s="228">
        <v>1</v>
      </c>
      <c r="ED48" s="229">
        <v>2.8E-3</v>
      </c>
      <c r="EE48" s="230">
        <v>4473362</v>
      </c>
      <c r="EF48" s="230">
        <v>2222317</v>
      </c>
      <c r="EG48" s="229">
        <v>1.0128999999999999</v>
      </c>
      <c r="EH48" s="229">
        <v>0.40529999999999999</v>
      </c>
      <c r="EI48" s="231">
        <v>163423.32999999999</v>
      </c>
      <c r="EJ48" s="231">
        <v>68786.27</v>
      </c>
      <c r="EK48" s="231">
        <v>56442.37</v>
      </c>
      <c r="EL48" s="231">
        <v>17228</v>
      </c>
      <c r="EM48" s="231">
        <v>288651.96999999997</v>
      </c>
      <c r="EN48" s="231">
        <v>136379.12</v>
      </c>
      <c r="EO48" s="231">
        <v>152272.85</v>
      </c>
      <c r="EP48" s="229">
        <v>1.1165</v>
      </c>
      <c r="EQ48" s="231">
        <v>98923</v>
      </c>
      <c r="ER48" s="231">
        <v>59933</v>
      </c>
      <c r="ES48" s="231">
        <v>248728</v>
      </c>
      <c r="ET48" s="231">
        <v>317244234</v>
      </c>
      <c r="EU48" s="231">
        <v>407584</v>
      </c>
      <c r="EV48" s="231">
        <v>390398</v>
      </c>
      <c r="EW48" s="231">
        <v>17186</v>
      </c>
      <c r="EX48" s="229">
        <v>4.3999999999999997E-2</v>
      </c>
      <c r="EY48" s="229">
        <v>0.35720000000000002</v>
      </c>
    </row>
    <row r="49" spans="1:155" ht="17.25" thickBot="1" x14ac:dyDescent="0.3">
      <c r="A49" s="226">
        <v>46148</v>
      </c>
      <c r="B49" s="227" t="s">
        <v>197</v>
      </c>
      <c r="C49" s="227" t="s">
        <v>482</v>
      </c>
      <c r="D49" s="231">
        <v>4318.1000000000004</v>
      </c>
      <c r="E49" s="231">
        <v>4143.6000000000004</v>
      </c>
      <c r="F49" s="228">
        <v>174.5</v>
      </c>
      <c r="G49" s="229">
        <v>4.2099999999999999E-2</v>
      </c>
      <c r="H49" s="231">
        <v>4289.8</v>
      </c>
      <c r="I49" s="231">
        <v>4135.3999999999996</v>
      </c>
      <c r="J49" s="228">
        <v>154.4</v>
      </c>
      <c r="K49" s="229">
        <v>3.73E-2</v>
      </c>
      <c r="L49" s="231">
        <v>4318.1000000000004</v>
      </c>
      <c r="M49" s="231">
        <v>4143.6000000000004</v>
      </c>
      <c r="N49" s="228">
        <v>174.5</v>
      </c>
      <c r="O49" s="229">
        <v>4.2099999999999999E-2</v>
      </c>
      <c r="P49" s="231">
        <v>4302.3999999999996</v>
      </c>
      <c r="Q49" s="231">
        <v>4123.8</v>
      </c>
      <c r="R49" s="228">
        <v>178.6</v>
      </c>
      <c r="S49" s="229">
        <v>4.3299999999999998E-2</v>
      </c>
      <c r="T49" s="231">
        <v>4305</v>
      </c>
      <c r="U49" s="231">
        <v>4125.7</v>
      </c>
      <c r="V49" s="228">
        <v>179.3</v>
      </c>
      <c r="W49" s="229">
        <v>4.3499999999999997E-2</v>
      </c>
      <c r="X49" s="228">
        <v>28.3</v>
      </c>
      <c r="Y49" s="228">
        <v>8.1999999999999993</v>
      </c>
      <c r="Z49" s="228">
        <v>20.100000000000001</v>
      </c>
      <c r="AA49" s="229">
        <v>6.6E-3</v>
      </c>
      <c r="AB49" s="228">
        <v>28.3</v>
      </c>
      <c r="AC49" s="228">
        <v>8.1999999999999993</v>
      </c>
      <c r="AD49" s="228">
        <v>20.100000000000001</v>
      </c>
      <c r="AE49" s="229">
        <v>6.6E-3</v>
      </c>
      <c r="AF49" s="228">
        <v>12.6</v>
      </c>
      <c r="AG49" s="228">
        <v>-11.6</v>
      </c>
      <c r="AH49" s="228">
        <v>24.2</v>
      </c>
      <c r="AI49" s="229">
        <v>2.8999999999999998E-3</v>
      </c>
      <c r="AJ49" s="228">
        <v>15.2</v>
      </c>
      <c r="AK49" s="228">
        <v>-9.6999999999999993</v>
      </c>
      <c r="AL49" s="228">
        <v>24.9</v>
      </c>
      <c r="AM49" s="229">
        <v>3.5000000000000001E-3</v>
      </c>
      <c r="AN49" s="231">
        <v>4280.58</v>
      </c>
      <c r="AO49" s="231">
        <v>4265.9799999999996</v>
      </c>
      <c r="AP49" s="228">
        <v>0</v>
      </c>
      <c r="AQ49" s="230">
        <v>12249</v>
      </c>
      <c r="AR49" s="230">
        <v>5906</v>
      </c>
      <c r="AS49" s="230">
        <v>6343</v>
      </c>
      <c r="AT49" s="229">
        <v>1.0740000000000001</v>
      </c>
      <c r="AU49" s="230">
        <v>11129</v>
      </c>
      <c r="AV49" s="230">
        <v>5296</v>
      </c>
      <c r="AW49" s="230">
        <v>5833</v>
      </c>
      <c r="AX49" s="229">
        <v>1.1013999999999999</v>
      </c>
      <c r="AY49" s="230">
        <v>1034</v>
      </c>
      <c r="AZ49" s="228">
        <v>578</v>
      </c>
      <c r="BA49" s="228">
        <v>456</v>
      </c>
      <c r="BB49" s="229">
        <v>0.78890000000000005</v>
      </c>
      <c r="BC49" s="228">
        <v>86</v>
      </c>
      <c r="BD49" s="228">
        <v>32</v>
      </c>
      <c r="BE49" s="228">
        <v>54</v>
      </c>
      <c r="BF49" s="229">
        <v>1.6875</v>
      </c>
      <c r="BG49" s="230">
        <v>81270</v>
      </c>
      <c r="BH49" s="230">
        <v>20204</v>
      </c>
      <c r="BI49" s="230">
        <v>61066</v>
      </c>
      <c r="BJ49" s="229">
        <v>3.0225</v>
      </c>
      <c r="BK49" s="230">
        <v>26915</v>
      </c>
      <c r="BL49" s="230">
        <v>9652</v>
      </c>
      <c r="BM49" s="230">
        <v>17263</v>
      </c>
      <c r="BN49" s="229">
        <v>1.7885</v>
      </c>
      <c r="BO49" s="230">
        <v>120434</v>
      </c>
      <c r="BP49" s="230">
        <v>35762</v>
      </c>
      <c r="BQ49" s="230">
        <v>84672</v>
      </c>
      <c r="BR49" s="229">
        <v>2.3677000000000001</v>
      </c>
      <c r="BS49" s="230">
        <v>1455345</v>
      </c>
      <c r="BT49" s="230">
        <v>490894</v>
      </c>
      <c r="BU49" s="230">
        <v>964451</v>
      </c>
      <c r="BV49" s="229">
        <v>1.9646999999999999</v>
      </c>
      <c r="BW49" s="230">
        <v>7057500</v>
      </c>
      <c r="BX49" s="230">
        <v>7100600</v>
      </c>
      <c r="BY49" s="230">
        <v>-43100</v>
      </c>
      <c r="BZ49" s="229">
        <v>-6.1000000000000004E-3</v>
      </c>
      <c r="CA49" s="230">
        <v>6712500</v>
      </c>
      <c r="CB49" s="230">
        <v>6760700</v>
      </c>
      <c r="CC49" s="230">
        <v>-48200</v>
      </c>
      <c r="CD49" s="229">
        <v>-7.1000000000000004E-3</v>
      </c>
      <c r="CE49" s="230">
        <v>327600</v>
      </c>
      <c r="CF49" s="230">
        <v>322500</v>
      </c>
      <c r="CG49" s="230">
        <v>5100</v>
      </c>
      <c r="CH49" s="229">
        <v>1.5800000000000002E-2</v>
      </c>
      <c r="CI49" s="230">
        <v>17400</v>
      </c>
      <c r="CJ49" s="230">
        <v>17400</v>
      </c>
      <c r="CK49" s="228">
        <v>0</v>
      </c>
      <c r="CL49" s="229">
        <v>0</v>
      </c>
      <c r="CM49" s="230">
        <v>3237200</v>
      </c>
      <c r="CN49" s="230">
        <v>3552400</v>
      </c>
      <c r="CO49" s="230">
        <v>-315200</v>
      </c>
      <c r="CP49" s="229">
        <v>-8.8700000000000001E-2</v>
      </c>
      <c r="CQ49" s="230">
        <v>1466500</v>
      </c>
      <c r="CR49" s="230">
        <v>1375050</v>
      </c>
      <c r="CS49" s="230">
        <v>91450</v>
      </c>
      <c r="CT49" s="229">
        <v>6.6500000000000004E-2</v>
      </c>
      <c r="CU49" s="230">
        <v>11761200</v>
      </c>
      <c r="CV49" s="230">
        <v>12028050</v>
      </c>
      <c r="CW49" s="230">
        <v>-266850</v>
      </c>
      <c r="CX49" s="229">
        <v>-2.2200000000000001E-2</v>
      </c>
      <c r="CY49" s="228">
        <v>33.06</v>
      </c>
      <c r="CZ49" s="228">
        <v>33.630000000000003</v>
      </c>
      <c r="DA49" s="228">
        <v>-0.56999999999999995</v>
      </c>
      <c r="DB49" s="228">
        <v>-0.56999999999999995</v>
      </c>
      <c r="DC49" s="228">
        <v>44.23</v>
      </c>
      <c r="DD49" s="228">
        <v>43.99</v>
      </c>
      <c r="DE49" s="228">
        <v>-11.17</v>
      </c>
      <c r="DF49" s="228">
        <v>0.24</v>
      </c>
      <c r="DG49" s="228">
        <v>32.909999999999997</v>
      </c>
      <c r="DH49" s="228">
        <v>33.71</v>
      </c>
      <c r="DI49" s="228">
        <v>-0.8</v>
      </c>
      <c r="DJ49" s="228">
        <v>-0.8</v>
      </c>
      <c r="DK49" s="228">
        <v>33.51</v>
      </c>
      <c r="DL49" s="228">
        <v>33.47</v>
      </c>
      <c r="DM49" s="228">
        <v>0.04</v>
      </c>
      <c r="DN49" s="228">
        <v>0.04</v>
      </c>
      <c r="DO49" s="228">
        <v>0.45</v>
      </c>
      <c r="DP49" s="228">
        <v>0.39</v>
      </c>
      <c r="DQ49" s="228">
        <v>0.06</v>
      </c>
      <c r="DR49" s="229">
        <v>0.15379999999999999</v>
      </c>
      <c r="DS49" s="231">
        <v>4500</v>
      </c>
      <c r="DT49" s="231">
        <v>4200</v>
      </c>
      <c r="DU49" s="228">
        <v>0.33</v>
      </c>
      <c r="DV49" s="228">
        <v>0.48</v>
      </c>
      <c r="DW49" s="228">
        <v>-0.15</v>
      </c>
      <c r="DX49" s="229">
        <v>-0.3125</v>
      </c>
      <c r="DY49" s="229">
        <v>4.8899999999999999E-2</v>
      </c>
      <c r="DZ49" s="230">
        <v>339900</v>
      </c>
      <c r="EA49" s="229">
        <v>-3.5999999999999999E-3</v>
      </c>
      <c r="EB49" s="229">
        <v>4.8899999999999999E-2</v>
      </c>
      <c r="EC49" s="228">
        <v>-14.6</v>
      </c>
      <c r="ED49" s="229">
        <v>-3.3999999999999998E-3</v>
      </c>
      <c r="EE49" s="230">
        <v>573817</v>
      </c>
      <c r="EF49" s="230">
        <v>167361</v>
      </c>
      <c r="EG49" s="229">
        <v>2.4285999999999999</v>
      </c>
      <c r="EH49" s="229">
        <v>0.39429999999999998</v>
      </c>
      <c r="EI49" s="231">
        <v>366555.41</v>
      </c>
      <c r="EJ49" s="231">
        <v>112001.67</v>
      </c>
      <c r="EK49" s="231">
        <v>52599.199999999997</v>
      </c>
      <c r="EL49" s="231">
        <v>7192</v>
      </c>
      <c r="EM49" s="231">
        <v>531156.28</v>
      </c>
      <c r="EN49" s="231">
        <v>153321.59</v>
      </c>
      <c r="EO49" s="231">
        <v>377834.69</v>
      </c>
      <c r="EP49" s="229">
        <v>2.4643000000000002</v>
      </c>
      <c r="EQ49" s="231">
        <v>143572</v>
      </c>
      <c r="ER49" s="231">
        <v>59592</v>
      </c>
      <c r="ES49" s="231">
        <v>304696</v>
      </c>
      <c r="ET49" s="231">
        <v>33590487</v>
      </c>
      <c r="EU49" s="231">
        <v>507860</v>
      </c>
      <c r="EV49" s="231">
        <v>507032</v>
      </c>
      <c r="EW49" s="228">
        <v>828</v>
      </c>
      <c r="EX49" s="229">
        <v>1.6000000000000001E-3</v>
      </c>
      <c r="EY49" s="229">
        <v>0.35010000000000002</v>
      </c>
    </row>
    <row r="50" spans="1:155" ht="17.25" thickBot="1" x14ac:dyDescent="0.3">
      <c r="A50" s="226">
        <v>46148</v>
      </c>
      <c r="B50" s="227" t="s">
        <v>157</v>
      </c>
      <c r="C50" s="227" t="s">
        <v>302</v>
      </c>
      <c r="D50" s="231">
        <v>12169</v>
      </c>
      <c r="E50" s="231">
        <v>11987</v>
      </c>
      <c r="F50" s="228">
        <v>182</v>
      </c>
      <c r="G50" s="229">
        <v>1.52E-2</v>
      </c>
      <c r="H50" s="231">
        <v>12093</v>
      </c>
      <c r="I50" s="231">
        <v>11963</v>
      </c>
      <c r="J50" s="228">
        <v>130</v>
      </c>
      <c r="K50" s="229">
        <v>1.09E-2</v>
      </c>
      <c r="L50" s="231">
        <v>12169</v>
      </c>
      <c r="M50" s="231">
        <v>11987</v>
      </c>
      <c r="N50" s="228">
        <v>182</v>
      </c>
      <c r="O50" s="229">
        <v>1.52E-2</v>
      </c>
      <c r="P50" s="231">
        <v>12250</v>
      </c>
      <c r="Q50" s="231">
        <v>12063</v>
      </c>
      <c r="R50" s="228">
        <v>187</v>
      </c>
      <c r="S50" s="229">
        <v>1.55E-2</v>
      </c>
      <c r="T50" s="231">
        <v>12306</v>
      </c>
      <c r="U50" s="231">
        <v>12114</v>
      </c>
      <c r="V50" s="228">
        <v>192</v>
      </c>
      <c r="W50" s="229">
        <v>1.5800000000000002E-2</v>
      </c>
      <c r="X50" s="228">
        <v>76</v>
      </c>
      <c r="Y50" s="228">
        <v>24</v>
      </c>
      <c r="Z50" s="228">
        <v>52</v>
      </c>
      <c r="AA50" s="229">
        <v>6.3E-3</v>
      </c>
      <c r="AB50" s="228">
        <v>76</v>
      </c>
      <c r="AC50" s="228">
        <v>24</v>
      </c>
      <c r="AD50" s="228">
        <v>52</v>
      </c>
      <c r="AE50" s="229">
        <v>6.3E-3</v>
      </c>
      <c r="AF50" s="228">
        <v>157</v>
      </c>
      <c r="AG50" s="228">
        <v>100</v>
      </c>
      <c r="AH50" s="228">
        <v>57</v>
      </c>
      <c r="AI50" s="229">
        <v>1.2999999999999999E-2</v>
      </c>
      <c r="AJ50" s="228">
        <v>213</v>
      </c>
      <c r="AK50" s="228">
        <v>151</v>
      </c>
      <c r="AL50" s="228">
        <v>62</v>
      </c>
      <c r="AM50" s="229">
        <v>1.7600000000000001E-2</v>
      </c>
      <c r="AN50" s="231">
        <v>12086.92</v>
      </c>
      <c r="AO50" s="231">
        <v>12175.75</v>
      </c>
      <c r="AP50" s="228">
        <v>0</v>
      </c>
      <c r="AQ50" s="230">
        <v>9034</v>
      </c>
      <c r="AR50" s="230">
        <v>10085</v>
      </c>
      <c r="AS50" s="230">
        <v>-1051</v>
      </c>
      <c r="AT50" s="229">
        <v>-0.1042</v>
      </c>
      <c r="AU50" s="230">
        <v>8665</v>
      </c>
      <c r="AV50" s="230">
        <v>9589</v>
      </c>
      <c r="AW50" s="228">
        <v>-924</v>
      </c>
      <c r="AX50" s="229">
        <v>-9.64E-2</v>
      </c>
      <c r="AY50" s="228">
        <v>353</v>
      </c>
      <c r="AZ50" s="228">
        <v>481</v>
      </c>
      <c r="BA50" s="228">
        <v>-128</v>
      </c>
      <c r="BB50" s="229">
        <v>-0.2661</v>
      </c>
      <c r="BC50" s="228">
        <v>16</v>
      </c>
      <c r="BD50" s="228">
        <v>15</v>
      </c>
      <c r="BE50" s="228">
        <v>1</v>
      </c>
      <c r="BF50" s="229">
        <v>6.6699999999999995E-2</v>
      </c>
      <c r="BG50" s="230">
        <v>32034</v>
      </c>
      <c r="BH50" s="230">
        <v>35010</v>
      </c>
      <c r="BI50" s="230">
        <v>-2976</v>
      </c>
      <c r="BJ50" s="229">
        <v>-8.5000000000000006E-2</v>
      </c>
      <c r="BK50" s="230">
        <v>15092</v>
      </c>
      <c r="BL50" s="230">
        <v>16687</v>
      </c>
      <c r="BM50" s="230">
        <v>-1595</v>
      </c>
      <c r="BN50" s="229">
        <v>-9.5600000000000004E-2</v>
      </c>
      <c r="BO50" s="230">
        <v>56160</v>
      </c>
      <c r="BP50" s="230">
        <v>61782</v>
      </c>
      <c r="BQ50" s="230">
        <v>-5622</v>
      </c>
      <c r="BR50" s="229">
        <v>-9.0999999999999998E-2</v>
      </c>
      <c r="BS50" s="230">
        <v>374083</v>
      </c>
      <c r="BT50" s="230">
        <v>359592</v>
      </c>
      <c r="BU50" s="230">
        <v>14491</v>
      </c>
      <c r="BV50" s="229">
        <v>4.0300000000000002E-2</v>
      </c>
      <c r="BW50" s="230">
        <v>2750150</v>
      </c>
      <c r="BX50" s="230">
        <v>2772650</v>
      </c>
      <c r="BY50" s="230">
        <v>-22500</v>
      </c>
      <c r="BZ50" s="229">
        <v>-8.0999999999999996E-3</v>
      </c>
      <c r="CA50" s="230">
        <v>2289100</v>
      </c>
      <c r="CB50" s="230">
        <v>2312050</v>
      </c>
      <c r="CC50" s="230">
        <v>-22950</v>
      </c>
      <c r="CD50" s="229">
        <v>-9.9000000000000008E-3</v>
      </c>
      <c r="CE50" s="230">
        <v>458550</v>
      </c>
      <c r="CF50" s="230">
        <v>458450</v>
      </c>
      <c r="CG50" s="228">
        <v>100</v>
      </c>
      <c r="CH50" s="229">
        <v>2.0000000000000001E-4</v>
      </c>
      <c r="CI50" s="230">
        <v>2500</v>
      </c>
      <c r="CJ50" s="230">
        <v>2150</v>
      </c>
      <c r="CK50" s="228">
        <v>350</v>
      </c>
      <c r="CL50" s="229">
        <v>0.1628</v>
      </c>
      <c r="CM50" s="230">
        <v>1155950</v>
      </c>
      <c r="CN50" s="230">
        <v>1198900</v>
      </c>
      <c r="CO50" s="230">
        <v>-42950</v>
      </c>
      <c r="CP50" s="229">
        <v>-3.5799999999999998E-2</v>
      </c>
      <c r="CQ50" s="230">
        <v>475050</v>
      </c>
      <c r="CR50" s="230">
        <v>496800</v>
      </c>
      <c r="CS50" s="230">
        <v>-21750</v>
      </c>
      <c r="CT50" s="229">
        <v>-4.3799999999999999E-2</v>
      </c>
      <c r="CU50" s="230">
        <v>4381150</v>
      </c>
      <c r="CV50" s="230">
        <v>4468350</v>
      </c>
      <c r="CW50" s="230">
        <v>-87200</v>
      </c>
      <c r="CX50" s="229">
        <v>-1.95E-2</v>
      </c>
      <c r="CY50" s="228">
        <v>25.18</v>
      </c>
      <c r="CZ50" s="228">
        <v>26.26</v>
      </c>
      <c r="DA50" s="228">
        <v>-1.08</v>
      </c>
      <c r="DB50" s="228">
        <v>-1.08</v>
      </c>
      <c r="DC50" s="228">
        <v>29.8</v>
      </c>
      <c r="DD50" s="228">
        <v>29.84</v>
      </c>
      <c r="DE50" s="228">
        <v>-4.62</v>
      </c>
      <c r="DF50" s="228">
        <v>-0.04</v>
      </c>
      <c r="DG50" s="228">
        <v>24.61</v>
      </c>
      <c r="DH50" s="228">
        <v>25.62</v>
      </c>
      <c r="DI50" s="228">
        <v>-1.01</v>
      </c>
      <c r="DJ50" s="228">
        <v>-1.01</v>
      </c>
      <c r="DK50" s="228">
        <v>26.38</v>
      </c>
      <c r="DL50" s="228">
        <v>27.59</v>
      </c>
      <c r="DM50" s="228">
        <v>-1.21</v>
      </c>
      <c r="DN50" s="228">
        <v>-1.21</v>
      </c>
      <c r="DO50" s="228">
        <v>0.41</v>
      </c>
      <c r="DP50" s="228">
        <v>0.41</v>
      </c>
      <c r="DQ50" s="228">
        <v>0</v>
      </c>
      <c r="DR50" s="229">
        <v>0</v>
      </c>
      <c r="DS50" s="231">
        <v>13000</v>
      </c>
      <c r="DT50" s="231">
        <v>11000</v>
      </c>
      <c r="DU50" s="228">
        <v>0.47</v>
      </c>
      <c r="DV50" s="228">
        <v>0.48</v>
      </c>
      <c r="DW50" s="228">
        <v>-0.01</v>
      </c>
      <c r="DX50" s="229">
        <v>-2.0799999999999999E-2</v>
      </c>
      <c r="DY50" s="229">
        <v>0.1676</v>
      </c>
      <c r="DZ50" s="230">
        <v>460600</v>
      </c>
      <c r="EA50" s="229">
        <v>6.7000000000000002E-3</v>
      </c>
      <c r="EB50" s="229">
        <v>0.1676</v>
      </c>
      <c r="EC50" s="228">
        <v>88.83</v>
      </c>
      <c r="ED50" s="229">
        <v>7.3000000000000001E-3</v>
      </c>
      <c r="EE50" s="230">
        <v>202279</v>
      </c>
      <c r="EF50" s="230">
        <v>188191</v>
      </c>
      <c r="EG50" s="229">
        <v>7.4899999999999994E-2</v>
      </c>
      <c r="EH50" s="229">
        <v>0.54069999999999996</v>
      </c>
      <c r="EI50" s="231">
        <v>201717.83</v>
      </c>
      <c r="EJ50" s="231">
        <v>88574.13</v>
      </c>
      <c r="EK50" s="231">
        <v>54613.53</v>
      </c>
      <c r="EL50" s="231">
        <v>10189</v>
      </c>
      <c r="EM50" s="231">
        <v>344905.49</v>
      </c>
      <c r="EN50" s="231">
        <v>375927.07</v>
      </c>
      <c r="EO50" s="231">
        <v>-31021.58</v>
      </c>
      <c r="EP50" s="229">
        <v>-8.2500000000000004E-2</v>
      </c>
      <c r="EQ50" s="231">
        <v>145049</v>
      </c>
      <c r="ER50" s="231">
        <v>54193</v>
      </c>
      <c r="ES50" s="231">
        <v>335041</v>
      </c>
      <c r="ET50" s="231">
        <v>12994504</v>
      </c>
      <c r="EU50" s="231">
        <v>534283</v>
      </c>
      <c r="EV50" s="231">
        <v>539952</v>
      </c>
      <c r="EW50" s="231">
        <v>-5669</v>
      </c>
      <c r="EX50" s="229">
        <v>-1.0500000000000001E-2</v>
      </c>
      <c r="EY50" s="229">
        <v>0.3372</v>
      </c>
    </row>
    <row r="51" spans="1:155" ht="17.25" thickBot="1" x14ac:dyDescent="0.3">
      <c r="A51" s="226">
        <v>46148</v>
      </c>
      <c r="B51" s="227" t="s">
        <v>221</v>
      </c>
      <c r="C51" s="227" t="s">
        <v>306</v>
      </c>
      <c r="D51" s="228">
        <v>197.51</v>
      </c>
      <c r="E51" s="228">
        <v>196.13</v>
      </c>
      <c r="F51" s="228">
        <v>1.38</v>
      </c>
      <c r="G51" s="229">
        <v>7.0000000000000001E-3</v>
      </c>
      <c r="H51" s="228">
        <v>199.12</v>
      </c>
      <c r="I51" s="228">
        <v>199.78</v>
      </c>
      <c r="J51" s="228">
        <v>-0.66</v>
      </c>
      <c r="K51" s="229">
        <v>-3.3E-3</v>
      </c>
      <c r="L51" s="228">
        <v>197.51</v>
      </c>
      <c r="M51" s="228">
        <v>196.13</v>
      </c>
      <c r="N51" s="228">
        <v>1.38</v>
      </c>
      <c r="O51" s="229">
        <v>7.0000000000000001E-3</v>
      </c>
      <c r="P51" s="228">
        <v>191.48</v>
      </c>
      <c r="Q51" s="228">
        <v>189.76</v>
      </c>
      <c r="R51" s="228">
        <v>1.72</v>
      </c>
      <c r="S51" s="229">
        <v>9.1000000000000004E-3</v>
      </c>
      <c r="T51" s="228">
        <v>188.61</v>
      </c>
      <c r="U51" s="228">
        <v>187</v>
      </c>
      <c r="V51" s="228">
        <v>1.61</v>
      </c>
      <c r="W51" s="229">
        <v>8.6E-3</v>
      </c>
      <c r="X51" s="228">
        <v>-1.61</v>
      </c>
      <c r="Y51" s="228">
        <v>-3.65</v>
      </c>
      <c r="Z51" s="228">
        <v>2.04</v>
      </c>
      <c r="AA51" s="229">
        <v>-8.0999999999999996E-3</v>
      </c>
      <c r="AB51" s="228">
        <v>-1.61</v>
      </c>
      <c r="AC51" s="228">
        <v>-3.65</v>
      </c>
      <c r="AD51" s="228">
        <v>2.04</v>
      </c>
      <c r="AE51" s="229">
        <v>-8.0999999999999996E-3</v>
      </c>
      <c r="AF51" s="228">
        <v>-7.64</v>
      </c>
      <c r="AG51" s="228">
        <v>-10.02</v>
      </c>
      <c r="AH51" s="228">
        <v>2.38</v>
      </c>
      <c r="AI51" s="229">
        <v>-3.8399999999999997E-2</v>
      </c>
      <c r="AJ51" s="228">
        <v>-10.51</v>
      </c>
      <c r="AK51" s="228">
        <v>-12.78</v>
      </c>
      <c r="AL51" s="228">
        <v>2.27</v>
      </c>
      <c r="AM51" s="229">
        <v>-5.28E-2</v>
      </c>
      <c r="AN51" s="228">
        <v>196.95</v>
      </c>
      <c r="AO51" s="228">
        <v>190.82</v>
      </c>
      <c r="AP51" s="228">
        <v>0</v>
      </c>
      <c r="AQ51" s="230">
        <v>6747</v>
      </c>
      <c r="AR51" s="230">
        <v>5626</v>
      </c>
      <c r="AS51" s="230">
        <v>1121</v>
      </c>
      <c r="AT51" s="229">
        <v>0.1993</v>
      </c>
      <c r="AU51" s="230">
        <v>5360</v>
      </c>
      <c r="AV51" s="230">
        <v>3851</v>
      </c>
      <c r="AW51" s="230">
        <v>1509</v>
      </c>
      <c r="AX51" s="229">
        <v>0.39179999999999998</v>
      </c>
      <c r="AY51" s="230">
        <v>1104</v>
      </c>
      <c r="AZ51" s="230">
        <v>1420</v>
      </c>
      <c r="BA51" s="228">
        <v>-316</v>
      </c>
      <c r="BB51" s="229">
        <v>-0.2225</v>
      </c>
      <c r="BC51" s="228">
        <v>283</v>
      </c>
      <c r="BD51" s="228">
        <v>355</v>
      </c>
      <c r="BE51" s="228">
        <v>-72</v>
      </c>
      <c r="BF51" s="229">
        <v>-0.20280000000000001</v>
      </c>
      <c r="BG51" s="230">
        <v>24865</v>
      </c>
      <c r="BH51" s="230">
        <v>17199</v>
      </c>
      <c r="BI51" s="230">
        <v>7666</v>
      </c>
      <c r="BJ51" s="229">
        <v>0.44569999999999999</v>
      </c>
      <c r="BK51" s="230">
        <v>11870</v>
      </c>
      <c r="BL51" s="230">
        <v>7164</v>
      </c>
      <c r="BM51" s="230">
        <v>4706</v>
      </c>
      <c r="BN51" s="229">
        <v>0.65690000000000004</v>
      </c>
      <c r="BO51" s="230">
        <v>43482</v>
      </c>
      <c r="BP51" s="230">
        <v>29989</v>
      </c>
      <c r="BQ51" s="230">
        <v>13493</v>
      </c>
      <c r="BR51" s="229">
        <v>0.44990000000000002</v>
      </c>
      <c r="BS51" s="230">
        <v>14063061</v>
      </c>
      <c r="BT51" s="230">
        <v>9506460</v>
      </c>
      <c r="BU51" s="230">
        <v>4556601</v>
      </c>
      <c r="BV51" s="229">
        <v>0.4793</v>
      </c>
      <c r="BW51" s="230">
        <v>303744000</v>
      </c>
      <c r="BX51" s="230">
        <v>302703000</v>
      </c>
      <c r="BY51" s="230">
        <v>1041000</v>
      </c>
      <c r="BZ51" s="229">
        <v>3.3999999999999998E-3</v>
      </c>
      <c r="CA51" s="230">
        <v>272712000</v>
      </c>
      <c r="CB51" s="230">
        <v>272286000</v>
      </c>
      <c r="CC51" s="230">
        <v>426000</v>
      </c>
      <c r="CD51" s="229">
        <v>1.6000000000000001E-3</v>
      </c>
      <c r="CE51" s="230">
        <v>28575000</v>
      </c>
      <c r="CF51" s="230">
        <v>28266000</v>
      </c>
      <c r="CG51" s="230">
        <v>309000</v>
      </c>
      <c r="CH51" s="229">
        <v>1.09E-2</v>
      </c>
      <c r="CI51" s="230">
        <v>2457000</v>
      </c>
      <c r="CJ51" s="230">
        <v>2151000</v>
      </c>
      <c r="CK51" s="230">
        <v>306000</v>
      </c>
      <c r="CL51" s="229">
        <v>0.14230000000000001</v>
      </c>
      <c r="CM51" s="230">
        <v>131769000</v>
      </c>
      <c r="CN51" s="230">
        <v>131340000</v>
      </c>
      <c r="CO51" s="230">
        <v>429000</v>
      </c>
      <c r="CP51" s="229">
        <v>3.3E-3</v>
      </c>
      <c r="CQ51" s="230">
        <v>69540000</v>
      </c>
      <c r="CR51" s="230">
        <v>70203000</v>
      </c>
      <c r="CS51" s="230">
        <v>-663000</v>
      </c>
      <c r="CT51" s="229">
        <v>-9.4000000000000004E-3</v>
      </c>
      <c r="CU51" s="230">
        <v>505053000</v>
      </c>
      <c r="CV51" s="230">
        <v>504246000</v>
      </c>
      <c r="CW51" s="230">
        <v>807000</v>
      </c>
      <c r="CX51" s="229">
        <v>1.6000000000000001E-3</v>
      </c>
      <c r="CY51" s="228">
        <v>28.7</v>
      </c>
      <c r="CZ51" s="228">
        <v>30.37</v>
      </c>
      <c r="DA51" s="228">
        <v>-1.67</v>
      </c>
      <c r="DB51" s="228">
        <v>-1.67</v>
      </c>
      <c r="DC51" s="228">
        <v>31.05</v>
      </c>
      <c r="DD51" s="228">
        <v>31.12</v>
      </c>
      <c r="DE51" s="228">
        <v>-2.35</v>
      </c>
      <c r="DF51" s="228">
        <v>-7.0000000000000007E-2</v>
      </c>
      <c r="DG51" s="228">
        <v>29.6</v>
      </c>
      <c r="DH51" s="228">
        <v>31.31</v>
      </c>
      <c r="DI51" s="228">
        <v>-1.71</v>
      </c>
      <c r="DJ51" s="228">
        <v>-1.71</v>
      </c>
      <c r="DK51" s="228">
        <v>26.81</v>
      </c>
      <c r="DL51" s="228">
        <v>28.13</v>
      </c>
      <c r="DM51" s="228">
        <v>-1.32</v>
      </c>
      <c r="DN51" s="228">
        <v>-1.32</v>
      </c>
      <c r="DO51" s="228">
        <v>0.53</v>
      </c>
      <c r="DP51" s="228">
        <v>0.53</v>
      </c>
      <c r="DQ51" s="228">
        <v>0</v>
      </c>
      <c r="DR51" s="229">
        <v>0</v>
      </c>
      <c r="DS51" s="228">
        <v>210</v>
      </c>
      <c r="DT51" s="228">
        <v>200</v>
      </c>
      <c r="DU51" s="228">
        <v>0.48</v>
      </c>
      <c r="DV51" s="228">
        <v>0.42</v>
      </c>
      <c r="DW51" s="228">
        <v>0.06</v>
      </c>
      <c r="DX51" s="229">
        <v>0.1429</v>
      </c>
      <c r="DY51" s="229">
        <v>0.1022</v>
      </c>
      <c r="DZ51" s="230">
        <v>30417000</v>
      </c>
      <c r="EA51" s="229">
        <v>-3.0499999999999999E-2</v>
      </c>
      <c r="EB51" s="229">
        <v>0.1022</v>
      </c>
      <c r="EC51" s="228">
        <v>-6.13</v>
      </c>
      <c r="ED51" s="229">
        <v>-3.1099999999999999E-2</v>
      </c>
      <c r="EE51" s="230">
        <v>8233719</v>
      </c>
      <c r="EF51" s="230">
        <v>5342779</v>
      </c>
      <c r="EG51" s="229">
        <v>0.54110000000000003</v>
      </c>
      <c r="EH51" s="229">
        <v>0.58550000000000002</v>
      </c>
      <c r="EI51" s="231">
        <v>157922.45000000001</v>
      </c>
      <c r="EJ51" s="231">
        <v>68961.27</v>
      </c>
      <c r="EK51" s="231">
        <v>39584.58</v>
      </c>
      <c r="EL51" s="231">
        <v>7955</v>
      </c>
      <c r="EM51" s="231">
        <v>266468.3</v>
      </c>
      <c r="EN51" s="231">
        <v>184918.32</v>
      </c>
      <c r="EO51" s="231">
        <v>81549.98</v>
      </c>
      <c r="EP51" s="229">
        <v>0.441</v>
      </c>
      <c r="EQ51" s="231">
        <v>279647</v>
      </c>
      <c r="ER51" s="231">
        <v>134622</v>
      </c>
      <c r="ES51" s="231">
        <v>597983</v>
      </c>
      <c r="ET51" s="231">
        <v>428710078</v>
      </c>
      <c r="EU51" s="231">
        <v>1012252</v>
      </c>
      <c r="EV51" s="231">
        <v>1005831</v>
      </c>
      <c r="EW51" s="231">
        <v>6421</v>
      </c>
      <c r="EX51" s="229">
        <v>6.4000000000000003E-3</v>
      </c>
      <c r="EY51" s="229">
        <v>1.1780999999999999</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195" zoomScale="86" zoomScaleNormal="86" workbookViewId="0">
      <selection activeCell="C2" sqref="C2:C216"/>
    </sheetView>
  </sheetViews>
  <sheetFormatPr defaultRowHeight="15" x14ac:dyDescent="0.25"/>
  <cols>
    <col min="1" max="1" width="13"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140625" customWidth="1"/>
    <col min="90" max="90" width="13" customWidth="1"/>
    <col min="91" max="91" width="11.7109375" customWidth="1"/>
    <col min="92" max="92" width="10.5703125" customWidth="1"/>
    <col min="93" max="93" width="10.42578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9.140625"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710937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46148</v>
      </c>
      <c r="B2" s="227" t="s">
        <v>175</v>
      </c>
      <c r="C2" s="227" t="s">
        <v>678</v>
      </c>
      <c r="D2" s="228">
        <v>500</v>
      </c>
      <c r="E2" s="228">
        <v>20</v>
      </c>
      <c r="F2" s="231">
        <v>1091.8</v>
      </c>
      <c r="G2" s="231">
        <v>1076.7</v>
      </c>
      <c r="H2" s="228">
        <v>15.1</v>
      </c>
      <c r="I2" s="229">
        <v>1.4E-2</v>
      </c>
      <c r="J2" s="231">
        <v>1084.0999999999999</v>
      </c>
      <c r="K2" s="231">
        <v>1070.7</v>
      </c>
      <c r="L2" s="228">
        <v>13.4</v>
      </c>
      <c r="M2" s="229">
        <v>1.2500000000000001E-2</v>
      </c>
      <c r="N2" s="231">
        <v>1091.8</v>
      </c>
      <c r="O2" s="231">
        <v>1076.7</v>
      </c>
      <c r="P2" s="228">
        <v>15.1</v>
      </c>
      <c r="Q2" s="229">
        <v>1.4E-2</v>
      </c>
      <c r="R2" s="231">
        <v>1094.8</v>
      </c>
      <c r="S2" s="231">
        <v>1079.5999999999999</v>
      </c>
      <c r="T2" s="228">
        <v>15.2</v>
      </c>
      <c r="U2" s="229">
        <v>1.41E-2</v>
      </c>
      <c r="V2" s="231">
        <v>1093</v>
      </c>
      <c r="W2" s="231">
        <v>1078</v>
      </c>
      <c r="X2" s="228">
        <v>15</v>
      </c>
      <c r="Y2" s="229">
        <v>1.3899999999999999E-2</v>
      </c>
      <c r="Z2" s="228">
        <v>7.7</v>
      </c>
      <c r="AA2" s="228">
        <v>6</v>
      </c>
      <c r="AB2" s="228">
        <v>1.7</v>
      </c>
      <c r="AC2" s="229">
        <v>7.1000000000000004E-3</v>
      </c>
      <c r="AD2" s="228">
        <v>7.7</v>
      </c>
      <c r="AE2" s="228">
        <v>6</v>
      </c>
      <c r="AF2" s="228">
        <v>1.7</v>
      </c>
      <c r="AG2" s="229">
        <v>7.1000000000000004E-3</v>
      </c>
      <c r="AH2" s="228">
        <v>10.7</v>
      </c>
      <c r="AI2" s="228">
        <v>8.9</v>
      </c>
      <c r="AJ2" s="228">
        <v>1.8</v>
      </c>
      <c r="AK2" s="229">
        <v>9.9000000000000008E-3</v>
      </c>
      <c r="AL2" s="228">
        <v>8.9</v>
      </c>
      <c r="AM2" s="228">
        <v>7.3</v>
      </c>
      <c r="AN2" s="228">
        <v>1.6</v>
      </c>
      <c r="AO2" s="229">
        <v>8.2000000000000007E-3</v>
      </c>
      <c r="AP2" s="231">
        <v>1089.98</v>
      </c>
      <c r="AQ2" s="231">
        <v>1095.22</v>
      </c>
      <c r="AR2" s="228">
        <v>0</v>
      </c>
      <c r="AS2" s="228">
        <v>138</v>
      </c>
      <c r="AT2" s="228">
        <v>157</v>
      </c>
      <c r="AU2" s="228">
        <v>-19</v>
      </c>
      <c r="AV2" s="229">
        <v>-0.11940000000000001</v>
      </c>
      <c r="AW2" s="228">
        <v>137</v>
      </c>
      <c r="AX2" s="228">
        <v>155</v>
      </c>
      <c r="AY2" s="228">
        <v>-18</v>
      </c>
      <c r="AZ2" s="229">
        <v>-0.1162</v>
      </c>
      <c r="BA2" s="228">
        <v>1</v>
      </c>
      <c r="BB2" s="228">
        <v>2</v>
      </c>
      <c r="BC2" s="228">
        <v>-1</v>
      </c>
      <c r="BD2" s="229">
        <v>-0.4194</v>
      </c>
      <c r="BE2" s="228">
        <v>0</v>
      </c>
      <c r="BF2" s="228">
        <v>0</v>
      </c>
      <c r="BG2" s="228">
        <v>0</v>
      </c>
      <c r="BH2" s="229">
        <v>0</v>
      </c>
      <c r="BI2" s="228">
        <v>112</v>
      </c>
      <c r="BJ2" s="228">
        <v>120</v>
      </c>
      <c r="BK2" s="228">
        <v>-7</v>
      </c>
      <c r="BL2" s="229">
        <v>-6.0299999999999999E-2</v>
      </c>
      <c r="BM2" s="228">
        <v>27</v>
      </c>
      <c r="BN2" s="228">
        <v>50</v>
      </c>
      <c r="BO2" s="228">
        <v>-22</v>
      </c>
      <c r="BP2" s="229">
        <v>-0.44600000000000001</v>
      </c>
      <c r="BQ2" s="228">
        <v>278</v>
      </c>
      <c r="BR2" s="228">
        <v>326</v>
      </c>
      <c r="BS2" s="228">
        <v>-48</v>
      </c>
      <c r="BT2" s="229">
        <v>-0.1474</v>
      </c>
      <c r="BU2" s="230">
        <v>2190574</v>
      </c>
      <c r="BV2" s="230">
        <v>1777671</v>
      </c>
      <c r="BW2" s="230">
        <v>412903</v>
      </c>
      <c r="BX2" s="229">
        <v>0.23230000000000001</v>
      </c>
      <c r="BY2" s="228">
        <v>558</v>
      </c>
      <c r="BZ2" s="228">
        <v>508</v>
      </c>
      <c r="CA2" s="228">
        <v>50</v>
      </c>
      <c r="CB2" s="229">
        <v>9.8299999999999998E-2</v>
      </c>
      <c r="CC2" s="228">
        <v>554</v>
      </c>
      <c r="CD2" s="228">
        <v>504</v>
      </c>
      <c r="CE2" s="228">
        <v>50</v>
      </c>
      <c r="CF2" s="229">
        <v>9.9500000000000005E-2</v>
      </c>
      <c r="CG2" s="228">
        <v>4</v>
      </c>
      <c r="CH2" s="228">
        <v>4</v>
      </c>
      <c r="CI2" s="228">
        <v>0</v>
      </c>
      <c r="CJ2" s="229">
        <v>-3.9E-2</v>
      </c>
      <c r="CK2" s="228">
        <v>0</v>
      </c>
      <c r="CL2" s="228">
        <v>0</v>
      </c>
      <c r="CM2" s="228">
        <v>0</v>
      </c>
      <c r="CN2" s="229">
        <v>0</v>
      </c>
      <c r="CO2" s="228">
        <v>110</v>
      </c>
      <c r="CP2" s="228">
        <v>118</v>
      </c>
      <c r="CQ2" s="228">
        <v>-8</v>
      </c>
      <c r="CR2" s="229">
        <v>-6.8699999999999997E-2</v>
      </c>
      <c r="CS2" s="228">
        <v>63</v>
      </c>
      <c r="CT2" s="228">
        <v>65</v>
      </c>
      <c r="CU2" s="228">
        <v>-1</v>
      </c>
      <c r="CV2" s="229">
        <v>-2.0199999999999999E-2</v>
      </c>
      <c r="CW2" s="228">
        <v>732</v>
      </c>
      <c r="CX2" s="228">
        <v>691</v>
      </c>
      <c r="CY2" s="228">
        <v>41</v>
      </c>
      <c r="CZ2" s="229">
        <v>5.8599999999999999E-2</v>
      </c>
      <c r="DA2" s="228">
        <v>34.299999999999997</v>
      </c>
      <c r="DB2" s="228">
        <v>35.369999999999997</v>
      </c>
      <c r="DC2" s="228">
        <v>-1.07</v>
      </c>
      <c r="DD2" s="228">
        <v>-1.07</v>
      </c>
      <c r="DE2" s="228">
        <v>41.82</v>
      </c>
      <c r="DF2" s="228">
        <v>41.88</v>
      </c>
      <c r="DG2" s="228">
        <v>-7.52</v>
      </c>
      <c r="DH2" s="228">
        <v>-0.06</v>
      </c>
      <c r="DI2" s="228">
        <v>33.83</v>
      </c>
      <c r="DJ2" s="228">
        <v>35.229999999999997</v>
      </c>
      <c r="DK2" s="228">
        <v>-1.4</v>
      </c>
      <c r="DL2" s="228">
        <v>-1.4</v>
      </c>
      <c r="DM2" s="228">
        <v>36.200000000000003</v>
      </c>
      <c r="DN2" s="228">
        <v>35.71</v>
      </c>
      <c r="DO2" s="228">
        <v>0.49</v>
      </c>
      <c r="DP2" s="228">
        <v>0.49</v>
      </c>
      <c r="DQ2" s="228">
        <v>0.57999999999999996</v>
      </c>
      <c r="DR2" s="228">
        <v>0.55000000000000004</v>
      </c>
      <c r="DS2" s="228">
        <v>0.03</v>
      </c>
      <c r="DT2" s="229">
        <v>5.45E-2</v>
      </c>
      <c r="DU2" s="231">
        <v>1100</v>
      </c>
      <c r="DV2" s="231">
        <v>1000</v>
      </c>
      <c r="DW2" s="228">
        <v>0.24</v>
      </c>
      <c r="DX2" s="228">
        <v>0.41</v>
      </c>
      <c r="DY2" s="228">
        <v>-0.17</v>
      </c>
      <c r="DZ2" s="229">
        <v>-0.41460000000000002</v>
      </c>
      <c r="EA2" s="229">
        <v>7.4999999999999997E-3</v>
      </c>
      <c r="EB2" s="230">
        <v>40000</v>
      </c>
      <c r="EC2" s="229">
        <v>2.7000000000000001E-3</v>
      </c>
      <c r="ED2" s="229">
        <v>7.4999999999999997E-3</v>
      </c>
      <c r="EE2" s="228">
        <v>5.24</v>
      </c>
      <c r="EF2" s="229">
        <v>4.7999999999999996E-3</v>
      </c>
      <c r="EG2" s="230">
        <v>1491664</v>
      </c>
      <c r="EH2" s="230">
        <v>1035606</v>
      </c>
      <c r="EI2" s="229">
        <v>0.44040000000000001</v>
      </c>
      <c r="EJ2" s="229">
        <v>0.68089999999999995</v>
      </c>
      <c r="EK2" s="228">
        <v>118.19</v>
      </c>
      <c r="EL2" s="228">
        <v>26.31</v>
      </c>
      <c r="EM2" s="228">
        <v>137.88999999999999</v>
      </c>
      <c r="EN2" s="228">
        <v>20.38</v>
      </c>
      <c r="EO2" s="228">
        <v>282.39</v>
      </c>
      <c r="EP2" s="228">
        <v>327.35000000000002</v>
      </c>
      <c r="EQ2" s="228">
        <v>-44.97</v>
      </c>
      <c r="ER2" s="229">
        <v>-0.13739999999999999</v>
      </c>
      <c r="ES2" s="228">
        <v>113.89</v>
      </c>
      <c r="ET2" s="228">
        <v>59.19</v>
      </c>
      <c r="EU2" s="228">
        <v>558.19000000000005</v>
      </c>
      <c r="EV2" s="231">
        <v>37756901</v>
      </c>
      <c r="EW2" s="228">
        <v>731.28</v>
      </c>
      <c r="EX2" s="228">
        <v>683.93</v>
      </c>
      <c r="EY2" s="228">
        <v>47.35</v>
      </c>
      <c r="EZ2" s="229">
        <v>6.9199999999999998E-2</v>
      </c>
      <c r="FA2" s="229">
        <v>0.17760000000000001</v>
      </c>
      <c r="FB2" s="227" t="s">
        <v>555</v>
      </c>
      <c r="FC2">
        <f>BY2-CC2</f>
        <v>4</v>
      </c>
    </row>
    <row r="3" spans="1:159" ht="17.25" thickBot="1" x14ac:dyDescent="0.3">
      <c r="A3" s="226">
        <v>46148</v>
      </c>
      <c r="B3" s="227" t="s">
        <v>184</v>
      </c>
      <c r="C3" s="227" t="s">
        <v>553</v>
      </c>
      <c r="D3" s="228">
        <v>125</v>
      </c>
      <c r="E3" s="228">
        <v>20</v>
      </c>
      <c r="F3" s="231">
        <v>7181</v>
      </c>
      <c r="G3" s="231">
        <v>7327.5</v>
      </c>
      <c r="H3" s="228">
        <v>-146.5</v>
      </c>
      <c r="I3" s="229">
        <v>-0.02</v>
      </c>
      <c r="J3" s="231">
        <v>7182.5</v>
      </c>
      <c r="K3" s="231">
        <v>7328</v>
      </c>
      <c r="L3" s="228">
        <v>-145.5</v>
      </c>
      <c r="M3" s="229">
        <v>-1.9900000000000001E-2</v>
      </c>
      <c r="N3" s="231">
        <v>7181</v>
      </c>
      <c r="O3" s="231">
        <v>7327.5</v>
      </c>
      <c r="P3" s="228">
        <v>-146.5</v>
      </c>
      <c r="Q3" s="229">
        <v>-0.02</v>
      </c>
      <c r="R3" s="231">
        <v>7189</v>
      </c>
      <c r="S3" s="231">
        <v>7330.5</v>
      </c>
      <c r="T3" s="228">
        <v>-141.5</v>
      </c>
      <c r="U3" s="229">
        <v>-1.9300000000000001E-2</v>
      </c>
      <c r="V3" s="231">
        <v>7201</v>
      </c>
      <c r="W3" s="231">
        <v>7334</v>
      </c>
      <c r="X3" s="228">
        <v>-133</v>
      </c>
      <c r="Y3" s="229">
        <v>-1.8100000000000002E-2</v>
      </c>
      <c r="Z3" s="228">
        <v>-1.5</v>
      </c>
      <c r="AA3" s="228">
        <v>-0.5</v>
      </c>
      <c r="AB3" s="228">
        <v>-1</v>
      </c>
      <c r="AC3" s="229">
        <v>-2.0000000000000001E-4</v>
      </c>
      <c r="AD3" s="228">
        <v>-1.5</v>
      </c>
      <c r="AE3" s="228">
        <v>-0.5</v>
      </c>
      <c r="AF3" s="228">
        <v>-1</v>
      </c>
      <c r="AG3" s="229">
        <v>-2.0000000000000001E-4</v>
      </c>
      <c r="AH3" s="228">
        <v>6.5</v>
      </c>
      <c r="AI3" s="228">
        <v>2.5</v>
      </c>
      <c r="AJ3" s="228">
        <v>4</v>
      </c>
      <c r="AK3" s="229">
        <v>8.9999999999999998E-4</v>
      </c>
      <c r="AL3" s="228">
        <v>18.5</v>
      </c>
      <c r="AM3" s="228">
        <v>6</v>
      </c>
      <c r="AN3" s="228">
        <v>12.5</v>
      </c>
      <c r="AO3" s="229">
        <v>2.5999999999999999E-3</v>
      </c>
      <c r="AP3" s="231">
        <v>7196.46</v>
      </c>
      <c r="AQ3" s="231">
        <v>7203.89</v>
      </c>
      <c r="AR3" s="228">
        <v>0</v>
      </c>
      <c r="AS3" s="228">
        <v>436</v>
      </c>
      <c r="AT3" s="228">
        <v>283</v>
      </c>
      <c r="AU3" s="228">
        <v>153</v>
      </c>
      <c r="AV3" s="229">
        <v>0.5413</v>
      </c>
      <c r="AW3" s="228">
        <v>417</v>
      </c>
      <c r="AX3" s="228">
        <v>269</v>
      </c>
      <c r="AY3" s="228">
        <v>148</v>
      </c>
      <c r="AZ3" s="229">
        <v>0.55069999999999997</v>
      </c>
      <c r="BA3" s="228">
        <v>17</v>
      </c>
      <c r="BB3" s="228">
        <v>12</v>
      </c>
      <c r="BC3" s="228">
        <v>5</v>
      </c>
      <c r="BD3" s="229">
        <v>0.41039999999999999</v>
      </c>
      <c r="BE3" s="228">
        <v>2</v>
      </c>
      <c r="BF3" s="228">
        <v>2</v>
      </c>
      <c r="BG3" s="228">
        <v>0</v>
      </c>
      <c r="BH3" s="229">
        <v>-5.5599999999999997E-2</v>
      </c>
      <c r="BI3" s="230">
        <v>1336</v>
      </c>
      <c r="BJ3" s="230">
        <v>1027</v>
      </c>
      <c r="BK3" s="228">
        <v>309</v>
      </c>
      <c r="BL3" s="229">
        <v>0.3009</v>
      </c>
      <c r="BM3" s="228">
        <v>528</v>
      </c>
      <c r="BN3" s="228">
        <v>261</v>
      </c>
      <c r="BO3" s="228">
        <v>267</v>
      </c>
      <c r="BP3" s="229">
        <v>1.0244</v>
      </c>
      <c r="BQ3" s="230">
        <v>2300</v>
      </c>
      <c r="BR3" s="230">
        <v>1571</v>
      </c>
      <c r="BS3" s="228">
        <v>729</v>
      </c>
      <c r="BT3" s="229">
        <v>0.46439999999999998</v>
      </c>
      <c r="BU3" s="230">
        <v>299338</v>
      </c>
      <c r="BV3" s="230">
        <v>334671</v>
      </c>
      <c r="BW3" s="230">
        <v>-35333</v>
      </c>
      <c r="BX3" s="229">
        <v>-0.1056</v>
      </c>
      <c r="BY3" s="230">
        <v>1583</v>
      </c>
      <c r="BZ3" s="230">
        <v>1553</v>
      </c>
      <c r="CA3" s="228">
        <v>29</v>
      </c>
      <c r="CB3" s="229">
        <v>1.89E-2</v>
      </c>
      <c r="CC3" s="230">
        <v>1541</v>
      </c>
      <c r="CD3" s="230">
        <v>1520</v>
      </c>
      <c r="CE3" s="228">
        <v>22</v>
      </c>
      <c r="CF3" s="229">
        <v>1.4200000000000001E-2</v>
      </c>
      <c r="CG3" s="228">
        <v>38</v>
      </c>
      <c r="CH3" s="228">
        <v>31</v>
      </c>
      <c r="CI3" s="228">
        <v>7</v>
      </c>
      <c r="CJ3" s="229">
        <v>0.22670000000000001</v>
      </c>
      <c r="CK3" s="228">
        <v>3</v>
      </c>
      <c r="CL3" s="228">
        <v>3</v>
      </c>
      <c r="CM3" s="228">
        <v>1</v>
      </c>
      <c r="CN3" s="229">
        <v>0.32140000000000002</v>
      </c>
      <c r="CO3" s="228">
        <v>789</v>
      </c>
      <c r="CP3" s="228">
        <v>733</v>
      </c>
      <c r="CQ3" s="228">
        <v>56</v>
      </c>
      <c r="CR3" s="229">
        <v>7.6899999999999996E-2</v>
      </c>
      <c r="CS3" s="228">
        <v>395</v>
      </c>
      <c r="CT3" s="228">
        <v>367</v>
      </c>
      <c r="CU3" s="228">
        <v>29</v>
      </c>
      <c r="CV3" s="229">
        <v>7.7799999999999994E-2</v>
      </c>
      <c r="CW3" s="230">
        <v>2767</v>
      </c>
      <c r="CX3" s="230">
        <v>2653</v>
      </c>
      <c r="CY3" s="228">
        <v>114</v>
      </c>
      <c r="CZ3" s="229">
        <v>4.3099999999999999E-2</v>
      </c>
      <c r="DA3" s="228">
        <v>39.090000000000003</v>
      </c>
      <c r="DB3" s="228">
        <v>40.14</v>
      </c>
      <c r="DC3" s="228">
        <v>-1.05</v>
      </c>
      <c r="DD3" s="228">
        <v>-1.05</v>
      </c>
      <c r="DE3" s="228">
        <v>37.15</v>
      </c>
      <c r="DF3" s="228">
        <v>37.14</v>
      </c>
      <c r="DG3" s="228">
        <v>1.94</v>
      </c>
      <c r="DH3" s="228">
        <v>0.01</v>
      </c>
      <c r="DI3" s="228">
        <v>39.24</v>
      </c>
      <c r="DJ3" s="228">
        <v>40.19</v>
      </c>
      <c r="DK3" s="228">
        <v>-0.95</v>
      </c>
      <c r="DL3" s="228">
        <v>-0.95</v>
      </c>
      <c r="DM3" s="228">
        <v>38.700000000000003</v>
      </c>
      <c r="DN3" s="228">
        <v>39.92</v>
      </c>
      <c r="DO3" s="228">
        <v>-1.22</v>
      </c>
      <c r="DP3" s="228">
        <v>-1.22</v>
      </c>
      <c r="DQ3" s="228">
        <v>0.5</v>
      </c>
      <c r="DR3" s="228">
        <v>0.5</v>
      </c>
      <c r="DS3" s="228">
        <v>0</v>
      </c>
      <c r="DT3" s="229">
        <v>0</v>
      </c>
      <c r="DU3" s="231">
        <v>8000</v>
      </c>
      <c r="DV3" s="231">
        <v>7000</v>
      </c>
      <c r="DW3" s="228">
        <v>0.4</v>
      </c>
      <c r="DX3" s="228">
        <v>0.25</v>
      </c>
      <c r="DY3" s="228">
        <v>0.15</v>
      </c>
      <c r="DZ3" s="229">
        <v>0.6</v>
      </c>
      <c r="EA3" s="229">
        <v>2.5999999999999999E-2</v>
      </c>
      <c r="EB3" s="230">
        <v>46500</v>
      </c>
      <c r="EC3" s="229">
        <v>1.1000000000000001E-3</v>
      </c>
      <c r="ED3" s="229">
        <v>2.5999999999999999E-2</v>
      </c>
      <c r="EE3" s="228">
        <v>7.43</v>
      </c>
      <c r="EF3" s="229">
        <v>1E-3</v>
      </c>
      <c r="EG3" s="230">
        <v>104463</v>
      </c>
      <c r="EH3" s="230">
        <v>176303</v>
      </c>
      <c r="EI3" s="229">
        <v>-0.40749999999999997</v>
      </c>
      <c r="EJ3" s="229">
        <v>0.34899999999999998</v>
      </c>
      <c r="EK3" s="231">
        <v>1445.33</v>
      </c>
      <c r="EL3" s="228">
        <v>532.36</v>
      </c>
      <c r="EM3" s="228">
        <v>436.49</v>
      </c>
      <c r="EN3" s="228">
        <v>34.21</v>
      </c>
      <c r="EO3" s="231">
        <v>2414.1799999999998</v>
      </c>
      <c r="EP3" s="231">
        <v>1672.52</v>
      </c>
      <c r="EQ3" s="228">
        <v>741.66</v>
      </c>
      <c r="ER3" s="229">
        <v>0.44340000000000002</v>
      </c>
      <c r="ES3" s="228">
        <v>849.46</v>
      </c>
      <c r="ET3" s="228">
        <v>384.66</v>
      </c>
      <c r="EU3" s="231">
        <v>1582.65</v>
      </c>
      <c r="EV3" s="231">
        <v>7946564</v>
      </c>
      <c r="EW3" s="231">
        <v>2816.78</v>
      </c>
      <c r="EX3" s="231">
        <v>2737.33</v>
      </c>
      <c r="EY3" s="228">
        <v>79.45</v>
      </c>
      <c r="EZ3" s="229">
        <v>2.9000000000000001E-2</v>
      </c>
      <c r="FA3" s="229">
        <v>0.4849</v>
      </c>
      <c r="FB3" s="227" t="s">
        <v>566</v>
      </c>
      <c r="FC3">
        <f t="shared" ref="FC3:FC66" si="0">BY3-CC3</f>
        <v>42</v>
      </c>
    </row>
    <row r="4" spans="1:159" ht="17.25" thickBot="1" x14ac:dyDescent="0.3">
      <c r="A4" s="226">
        <v>46148</v>
      </c>
      <c r="B4" s="227" t="s">
        <v>175</v>
      </c>
      <c r="C4" s="227" t="s">
        <v>544</v>
      </c>
      <c r="D4" s="228">
        <v>3100</v>
      </c>
      <c r="E4" s="228">
        <v>20</v>
      </c>
      <c r="F4" s="228">
        <v>371.3</v>
      </c>
      <c r="G4" s="228">
        <v>361.65</v>
      </c>
      <c r="H4" s="228">
        <v>9.65</v>
      </c>
      <c r="I4" s="229">
        <v>2.6700000000000002E-2</v>
      </c>
      <c r="J4" s="228">
        <v>369.3</v>
      </c>
      <c r="K4" s="228">
        <v>360.85</v>
      </c>
      <c r="L4" s="228">
        <v>8.4499999999999993</v>
      </c>
      <c r="M4" s="229">
        <v>2.3400000000000001E-2</v>
      </c>
      <c r="N4" s="228">
        <v>371.3</v>
      </c>
      <c r="O4" s="228">
        <v>361.65</v>
      </c>
      <c r="P4" s="228">
        <v>9.65</v>
      </c>
      <c r="Q4" s="229">
        <v>2.6700000000000002E-2</v>
      </c>
      <c r="R4" s="228">
        <v>373.3</v>
      </c>
      <c r="S4" s="228">
        <v>363.8</v>
      </c>
      <c r="T4" s="228">
        <v>9.5</v>
      </c>
      <c r="U4" s="229">
        <v>2.6100000000000002E-2</v>
      </c>
      <c r="V4" s="228">
        <v>375</v>
      </c>
      <c r="W4" s="228">
        <v>365.8</v>
      </c>
      <c r="X4" s="228">
        <v>9.1999999999999993</v>
      </c>
      <c r="Y4" s="229">
        <v>2.52E-2</v>
      </c>
      <c r="Z4" s="228">
        <v>2</v>
      </c>
      <c r="AA4" s="228">
        <v>0.8</v>
      </c>
      <c r="AB4" s="228">
        <v>1.2</v>
      </c>
      <c r="AC4" s="229">
        <v>5.4000000000000003E-3</v>
      </c>
      <c r="AD4" s="228">
        <v>2</v>
      </c>
      <c r="AE4" s="228">
        <v>0.8</v>
      </c>
      <c r="AF4" s="228">
        <v>1.2</v>
      </c>
      <c r="AG4" s="229">
        <v>5.4000000000000003E-3</v>
      </c>
      <c r="AH4" s="228">
        <v>4</v>
      </c>
      <c r="AI4" s="228">
        <v>2.95</v>
      </c>
      <c r="AJ4" s="228">
        <v>1.05</v>
      </c>
      <c r="AK4" s="229">
        <v>1.0800000000000001E-2</v>
      </c>
      <c r="AL4" s="228">
        <v>5.7</v>
      </c>
      <c r="AM4" s="228">
        <v>4.95</v>
      </c>
      <c r="AN4" s="228">
        <v>0.75</v>
      </c>
      <c r="AO4" s="229">
        <v>1.54E-2</v>
      </c>
      <c r="AP4" s="228">
        <v>369.4</v>
      </c>
      <c r="AQ4" s="228">
        <v>371.55</v>
      </c>
      <c r="AR4" s="228">
        <v>0</v>
      </c>
      <c r="AS4" s="228">
        <v>524</v>
      </c>
      <c r="AT4" s="228">
        <v>965</v>
      </c>
      <c r="AU4" s="228">
        <v>-441</v>
      </c>
      <c r="AV4" s="229">
        <v>-0.45729999999999998</v>
      </c>
      <c r="AW4" s="228">
        <v>502</v>
      </c>
      <c r="AX4" s="228">
        <v>938</v>
      </c>
      <c r="AY4" s="228">
        <v>-436</v>
      </c>
      <c r="AZ4" s="229">
        <v>-0.46489999999999998</v>
      </c>
      <c r="BA4" s="228">
        <v>18</v>
      </c>
      <c r="BB4" s="228">
        <v>23</v>
      </c>
      <c r="BC4" s="228">
        <v>-4</v>
      </c>
      <c r="BD4" s="229">
        <v>-0.19800000000000001</v>
      </c>
      <c r="BE4" s="228">
        <v>3</v>
      </c>
      <c r="BF4" s="228">
        <v>4</v>
      </c>
      <c r="BG4" s="228">
        <v>0</v>
      </c>
      <c r="BH4" s="229">
        <v>-0.125</v>
      </c>
      <c r="BI4" s="230">
        <v>1719</v>
      </c>
      <c r="BJ4" s="230">
        <v>3130</v>
      </c>
      <c r="BK4" s="230">
        <v>-1411</v>
      </c>
      <c r="BL4" s="229">
        <v>-0.45090000000000002</v>
      </c>
      <c r="BM4" s="228">
        <v>956</v>
      </c>
      <c r="BN4" s="230">
        <v>1406</v>
      </c>
      <c r="BO4" s="228">
        <v>-450</v>
      </c>
      <c r="BP4" s="229">
        <v>-0.31990000000000002</v>
      </c>
      <c r="BQ4" s="230">
        <v>3199</v>
      </c>
      <c r="BR4" s="230">
        <v>5501</v>
      </c>
      <c r="BS4" s="230">
        <v>-2302</v>
      </c>
      <c r="BT4" s="229">
        <v>-0.41849999999999998</v>
      </c>
      <c r="BU4" s="230">
        <v>9066132</v>
      </c>
      <c r="BV4" s="230">
        <v>16724112</v>
      </c>
      <c r="BW4" s="230">
        <v>-7657980</v>
      </c>
      <c r="BX4" s="229">
        <v>-0.45789999999999997</v>
      </c>
      <c r="BY4" s="230">
        <v>1454</v>
      </c>
      <c r="BZ4" s="230">
        <v>1484</v>
      </c>
      <c r="CA4" s="228">
        <v>-30</v>
      </c>
      <c r="CB4" s="229">
        <v>-2.0299999999999999E-2</v>
      </c>
      <c r="CC4" s="230">
        <v>1419</v>
      </c>
      <c r="CD4" s="230">
        <v>1449</v>
      </c>
      <c r="CE4" s="228">
        <v>-30</v>
      </c>
      <c r="CF4" s="229">
        <v>-2.1000000000000001E-2</v>
      </c>
      <c r="CG4" s="228">
        <v>31</v>
      </c>
      <c r="CH4" s="228">
        <v>33</v>
      </c>
      <c r="CI4" s="228">
        <v>-2</v>
      </c>
      <c r="CJ4" s="229">
        <v>-5.2999999999999999E-2</v>
      </c>
      <c r="CK4" s="228">
        <v>5</v>
      </c>
      <c r="CL4" s="228">
        <v>3</v>
      </c>
      <c r="CM4" s="228">
        <v>2</v>
      </c>
      <c r="CN4" s="229">
        <v>0.73909999999999998</v>
      </c>
      <c r="CO4" s="228">
        <v>521</v>
      </c>
      <c r="CP4" s="228">
        <v>566</v>
      </c>
      <c r="CQ4" s="228">
        <v>-45</v>
      </c>
      <c r="CR4" s="229">
        <v>-7.9200000000000007E-2</v>
      </c>
      <c r="CS4" s="228">
        <v>454</v>
      </c>
      <c r="CT4" s="228">
        <v>441</v>
      </c>
      <c r="CU4" s="228">
        <v>14</v>
      </c>
      <c r="CV4" s="229">
        <v>3.0800000000000001E-2</v>
      </c>
      <c r="CW4" s="230">
        <v>2429</v>
      </c>
      <c r="CX4" s="230">
        <v>2490</v>
      </c>
      <c r="CY4" s="228">
        <v>-61</v>
      </c>
      <c r="CZ4" s="229">
        <v>-2.46E-2</v>
      </c>
      <c r="DA4" s="228">
        <v>34.81</v>
      </c>
      <c r="DB4" s="228">
        <v>36.25</v>
      </c>
      <c r="DC4" s="228">
        <v>-1.44</v>
      </c>
      <c r="DD4" s="228">
        <v>-1.44</v>
      </c>
      <c r="DE4" s="228">
        <v>41.29</v>
      </c>
      <c r="DF4" s="228">
        <v>41.24</v>
      </c>
      <c r="DG4" s="228">
        <v>-6.48</v>
      </c>
      <c r="DH4" s="228">
        <v>0.05</v>
      </c>
      <c r="DI4" s="228">
        <v>34.08</v>
      </c>
      <c r="DJ4" s="228">
        <v>35.93</v>
      </c>
      <c r="DK4" s="228">
        <v>-1.85</v>
      </c>
      <c r="DL4" s="228">
        <v>-1.85</v>
      </c>
      <c r="DM4" s="228">
        <v>36.119999999999997</v>
      </c>
      <c r="DN4" s="228">
        <v>36.950000000000003</v>
      </c>
      <c r="DO4" s="228">
        <v>-0.83</v>
      </c>
      <c r="DP4" s="228">
        <v>-0.83</v>
      </c>
      <c r="DQ4" s="228">
        <v>0.87</v>
      </c>
      <c r="DR4" s="228">
        <v>0.78</v>
      </c>
      <c r="DS4" s="228">
        <v>0.09</v>
      </c>
      <c r="DT4" s="229">
        <v>0.1154</v>
      </c>
      <c r="DU4" s="228">
        <v>400</v>
      </c>
      <c r="DV4" s="228">
        <v>350</v>
      </c>
      <c r="DW4" s="228">
        <v>0.56000000000000005</v>
      </c>
      <c r="DX4" s="228">
        <v>0.45</v>
      </c>
      <c r="DY4" s="228">
        <v>0.11</v>
      </c>
      <c r="DZ4" s="229">
        <v>0.24440000000000001</v>
      </c>
      <c r="EA4" s="229">
        <v>2.4400000000000002E-2</v>
      </c>
      <c r="EB4" s="230">
        <v>948600</v>
      </c>
      <c r="EC4" s="229">
        <v>5.4000000000000003E-3</v>
      </c>
      <c r="ED4" s="229">
        <v>2.4400000000000002E-2</v>
      </c>
      <c r="EE4" s="228">
        <v>2.15</v>
      </c>
      <c r="EF4" s="229">
        <v>5.7999999999999996E-3</v>
      </c>
      <c r="EG4" s="230">
        <v>4013068</v>
      </c>
      <c r="EH4" s="230">
        <v>5765433</v>
      </c>
      <c r="EI4" s="229">
        <v>-0.3039</v>
      </c>
      <c r="EJ4" s="229">
        <v>0.44259999999999999</v>
      </c>
      <c r="EK4" s="231">
        <v>1799.27</v>
      </c>
      <c r="EL4" s="228">
        <v>918.32</v>
      </c>
      <c r="EM4" s="228">
        <v>521.05999999999995</v>
      </c>
      <c r="EN4" s="228">
        <v>73.98</v>
      </c>
      <c r="EO4" s="231">
        <v>3238.64</v>
      </c>
      <c r="EP4" s="231">
        <v>5467.58</v>
      </c>
      <c r="EQ4" s="231">
        <v>-2228.94</v>
      </c>
      <c r="ER4" s="229">
        <v>-0.40770000000000001</v>
      </c>
      <c r="ES4" s="228">
        <v>526.86</v>
      </c>
      <c r="ET4" s="228">
        <v>411.52</v>
      </c>
      <c r="EU4" s="231">
        <v>1454.31</v>
      </c>
      <c r="EV4" s="231">
        <v>123369777</v>
      </c>
      <c r="EW4" s="231">
        <v>2392.69</v>
      </c>
      <c r="EX4" s="231">
        <v>2410.59</v>
      </c>
      <c r="EY4" s="228">
        <v>-17.899999999999999</v>
      </c>
      <c r="EZ4" s="229">
        <v>-7.4000000000000003E-3</v>
      </c>
      <c r="FA4" s="229">
        <v>0.53029999999999999</v>
      </c>
      <c r="FB4" s="227" t="s">
        <v>691</v>
      </c>
      <c r="FC4">
        <f t="shared" si="0"/>
        <v>35</v>
      </c>
    </row>
    <row r="5" spans="1:159" ht="17.25" thickBot="1" x14ac:dyDescent="0.3">
      <c r="A5" s="226">
        <v>46148</v>
      </c>
      <c r="B5" s="227" t="s">
        <v>161</v>
      </c>
      <c r="C5" s="227" t="s">
        <v>578</v>
      </c>
      <c r="D5" s="228">
        <v>675</v>
      </c>
      <c r="E5" s="228">
        <v>20</v>
      </c>
      <c r="F5" s="231">
        <v>1416.8</v>
      </c>
      <c r="G5" s="231">
        <v>1418.1</v>
      </c>
      <c r="H5" s="228">
        <v>-1.3</v>
      </c>
      <c r="I5" s="229">
        <v>-8.9999999999999998E-4</v>
      </c>
      <c r="J5" s="231">
        <v>1407.3</v>
      </c>
      <c r="K5" s="231">
        <v>1409.6</v>
      </c>
      <c r="L5" s="228">
        <v>-2.2999999999999998</v>
      </c>
      <c r="M5" s="229">
        <v>-1.6000000000000001E-3</v>
      </c>
      <c r="N5" s="231">
        <v>1416.8</v>
      </c>
      <c r="O5" s="231">
        <v>1418.1</v>
      </c>
      <c r="P5" s="228">
        <v>-1.3</v>
      </c>
      <c r="Q5" s="229">
        <v>-8.9999999999999998E-4</v>
      </c>
      <c r="R5" s="231">
        <v>1422.6</v>
      </c>
      <c r="S5" s="231">
        <v>1426.6</v>
      </c>
      <c r="T5" s="228">
        <v>-4</v>
      </c>
      <c r="U5" s="229">
        <v>-2.8E-3</v>
      </c>
      <c r="V5" s="231">
        <v>1431.4</v>
      </c>
      <c r="W5" s="231">
        <v>1431.4</v>
      </c>
      <c r="X5" s="228">
        <v>0</v>
      </c>
      <c r="Y5" s="229">
        <v>0</v>
      </c>
      <c r="Z5" s="228">
        <v>9.5</v>
      </c>
      <c r="AA5" s="228">
        <v>8.5</v>
      </c>
      <c r="AB5" s="228">
        <v>1</v>
      </c>
      <c r="AC5" s="229">
        <v>6.7999999999999996E-3</v>
      </c>
      <c r="AD5" s="228">
        <v>9.5</v>
      </c>
      <c r="AE5" s="228">
        <v>8.5</v>
      </c>
      <c r="AF5" s="228">
        <v>1</v>
      </c>
      <c r="AG5" s="229">
        <v>6.7999999999999996E-3</v>
      </c>
      <c r="AH5" s="228">
        <v>15.3</v>
      </c>
      <c r="AI5" s="228">
        <v>17</v>
      </c>
      <c r="AJ5" s="228">
        <v>-1.7</v>
      </c>
      <c r="AK5" s="229">
        <v>1.09E-2</v>
      </c>
      <c r="AL5" s="228">
        <v>24.1</v>
      </c>
      <c r="AM5" s="228">
        <v>21.8</v>
      </c>
      <c r="AN5" s="228">
        <v>2.2999999999999998</v>
      </c>
      <c r="AO5" s="229">
        <v>1.7100000000000001E-2</v>
      </c>
      <c r="AP5" s="231">
        <v>1415.09</v>
      </c>
      <c r="AQ5" s="231">
        <v>1422.56</v>
      </c>
      <c r="AR5" s="228">
        <v>0</v>
      </c>
      <c r="AS5" s="228">
        <v>685</v>
      </c>
      <c r="AT5" s="228">
        <v>634</v>
      </c>
      <c r="AU5" s="228">
        <v>51</v>
      </c>
      <c r="AV5" s="229">
        <v>8.0699999999999994E-2</v>
      </c>
      <c r="AW5" s="228">
        <v>672</v>
      </c>
      <c r="AX5" s="228">
        <v>624</v>
      </c>
      <c r="AY5" s="228">
        <v>48</v>
      </c>
      <c r="AZ5" s="229">
        <v>7.6999999999999999E-2</v>
      </c>
      <c r="BA5" s="228">
        <v>14</v>
      </c>
      <c r="BB5" s="228">
        <v>10</v>
      </c>
      <c r="BC5" s="228">
        <v>4</v>
      </c>
      <c r="BD5" s="229">
        <v>0.42570000000000002</v>
      </c>
      <c r="BE5" s="228">
        <v>0</v>
      </c>
      <c r="BF5" s="228">
        <v>1</v>
      </c>
      <c r="BG5" s="228">
        <v>-1</v>
      </c>
      <c r="BH5" s="229">
        <v>-1</v>
      </c>
      <c r="BI5" s="230">
        <v>1089</v>
      </c>
      <c r="BJ5" s="230">
        <v>1122</v>
      </c>
      <c r="BK5" s="228">
        <v>-33</v>
      </c>
      <c r="BL5" s="229">
        <v>-2.93E-2</v>
      </c>
      <c r="BM5" s="228">
        <v>484</v>
      </c>
      <c r="BN5" s="228">
        <v>568</v>
      </c>
      <c r="BO5" s="228">
        <v>-84</v>
      </c>
      <c r="BP5" s="229">
        <v>-0.1482</v>
      </c>
      <c r="BQ5" s="230">
        <v>2258</v>
      </c>
      <c r="BR5" s="230">
        <v>2324</v>
      </c>
      <c r="BS5" s="228">
        <v>-66</v>
      </c>
      <c r="BT5" s="229">
        <v>-2.8400000000000002E-2</v>
      </c>
      <c r="BU5" s="230">
        <v>3233354</v>
      </c>
      <c r="BV5" s="230">
        <v>5585578</v>
      </c>
      <c r="BW5" s="230">
        <v>-2352224</v>
      </c>
      <c r="BX5" s="229">
        <v>-0.42109999999999997</v>
      </c>
      <c r="BY5" s="230">
        <v>2931</v>
      </c>
      <c r="BZ5" s="230">
        <v>2816</v>
      </c>
      <c r="CA5" s="228">
        <v>115</v>
      </c>
      <c r="CB5" s="229">
        <v>4.07E-2</v>
      </c>
      <c r="CC5" s="230">
        <v>2903</v>
      </c>
      <c r="CD5" s="230">
        <v>2791</v>
      </c>
      <c r="CE5" s="228">
        <v>111</v>
      </c>
      <c r="CF5" s="229">
        <v>3.9899999999999998E-2</v>
      </c>
      <c r="CG5" s="228">
        <v>26</v>
      </c>
      <c r="CH5" s="228">
        <v>23</v>
      </c>
      <c r="CI5" s="228">
        <v>3</v>
      </c>
      <c r="CJ5" s="229">
        <v>0.14580000000000001</v>
      </c>
      <c r="CK5" s="228">
        <v>2</v>
      </c>
      <c r="CL5" s="228">
        <v>2</v>
      </c>
      <c r="CM5" s="228">
        <v>0</v>
      </c>
      <c r="CN5" s="229">
        <v>0</v>
      </c>
      <c r="CO5" s="228">
        <v>783</v>
      </c>
      <c r="CP5" s="228">
        <v>760</v>
      </c>
      <c r="CQ5" s="228">
        <v>24</v>
      </c>
      <c r="CR5" s="229">
        <v>3.1199999999999999E-2</v>
      </c>
      <c r="CS5" s="228">
        <v>609</v>
      </c>
      <c r="CT5" s="228">
        <v>594</v>
      </c>
      <c r="CU5" s="228">
        <v>15</v>
      </c>
      <c r="CV5" s="229">
        <v>2.58E-2</v>
      </c>
      <c r="CW5" s="230">
        <v>4323</v>
      </c>
      <c r="CX5" s="230">
        <v>4170</v>
      </c>
      <c r="CY5" s="228">
        <v>154</v>
      </c>
      <c r="CZ5" s="229">
        <v>3.6900000000000002E-2</v>
      </c>
      <c r="DA5" s="228">
        <v>49.72</v>
      </c>
      <c r="DB5" s="228">
        <v>52.94</v>
      </c>
      <c r="DC5" s="228">
        <v>-3.22</v>
      </c>
      <c r="DD5" s="228">
        <v>-3.22</v>
      </c>
      <c r="DE5" s="228">
        <v>56.11</v>
      </c>
      <c r="DF5" s="228">
        <v>56.25</v>
      </c>
      <c r="DG5" s="228">
        <v>-6.39</v>
      </c>
      <c r="DH5" s="228">
        <v>-0.14000000000000001</v>
      </c>
      <c r="DI5" s="228">
        <v>49.22</v>
      </c>
      <c r="DJ5" s="228">
        <v>52.62</v>
      </c>
      <c r="DK5" s="228">
        <v>-3.4</v>
      </c>
      <c r="DL5" s="228">
        <v>-3.4</v>
      </c>
      <c r="DM5" s="228">
        <v>50.87</v>
      </c>
      <c r="DN5" s="228">
        <v>53.56</v>
      </c>
      <c r="DO5" s="228">
        <v>-2.69</v>
      </c>
      <c r="DP5" s="228">
        <v>-2.69</v>
      </c>
      <c r="DQ5" s="228">
        <v>0.78</v>
      </c>
      <c r="DR5" s="228">
        <v>0.78</v>
      </c>
      <c r="DS5" s="228">
        <v>0</v>
      </c>
      <c r="DT5" s="229">
        <v>0</v>
      </c>
      <c r="DU5" s="231">
        <v>1440</v>
      </c>
      <c r="DV5" s="231">
        <v>1200</v>
      </c>
      <c r="DW5" s="228">
        <v>0.44</v>
      </c>
      <c r="DX5" s="228">
        <v>0.51</v>
      </c>
      <c r="DY5" s="228">
        <v>-7.0000000000000007E-2</v>
      </c>
      <c r="DZ5" s="229">
        <v>-0.13730000000000001</v>
      </c>
      <c r="EA5" s="229">
        <v>9.5999999999999992E-3</v>
      </c>
      <c r="EB5" s="230">
        <v>174825</v>
      </c>
      <c r="EC5" s="229">
        <v>4.1000000000000003E-3</v>
      </c>
      <c r="ED5" s="229">
        <v>9.5999999999999992E-3</v>
      </c>
      <c r="EE5" s="228">
        <v>7.47</v>
      </c>
      <c r="EF5" s="229">
        <v>5.3E-3</v>
      </c>
      <c r="EG5" s="230">
        <v>1424288</v>
      </c>
      <c r="EH5" s="230">
        <v>3167484</v>
      </c>
      <c r="EI5" s="229">
        <v>-0.55030000000000001</v>
      </c>
      <c r="EJ5" s="229">
        <v>0.4405</v>
      </c>
      <c r="EK5" s="231">
        <v>1158.53</v>
      </c>
      <c r="EL5" s="228">
        <v>470.35</v>
      </c>
      <c r="EM5" s="228">
        <v>684.56</v>
      </c>
      <c r="EN5" s="228">
        <v>76.69</v>
      </c>
      <c r="EO5" s="231">
        <v>2313.44</v>
      </c>
      <c r="EP5" s="231">
        <v>2388.48</v>
      </c>
      <c r="EQ5" s="228">
        <v>-75.040000000000006</v>
      </c>
      <c r="ER5" s="229">
        <v>-3.1399999999999997E-2</v>
      </c>
      <c r="ES5" s="228">
        <v>779.79</v>
      </c>
      <c r="ET5" s="228">
        <v>557.23</v>
      </c>
      <c r="EU5" s="231">
        <v>2930.93</v>
      </c>
      <c r="EV5" s="231">
        <v>35196587</v>
      </c>
      <c r="EW5" s="231">
        <v>4267.95</v>
      </c>
      <c r="EX5" s="231">
        <v>4116.16</v>
      </c>
      <c r="EY5" s="228">
        <v>151.79</v>
      </c>
      <c r="EZ5" s="229">
        <v>3.6900000000000002E-2</v>
      </c>
      <c r="FA5" s="229">
        <v>0.86699999999999999</v>
      </c>
      <c r="FB5" s="227" t="s">
        <v>566</v>
      </c>
      <c r="FC5">
        <f t="shared" si="0"/>
        <v>28</v>
      </c>
    </row>
    <row r="6" spans="1:159" ht="17.25" thickBot="1" x14ac:dyDescent="0.3">
      <c r="A6" s="226">
        <v>46148</v>
      </c>
      <c r="B6" s="227" t="s">
        <v>215</v>
      </c>
      <c r="C6" s="227" t="s">
        <v>159</v>
      </c>
      <c r="D6" s="228">
        <v>309</v>
      </c>
      <c r="E6" s="228">
        <v>20</v>
      </c>
      <c r="F6" s="231">
        <v>2553.3000000000002</v>
      </c>
      <c r="G6" s="231">
        <v>2473.1999999999998</v>
      </c>
      <c r="H6" s="228">
        <v>80.099999999999994</v>
      </c>
      <c r="I6" s="229">
        <v>3.2399999999999998E-2</v>
      </c>
      <c r="J6" s="231">
        <v>2540.3000000000002</v>
      </c>
      <c r="K6" s="231">
        <v>2462</v>
      </c>
      <c r="L6" s="228">
        <v>78.3</v>
      </c>
      <c r="M6" s="229">
        <v>3.1800000000000002E-2</v>
      </c>
      <c r="N6" s="231">
        <v>2553.3000000000002</v>
      </c>
      <c r="O6" s="231">
        <v>2473.1999999999998</v>
      </c>
      <c r="P6" s="228">
        <v>80.099999999999994</v>
      </c>
      <c r="Q6" s="229">
        <v>3.2399999999999998E-2</v>
      </c>
      <c r="R6" s="231">
        <v>2568.6</v>
      </c>
      <c r="S6" s="231">
        <v>2489</v>
      </c>
      <c r="T6" s="228">
        <v>79.599999999999994</v>
      </c>
      <c r="U6" s="229">
        <v>3.2000000000000001E-2</v>
      </c>
      <c r="V6" s="231">
        <v>2581.4</v>
      </c>
      <c r="W6" s="231">
        <v>2499.9</v>
      </c>
      <c r="X6" s="228">
        <v>81.5</v>
      </c>
      <c r="Y6" s="229">
        <v>3.2599999999999997E-2</v>
      </c>
      <c r="Z6" s="228">
        <v>13</v>
      </c>
      <c r="AA6" s="228">
        <v>11.2</v>
      </c>
      <c r="AB6" s="228">
        <v>1.8</v>
      </c>
      <c r="AC6" s="229">
        <v>5.1000000000000004E-3</v>
      </c>
      <c r="AD6" s="228">
        <v>13</v>
      </c>
      <c r="AE6" s="228">
        <v>11.2</v>
      </c>
      <c r="AF6" s="228">
        <v>1.8</v>
      </c>
      <c r="AG6" s="229">
        <v>5.1000000000000004E-3</v>
      </c>
      <c r="AH6" s="228">
        <v>28.3</v>
      </c>
      <c r="AI6" s="228">
        <v>27</v>
      </c>
      <c r="AJ6" s="228">
        <v>1.3</v>
      </c>
      <c r="AK6" s="229">
        <v>1.11E-2</v>
      </c>
      <c r="AL6" s="228">
        <v>41.1</v>
      </c>
      <c r="AM6" s="228">
        <v>37.9</v>
      </c>
      <c r="AN6" s="228">
        <v>3.2</v>
      </c>
      <c r="AO6" s="229">
        <v>1.6199999999999999E-2</v>
      </c>
      <c r="AP6" s="231">
        <v>2526.41</v>
      </c>
      <c r="AQ6" s="231">
        <v>2539.9699999999998</v>
      </c>
      <c r="AR6" s="228">
        <v>0</v>
      </c>
      <c r="AS6" s="230">
        <v>1192</v>
      </c>
      <c r="AT6" s="228">
        <v>654</v>
      </c>
      <c r="AU6" s="228">
        <v>538</v>
      </c>
      <c r="AV6" s="229">
        <v>0.82189999999999996</v>
      </c>
      <c r="AW6" s="230">
        <v>1140</v>
      </c>
      <c r="AX6" s="228">
        <v>628</v>
      </c>
      <c r="AY6" s="228">
        <v>512</v>
      </c>
      <c r="AZ6" s="229">
        <v>0.81420000000000003</v>
      </c>
      <c r="BA6" s="228">
        <v>44</v>
      </c>
      <c r="BB6" s="228">
        <v>21</v>
      </c>
      <c r="BC6" s="228">
        <v>22</v>
      </c>
      <c r="BD6" s="229">
        <v>1.0633999999999999</v>
      </c>
      <c r="BE6" s="228">
        <v>9</v>
      </c>
      <c r="BF6" s="228">
        <v>5</v>
      </c>
      <c r="BG6" s="228">
        <v>4</v>
      </c>
      <c r="BH6" s="229">
        <v>0.77049999999999996</v>
      </c>
      <c r="BI6" s="230">
        <v>3936</v>
      </c>
      <c r="BJ6" s="230">
        <v>1716</v>
      </c>
      <c r="BK6" s="230">
        <v>2220</v>
      </c>
      <c r="BL6" s="229">
        <v>1.2937000000000001</v>
      </c>
      <c r="BM6" s="230">
        <v>2248</v>
      </c>
      <c r="BN6" s="230">
        <v>1229</v>
      </c>
      <c r="BO6" s="230">
        <v>1020</v>
      </c>
      <c r="BP6" s="229">
        <v>0.83</v>
      </c>
      <c r="BQ6" s="230">
        <v>7377</v>
      </c>
      <c r="BR6" s="230">
        <v>3599</v>
      </c>
      <c r="BS6" s="230">
        <v>3778</v>
      </c>
      <c r="BT6" s="229">
        <v>1.0497000000000001</v>
      </c>
      <c r="BU6" s="230">
        <v>3516623</v>
      </c>
      <c r="BV6" s="230">
        <v>1735079</v>
      </c>
      <c r="BW6" s="230">
        <v>1781544</v>
      </c>
      <c r="BX6" s="229">
        <v>1.0267999999999999</v>
      </c>
      <c r="BY6" s="230">
        <v>5036</v>
      </c>
      <c r="BZ6" s="230">
        <v>5094</v>
      </c>
      <c r="CA6" s="228">
        <v>-59</v>
      </c>
      <c r="CB6" s="229">
        <v>-1.15E-2</v>
      </c>
      <c r="CC6" s="230">
        <v>4917</v>
      </c>
      <c r="CD6" s="230">
        <v>4979</v>
      </c>
      <c r="CE6" s="228">
        <v>-62</v>
      </c>
      <c r="CF6" s="229">
        <v>-1.2500000000000001E-2</v>
      </c>
      <c r="CG6" s="228">
        <v>111</v>
      </c>
      <c r="CH6" s="228">
        <v>108</v>
      </c>
      <c r="CI6" s="228">
        <v>3</v>
      </c>
      <c r="CJ6" s="229">
        <v>0.03</v>
      </c>
      <c r="CK6" s="228">
        <v>8</v>
      </c>
      <c r="CL6" s="228">
        <v>7</v>
      </c>
      <c r="CM6" s="228">
        <v>0</v>
      </c>
      <c r="CN6" s="229">
        <v>2.1100000000000001E-2</v>
      </c>
      <c r="CO6" s="230">
        <v>1864</v>
      </c>
      <c r="CP6" s="230">
        <v>1938</v>
      </c>
      <c r="CQ6" s="228">
        <v>-73</v>
      </c>
      <c r="CR6" s="229">
        <v>-3.78E-2</v>
      </c>
      <c r="CS6" s="230">
        <v>1567</v>
      </c>
      <c r="CT6" s="230">
        <v>1429</v>
      </c>
      <c r="CU6" s="228">
        <v>138</v>
      </c>
      <c r="CV6" s="229">
        <v>9.6299999999999997E-2</v>
      </c>
      <c r="CW6" s="230">
        <v>8467</v>
      </c>
      <c r="CX6" s="230">
        <v>8461</v>
      </c>
      <c r="CY6" s="228">
        <v>6</v>
      </c>
      <c r="CZ6" s="229">
        <v>6.9999999999999999E-4</v>
      </c>
      <c r="DA6" s="228">
        <v>37.36</v>
      </c>
      <c r="DB6" s="228">
        <v>40.229999999999997</v>
      </c>
      <c r="DC6" s="228">
        <v>-2.87</v>
      </c>
      <c r="DD6" s="228">
        <v>-2.87</v>
      </c>
      <c r="DE6" s="228">
        <v>48.92</v>
      </c>
      <c r="DF6" s="228">
        <v>48.85</v>
      </c>
      <c r="DG6" s="228">
        <v>-11.56</v>
      </c>
      <c r="DH6" s="228">
        <v>7.0000000000000007E-2</v>
      </c>
      <c r="DI6" s="228">
        <v>35.86</v>
      </c>
      <c r="DJ6" s="228">
        <v>38.85</v>
      </c>
      <c r="DK6" s="228">
        <v>-2.99</v>
      </c>
      <c r="DL6" s="228">
        <v>-2.99</v>
      </c>
      <c r="DM6" s="228">
        <v>40</v>
      </c>
      <c r="DN6" s="228">
        <v>42.16</v>
      </c>
      <c r="DO6" s="228">
        <v>-2.16</v>
      </c>
      <c r="DP6" s="228">
        <v>-2.16</v>
      </c>
      <c r="DQ6" s="228">
        <v>0.84</v>
      </c>
      <c r="DR6" s="228">
        <v>0.74</v>
      </c>
      <c r="DS6" s="228">
        <v>0.1</v>
      </c>
      <c r="DT6" s="229">
        <v>0.1351</v>
      </c>
      <c r="DU6" s="231">
        <v>2500</v>
      </c>
      <c r="DV6" s="231">
        <v>2500</v>
      </c>
      <c r="DW6" s="228">
        <v>0.56999999999999995</v>
      </c>
      <c r="DX6" s="228">
        <v>0.72</v>
      </c>
      <c r="DY6" s="228">
        <v>-0.15</v>
      </c>
      <c r="DZ6" s="229">
        <v>-0.20830000000000001</v>
      </c>
      <c r="EA6" s="229">
        <v>2.35E-2</v>
      </c>
      <c r="EB6" s="230">
        <v>451140</v>
      </c>
      <c r="EC6" s="229">
        <v>6.0000000000000001E-3</v>
      </c>
      <c r="ED6" s="229">
        <v>2.35E-2</v>
      </c>
      <c r="EE6" s="228">
        <v>13.56</v>
      </c>
      <c r="EF6" s="229">
        <v>5.4000000000000003E-3</v>
      </c>
      <c r="EG6" s="230">
        <v>1307265</v>
      </c>
      <c r="EH6" s="230">
        <v>342962</v>
      </c>
      <c r="EI6" s="229">
        <v>2.8117000000000001</v>
      </c>
      <c r="EJ6" s="229">
        <v>0.37169999999999997</v>
      </c>
      <c r="EK6" s="231">
        <v>4056.12</v>
      </c>
      <c r="EL6" s="231">
        <v>2163.77</v>
      </c>
      <c r="EM6" s="231">
        <v>1179.99</v>
      </c>
      <c r="EN6" s="228">
        <v>175.85</v>
      </c>
      <c r="EO6" s="231">
        <v>7399.88</v>
      </c>
      <c r="EP6" s="231">
        <v>3536.52</v>
      </c>
      <c r="EQ6" s="231">
        <v>3863.37</v>
      </c>
      <c r="ER6" s="229">
        <v>1.0924</v>
      </c>
      <c r="ES6" s="231">
        <v>1804.47</v>
      </c>
      <c r="ET6" s="231">
        <v>1433.68</v>
      </c>
      <c r="EU6" s="231">
        <v>5036.2700000000004</v>
      </c>
      <c r="EV6" s="231">
        <v>33645895</v>
      </c>
      <c r="EW6" s="231">
        <v>8274.42</v>
      </c>
      <c r="EX6" s="231">
        <v>8098.3</v>
      </c>
      <c r="EY6" s="228">
        <v>176.12</v>
      </c>
      <c r="EZ6" s="229">
        <v>2.1700000000000001E-2</v>
      </c>
      <c r="FA6" s="229">
        <v>0.98550000000000004</v>
      </c>
      <c r="FB6" s="227" t="s">
        <v>691</v>
      </c>
      <c r="FC6">
        <f t="shared" si="0"/>
        <v>119</v>
      </c>
    </row>
    <row r="7" spans="1:159" ht="17.25" thickBot="1" x14ac:dyDescent="0.3">
      <c r="A7" s="226">
        <v>46148</v>
      </c>
      <c r="B7" s="227" t="s">
        <v>161</v>
      </c>
      <c r="C7" s="227" t="s">
        <v>605</v>
      </c>
      <c r="D7" s="228">
        <v>600</v>
      </c>
      <c r="E7" s="228">
        <v>20</v>
      </c>
      <c r="F7" s="231">
        <v>1362.2</v>
      </c>
      <c r="G7" s="231">
        <v>1336.9</v>
      </c>
      <c r="H7" s="228">
        <v>25.3</v>
      </c>
      <c r="I7" s="229">
        <v>1.89E-2</v>
      </c>
      <c r="J7" s="231">
        <v>1353</v>
      </c>
      <c r="K7" s="231">
        <v>1331.4</v>
      </c>
      <c r="L7" s="228">
        <v>21.6</v>
      </c>
      <c r="M7" s="229">
        <v>1.6199999999999999E-2</v>
      </c>
      <c r="N7" s="231">
        <v>1362.2</v>
      </c>
      <c r="O7" s="231">
        <v>1336.9</v>
      </c>
      <c r="P7" s="228">
        <v>25.3</v>
      </c>
      <c r="Q7" s="229">
        <v>1.89E-2</v>
      </c>
      <c r="R7" s="231">
        <v>1369</v>
      </c>
      <c r="S7" s="231">
        <v>1344.6</v>
      </c>
      <c r="T7" s="228">
        <v>24.4</v>
      </c>
      <c r="U7" s="229">
        <v>1.8100000000000002E-2</v>
      </c>
      <c r="V7" s="231">
        <v>1376.9</v>
      </c>
      <c r="W7" s="231">
        <v>1349.4</v>
      </c>
      <c r="X7" s="228">
        <v>27.5</v>
      </c>
      <c r="Y7" s="229">
        <v>2.0400000000000001E-2</v>
      </c>
      <c r="Z7" s="228">
        <v>9.1999999999999993</v>
      </c>
      <c r="AA7" s="228">
        <v>5.5</v>
      </c>
      <c r="AB7" s="228">
        <v>3.7</v>
      </c>
      <c r="AC7" s="229">
        <v>6.7999999999999996E-3</v>
      </c>
      <c r="AD7" s="228">
        <v>9.1999999999999993</v>
      </c>
      <c r="AE7" s="228">
        <v>5.5</v>
      </c>
      <c r="AF7" s="228">
        <v>3.7</v>
      </c>
      <c r="AG7" s="229">
        <v>6.7999999999999996E-3</v>
      </c>
      <c r="AH7" s="228">
        <v>16</v>
      </c>
      <c r="AI7" s="228">
        <v>13.2</v>
      </c>
      <c r="AJ7" s="228">
        <v>2.8</v>
      </c>
      <c r="AK7" s="229">
        <v>1.18E-2</v>
      </c>
      <c r="AL7" s="228">
        <v>23.9</v>
      </c>
      <c r="AM7" s="228">
        <v>18</v>
      </c>
      <c r="AN7" s="228">
        <v>5.9</v>
      </c>
      <c r="AO7" s="229">
        <v>1.77E-2</v>
      </c>
      <c r="AP7" s="231">
        <v>1349.96</v>
      </c>
      <c r="AQ7" s="231">
        <v>1356.62</v>
      </c>
      <c r="AR7" s="228">
        <v>0</v>
      </c>
      <c r="AS7" s="228">
        <v>625</v>
      </c>
      <c r="AT7" s="228">
        <v>616</v>
      </c>
      <c r="AU7" s="228">
        <v>10</v>
      </c>
      <c r="AV7" s="229">
        <v>1.55E-2</v>
      </c>
      <c r="AW7" s="228">
        <v>597</v>
      </c>
      <c r="AX7" s="228">
        <v>590</v>
      </c>
      <c r="AY7" s="228">
        <v>7</v>
      </c>
      <c r="AZ7" s="229">
        <v>1.2200000000000001E-2</v>
      </c>
      <c r="BA7" s="228">
        <v>22</v>
      </c>
      <c r="BB7" s="228">
        <v>21</v>
      </c>
      <c r="BC7" s="228">
        <v>0</v>
      </c>
      <c r="BD7" s="229">
        <v>2.29E-2</v>
      </c>
      <c r="BE7" s="228">
        <v>6</v>
      </c>
      <c r="BF7" s="228">
        <v>4</v>
      </c>
      <c r="BG7" s="228">
        <v>2</v>
      </c>
      <c r="BH7" s="229">
        <v>0.4259</v>
      </c>
      <c r="BI7" s="230">
        <v>2025</v>
      </c>
      <c r="BJ7" s="230">
        <v>2207</v>
      </c>
      <c r="BK7" s="228">
        <v>-182</v>
      </c>
      <c r="BL7" s="229">
        <v>-8.2400000000000001E-2</v>
      </c>
      <c r="BM7" s="228">
        <v>856</v>
      </c>
      <c r="BN7" s="228">
        <v>949</v>
      </c>
      <c r="BO7" s="228">
        <v>-93</v>
      </c>
      <c r="BP7" s="229">
        <v>-9.7799999999999998E-2</v>
      </c>
      <c r="BQ7" s="230">
        <v>3506</v>
      </c>
      <c r="BR7" s="230">
        <v>3771</v>
      </c>
      <c r="BS7" s="228">
        <v>-265</v>
      </c>
      <c r="BT7" s="229">
        <v>-7.0300000000000001E-2</v>
      </c>
      <c r="BU7" s="230">
        <v>4688331</v>
      </c>
      <c r="BV7" s="230">
        <v>5012565</v>
      </c>
      <c r="BW7" s="230">
        <v>-324234</v>
      </c>
      <c r="BX7" s="229">
        <v>-6.4699999999999994E-2</v>
      </c>
      <c r="BY7" s="230">
        <v>2985</v>
      </c>
      <c r="BZ7" s="230">
        <v>2955</v>
      </c>
      <c r="CA7" s="228">
        <v>30</v>
      </c>
      <c r="CB7" s="229">
        <v>1.0200000000000001E-2</v>
      </c>
      <c r="CC7" s="230">
        <v>2945</v>
      </c>
      <c r="CD7" s="230">
        <v>2916</v>
      </c>
      <c r="CE7" s="228">
        <v>29</v>
      </c>
      <c r="CF7" s="229">
        <v>9.7999999999999997E-3</v>
      </c>
      <c r="CG7" s="228">
        <v>35</v>
      </c>
      <c r="CH7" s="228">
        <v>36</v>
      </c>
      <c r="CI7" s="228">
        <v>-1</v>
      </c>
      <c r="CJ7" s="229">
        <v>-2.0500000000000001E-2</v>
      </c>
      <c r="CK7" s="228">
        <v>5</v>
      </c>
      <c r="CL7" s="228">
        <v>3</v>
      </c>
      <c r="CM7" s="228">
        <v>2</v>
      </c>
      <c r="CN7" s="229">
        <v>0.72970000000000002</v>
      </c>
      <c r="CO7" s="230">
        <v>1069</v>
      </c>
      <c r="CP7" s="228">
        <v>980</v>
      </c>
      <c r="CQ7" s="228">
        <v>89</v>
      </c>
      <c r="CR7" s="229">
        <v>9.11E-2</v>
      </c>
      <c r="CS7" s="228">
        <v>767</v>
      </c>
      <c r="CT7" s="228">
        <v>711</v>
      </c>
      <c r="CU7" s="228">
        <v>56</v>
      </c>
      <c r="CV7" s="229">
        <v>7.9000000000000001E-2</v>
      </c>
      <c r="CW7" s="230">
        <v>4821</v>
      </c>
      <c r="CX7" s="230">
        <v>4646</v>
      </c>
      <c r="CY7" s="228">
        <v>176</v>
      </c>
      <c r="CZ7" s="229">
        <v>3.78E-2</v>
      </c>
      <c r="DA7" s="228">
        <v>46.84</v>
      </c>
      <c r="DB7" s="228">
        <v>49.61</v>
      </c>
      <c r="DC7" s="228">
        <v>-2.77</v>
      </c>
      <c r="DD7" s="228">
        <v>-2.77</v>
      </c>
      <c r="DE7" s="228">
        <v>58.55</v>
      </c>
      <c r="DF7" s="228">
        <v>58.64</v>
      </c>
      <c r="DG7" s="228">
        <v>-11.71</v>
      </c>
      <c r="DH7" s="228">
        <v>-0.09</v>
      </c>
      <c r="DI7" s="228">
        <v>46.5</v>
      </c>
      <c r="DJ7" s="228">
        <v>49.35</v>
      </c>
      <c r="DK7" s="228">
        <v>-2.85</v>
      </c>
      <c r="DL7" s="228">
        <v>-2.85</v>
      </c>
      <c r="DM7" s="228">
        <v>47.65</v>
      </c>
      <c r="DN7" s="228">
        <v>50.23</v>
      </c>
      <c r="DO7" s="228">
        <v>-2.58</v>
      </c>
      <c r="DP7" s="228">
        <v>-2.58</v>
      </c>
      <c r="DQ7" s="228">
        <v>0.72</v>
      </c>
      <c r="DR7" s="228">
        <v>0.72</v>
      </c>
      <c r="DS7" s="228">
        <v>0</v>
      </c>
      <c r="DT7" s="229">
        <v>0</v>
      </c>
      <c r="DU7" s="231">
        <v>1300</v>
      </c>
      <c r="DV7" s="231">
        <v>1200</v>
      </c>
      <c r="DW7" s="228">
        <v>0.42</v>
      </c>
      <c r="DX7" s="228">
        <v>0.43</v>
      </c>
      <c r="DY7" s="228">
        <v>-0.01</v>
      </c>
      <c r="DZ7" s="229">
        <v>-2.3300000000000001E-2</v>
      </c>
      <c r="EA7" s="229">
        <v>1.35E-2</v>
      </c>
      <c r="EB7" s="230">
        <v>285000</v>
      </c>
      <c r="EC7" s="229">
        <v>5.0000000000000001E-3</v>
      </c>
      <c r="ED7" s="229">
        <v>1.35E-2</v>
      </c>
      <c r="EE7" s="228">
        <v>6.66</v>
      </c>
      <c r="EF7" s="229">
        <v>4.8999999999999998E-3</v>
      </c>
      <c r="EG7" s="230">
        <v>1030496</v>
      </c>
      <c r="EH7" s="230">
        <v>1239262</v>
      </c>
      <c r="EI7" s="229">
        <v>-0.16850000000000001</v>
      </c>
      <c r="EJ7" s="229">
        <v>0.2198</v>
      </c>
      <c r="EK7" s="231">
        <v>2106.16</v>
      </c>
      <c r="EL7" s="228">
        <v>824.99</v>
      </c>
      <c r="EM7" s="228">
        <v>619.69000000000005</v>
      </c>
      <c r="EN7" s="228">
        <v>71.52</v>
      </c>
      <c r="EO7" s="231">
        <v>3550.84</v>
      </c>
      <c r="EP7" s="231">
        <v>3761.89</v>
      </c>
      <c r="EQ7" s="228">
        <v>-211.05</v>
      </c>
      <c r="ER7" s="229">
        <v>-5.6099999999999997E-2</v>
      </c>
      <c r="ES7" s="231">
        <v>1018.3</v>
      </c>
      <c r="ET7" s="228">
        <v>683.3</v>
      </c>
      <c r="EU7" s="231">
        <v>2985.41</v>
      </c>
      <c r="EV7" s="231">
        <v>64724093</v>
      </c>
      <c r="EW7" s="231">
        <v>4687.01</v>
      </c>
      <c r="EX7" s="231">
        <v>4449.4399999999996</v>
      </c>
      <c r="EY7" s="228">
        <v>237.57</v>
      </c>
      <c r="EZ7" s="229">
        <v>5.3400000000000003E-2</v>
      </c>
      <c r="FA7" s="229">
        <v>0.54679999999999995</v>
      </c>
      <c r="FB7" s="227" t="s">
        <v>555</v>
      </c>
      <c r="FC7">
        <f t="shared" si="0"/>
        <v>40</v>
      </c>
    </row>
    <row r="8" spans="1:159" ht="17.25" thickBot="1" x14ac:dyDescent="0.3">
      <c r="A8" s="226">
        <v>46148</v>
      </c>
      <c r="B8" s="227" t="s">
        <v>215</v>
      </c>
      <c r="C8" s="227" t="s">
        <v>160</v>
      </c>
      <c r="D8" s="228">
        <v>475</v>
      </c>
      <c r="E8" s="228">
        <v>20</v>
      </c>
      <c r="F8" s="231">
        <v>1758.1</v>
      </c>
      <c r="G8" s="231">
        <v>1730.8</v>
      </c>
      <c r="H8" s="228">
        <v>27.3</v>
      </c>
      <c r="I8" s="229">
        <v>1.5800000000000002E-2</v>
      </c>
      <c r="J8" s="231">
        <v>1748.3</v>
      </c>
      <c r="K8" s="231">
        <v>1725</v>
      </c>
      <c r="L8" s="228">
        <v>23.3</v>
      </c>
      <c r="M8" s="229">
        <v>1.35E-2</v>
      </c>
      <c r="N8" s="231">
        <v>1758.1</v>
      </c>
      <c r="O8" s="231">
        <v>1730.8</v>
      </c>
      <c r="P8" s="228">
        <v>27.3</v>
      </c>
      <c r="Q8" s="229">
        <v>1.5800000000000002E-2</v>
      </c>
      <c r="R8" s="231">
        <v>1763.6</v>
      </c>
      <c r="S8" s="231">
        <v>1734.9</v>
      </c>
      <c r="T8" s="228">
        <v>28.7</v>
      </c>
      <c r="U8" s="229">
        <v>1.6500000000000001E-2</v>
      </c>
      <c r="V8" s="231">
        <v>1769.7</v>
      </c>
      <c r="W8" s="231">
        <v>1745.2</v>
      </c>
      <c r="X8" s="228">
        <v>24.5</v>
      </c>
      <c r="Y8" s="229">
        <v>1.4E-2</v>
      </c>
      <c r="Z8" s="228">
        <v>9.8000000000000007</v>
      </c>
      <c r="AA8" s="228">
        <v>5.8</v>
      </c>
      <c r="AB8" s="228">
        <v>4</v>
      </c>
      <c r="AC8" s="229">
        <v>5.5999999999999999E-3</v>
      </c>
      <c r="AD8" s="228">
        <v>9.8000000000000007</v>
      </c>
      <c r="AE8" s="228">
        <v>5.8</v>
      </c>
      <c r="AF8" s="228">
        <v>4</v>
      </c>
      <c r="AG8" s="229">
        <v>5.5999999999999999E-3</v>
      </c>
      <c r="AH8" s="228">
        <v>15.3</v>
      </c>
      <c r="AI8" s="228">
        <v>9.9</v>
      </c>
      <c r="AJ8" s="228">
        <v>5.4</v>
      </c>
      <c r="AK8" s="229">
        <v>8.8000000000000005E-3</v>
      </c>
      <c r="AL8" s="228">
        <v>21.4</v>
      </c>
      <c r="AM8" s="228">
        <v>20.2</v>
      </c>
      <c r="AN8" s="228">
        <v>1.2</v>
      </c>
      <c r="AO8" s="229">
        <v>1.2200000000000001E-2</v>
      </c>
      <c r="AP8" s="231">
        <v>1751.67</v>
      </c>
      <c r="AQ8" s="231">
        <v>1756.78</v>
      </c>
      <c r="AR8" s="228">
        <v>0</v>
      </c>
      <c r="AS8" s="228">
        <v>681</v>
      </c>
      <c r="AT8" s="228">
        <v>794</v>
      </c>
      <c r="AU8" s="228">
        <v>-113</v>
      </c>
      <c r="AV8" s="229">
        <v>-0.1421</v>
      </c>
      <c r="AW8" s="228">
        <v>643</v>
      </c>
      <c r="AX8" s="228">
        <v>760</v>
      </c>
      <c r="AY8" s="228">
        <v>-117</v>
      </c>
      <c r="AZ8" s="229">
        <v>-0.1545</v>
      </c>
      <c r="BA8" s="228">
        <v>35</v>
      </c>
      <c r="BB8" s="228">
        <v>29</v>
      </c>
      <c r="BC8" s="228">
        <v>5</v>
      </c>
      <c r="BD8" s="229">
        <v>0.17280000000000001</v>
      </c>
      <c r="BE8" s="228">
        <v>4</v>
      </c>
      <c r="BF8" s="228">
        <v>4</v>
      </c>
      <c r="BG8" s="228">
        <v>-1</v>
      </c>
      <c r="BH8" s="229">
        <v>-0.1132</v>
      </c>
      <c r="BI8" s="230">
        <v>2386</v>
      </c>
      <c r="BJ8" s="230">
        <v>3041</v>
      </c>
      <c r="BK8" s="228">
        <v>-656</v>
      </c>
      <c r="BL8" s="229">
        <v>-0.21560000000000001</v>
      </c>
      <c r="BM8" s="230">
        <v>1386</v>
      </c>
      <c r="BN8" s="230">
        <v>1708</v>
      </c>
      <c r="BO8" s="228">
        <v>-322</v>
      </c>
      <c r="BP8" s="229">
        <v>-0.1885</v>
      </c>
      <c r="BQ8" s="230">
        <v>4453</v>
      </c>
      <c r="BR8" s="230">
        <v>5543</v>
      </c>
      <c r="BS8" s="230">
        <v>-1090</v>
      </c>
      <c r="BT8" s="229">
        <v>-0.19670000000000001</v>
      </c>
      <c r="BU8" s="230">
        <v>3252249</v>
      </c>
      <c r="BV8" s="230">
        <v>4752423</v>
      </c>
      <c r="BW8" s="230">
        <v>-1500174</v>
      </c>
      <c r="BX8" s="229">
        <v>-0.31569999999999998</v>
      </c>
      <c r="BY8" s="230">
        <v>3875</v>
      </c>
      <c r="BZ8" s="230">
        <v>3870</v>
      </c>
      <c r="CA8" s="228">
        <v>5</v>
      </c>
      <c r="CB8" s="229">
        <v>1.4E-3</v>
      </c>
      <c r="CC8" s="230">
        <v>3677</v>
      </c>
      <c r="CD8" s="230">
        <v>3682</v>
      </c>
      <c r="CE8" s="228">
        <v>-5</v>
      </c>
      <c r="CF8" s="229">
        <v>-1.4E-3</v>
      </c>
      <c r="CG8" s="228">
        <v>187</v>
      </c>
      <c r="CH8" s="228">
        <v>177</v>
      </c>
      <c r="CI8" s="228">
        <v>10</v>
      </c>
      <c r="CJ8" s="229">
        <v>5.7700000000000001E-2</v>
      </c>
      <c r="CK8" s="228">
        <v>11</v>
      </c>
      <c r="CL8" s="228">
        <v>11</v>
      </c>
      <c r="CM8" s="228">
        <v>0</v>
      </c>
      <c r="CN8" s="229">
        <v>1.52E-2</v>
      </c>
      <c r="CO8" s="230">
        <v>1514</v>
      </c>
      <c r="CP8" s="230">
        <v>1530</v>
      </c>
      <c r="CQ8" s="228">
        <v>-16</v>
      </c>
      <c r="CR8" s="229">
        <v>-1.0699999999999999E-2</v>
      </c>
      <c r="CS8" s="230">
        <v>1192</v>
      </c>
      <c r="CT8" s="230">
        <v>1168</v>
      </c>
      <c r="CU8" s="228">
        <v>24</v>
      </c>
      <c r="CV8" s="229">
        <v>2.0799999999999999E-2</v>
      </c>
      <c r="CW8" s="230">
        <v>6581</v>
      </c>
      <c r="CX8" s="230">
        <v>6568</v>
      </c>
      <c r="CY8" s="228">
        <v>13</v>
      </c>
      <c r="CZ8" s="229">
        <v>2E-3</v>
      </c>
      <c r="DA8" s="228">
        <v>31.12</v>
      </c>
      <c r="DB8" s="228">
        <v>32.26</v>
      </c>
      <c r="DC8" s="228">
        <v>-1.1399999999999999</v>
      </c>
      <c r="DD8" s="228">
        <v>-1.1399999999999999</v>
      </c>
      <c r="DE8" s="228">
        <v>40.03</v>
      </c>
      <c r="DF8" s="228">
        <v>40.090000000000003</v>
      </c>
      <c r="DG8" s="228">
        <v>-8.91</v>
      </c>
      <c r="DH8" s="228">
        <v>-0.06</v>
      </c>
      <c r="DI8" s="228">
        <v>30.25</v>
      </c>
      <c r="DJ8" s="228">
        <v>31.58</v>
      </c>
      <c r="DK8" s="228">
        <v>-1.33</v>
      </c>
      <c r="DL8" s="228">
        <v>-1.33</v>
      </c>
      <c r="DM8" s="228">
        <v>32.630000000000003</v>
      </c>
      <c r="DN8" s="228">
        <v>33.450000000000003</v>
      </c>
      <c r="DO8" s="228">
        <v>-0.82</v>
      </c>
      <c r="DP8" s="228">
        <v>-0.82</v>
      </c>
      <c r="DQ8" s="228">
        <v>0.79</v>
      </c>
      <c r="DR8" s="228">
        <v>0.76</v>
      </c>
      <c r="DS8" s="228">
        <v>0.03</v>
      </c>
      <c r="DT8" s="229">
        <v>3.95E-2</v>
      </c>
      <c r="DU8" s="231">
        <v>1800</v>
      </c>
      <c r="DV8" s="231">
        <v>1600</v>
      </c>
      <c r="DW8" s="228">
        <v>0.57999999999999996</v>
      </c>
      <c r="DX8" s="228">
        <v>0.56000000000000005</v>
      </c>
      <c r="DY8" s="228">
        <v>0.02</v>
      </c>
      <c r="DZ8" s="229">
        <v>3.5700000000000003E-2</v>
      </c>
      <c r="EA8" s="229">
        <v>5.11E-2</v>
      </c>
      <c r="EB8" s="230">
        <v>1067325</v>
      </c>
      <c r="EC8" s="229">
        <v>3.0999999999999999E-3</v>
      </c>
      <c r="ED8" s="229">
        <v>5.11E-2</v>
      </c>
      <c r="EE8" s="228">
        <v>5.1100000000000003</v>
      </c>
      <c r="EF8" s="229">
        <v>2.8999999999999998E-3</v>
      </c>
      <c r="EG8" s="230">
        <v>1378443</v>
      </c>
      <c r="EH8" s="230">
        <v>1847777</v>
      </c>
      <c r="EI8" s="229">
        <v>-0.254</v>
      </c>
      <c r="EJ8" s="229">
        <v>0.42380000000000001</v>
      </c>
      <c r="EK8" s="231">
        <v>2485.06</v>
      </c>
      <c r="EL8" s="231">
        <v>1340.34</v>
      </c>
      <c r="EM8" s="228">
        <v>678.83</v>
      </c>
      <c r="EN8" s="228">
        <v>145.53</v>
      </c>
      <c r="EO8" s="231">
        <v>4504.2299999999996</v>
      </c>
      <c r="EP8" s="231">
        <v>5601.32</v>
      </c>
      <c r="EQ8" s="231">
        <v>-1097.08</v>
      </c>
      <c r="ER8" s="229">
        <v>-0.19589999999999999</v>
      </c>
      <c r="ES8" s="231">
        <v>1488.49</v>
      </c>
      <c r="ET8" s="231">
        <v>1087.58</v>
      </c>
      <c r="EU8" s="231">
        <v>3875.84</v>
      </c>
      <c r="EV8" s="231">
        <v>88142691</v>
      </c>
      <c r="EW8" s="231">
        <v>6451.92</v>
      </c>
      <c r="EX8" s="231">
        <v>6369.75</v>
      </c>
      <c r="EY8" s="228">
        <v>82.17</v>
      </c>
      <c r="EZ8" s="229">
        <v>1.29E-2</v>
      </c>
      <c r="FA8" s="229">
        <v>0.42470000000000002</v>
      </c>
      <c r="FB8" s="227" t="s">
        <v>555</v>
      </c>
      <c r="FC8">
        <f t="shared" si="0"/>
        <v>198</v>
      </c>
    </row>
    <row r="9" spans="1:159" ht="17.25" thickBot="1" x14ac:dyDescent="0.3">
      <c r="A9" s="226">
        <v>46148</v>
      </c>
      <c r="B9" s="227" t="s">
        <v>161</v>
      </c>
      <c r="C9" s="227" t="s">
        <v>693</v>
      </c>
      <c r="D9" s="228">
        <v>3550</v>
      </c>
      <c r="E9" s="228">
        <v>20</v>
      </c>
      <c r="F9" s="228">
        <v>230.63</v>
      </c>
      <c r="G9" s="228">
        <v>230.57</v>
      </c>
      <c r="H9" s="228">
        <v>0.06</v>
      </c>
      <c r="I9" s="229">
        <v>2.9999999999999997E-4</v>
      </c>
      <c r="J9" s="228">
        <v>229.12</v>
      </c>
      <c r="K9" s="228">
        <v>229.96</v>
      </c>
      <c r="L9" s="228">
        <v>-0.84</v>
      </c>
      <c r="M9" s="229">
        <v>-3.7000000000000002E-3</v>
      </c>
      <c r="N9" s="228">
        <v>230.63</v>
      </c>
      <c r="O9" s="228">
        <v>230.57</v>
      </c>
      <c r="P9" s="228">
        <v>0.06</v>
      </c>
      <c r="Q9" s="229">
        <v>2.9999999999999997E-4</v>
      </c>
      <c r="R9" s="228">
        <v>231.39</v>
      </c>
      <c r="S9" s="228">
        <v>231.53</v>
      </c>
      <c r="T9" s="228">
        <v>-0.14000000000000001</v>
      </c>
      <c r="U9" s="229">
        <v>-5.9999999999999995E-4</v>
      </c>
      <c r="V9" s="228">
        <v>232.57</v>
      </c>
      <c r="W9" s="228">
        <v>232.63</v>
      </c>
      <c r="X9" s="228">
        <v>-0.06</v>
      </c>
      <c r="Y9" s="229">
        <v>-2.9999999999999997E-4</v>
      </c>
      <c r="Z9" s="228">
        <v>1.51</v>
      </c>
      <c r="AA9" s="228">
        <v>0.61</v>
      </c>
      <c r="AB9" s="228">
        <v>0.9</v>
      </c>
      <c r="AC9" s="229">
        <v>6.6E-3</v>
      </c>
      <c r="AD9" s="228">
        <v>1.51</v>
      </c>
      <c r="AE9" s="228">
        <v>0.61</v>
      </c>
      <c r="AF9" s="228">
        <v>0.9</v>
      </c>
      <c r="AG9" s="229">
        <v>6.6E-3</v>
      </c>
      <c r="AH9" s="228">
        <v>2.27</v>
      </c>
      <c r="AI9" s="228">
        <v>1.57</v>
      </c>
      <c r="AJ9" s="228">
        <v>0.7</v>
      </c>
      <c r="AK9" s="229">
        <v>9.9000000000000008E-3</v>
      </c>
      <c r="AL9" s="228">
        <v>3.45</v>
      </c>
      <c r="AM9" s="228">
        <v>2.67</v>
      </c>
      <c r="AN9" s="228">
        <v>0.78</v>
      </c>
      <c r="AO9" s="229">
        <v>1.5100000000000001E-2</v>
      </c>
      <c r="AP9" s="228">
        <v>228.51</v>
      </c>
      <c r="AQ9" s="228">
        <v>228.5</v>
      </c>
      <c r="AR9" s="228">
        <v>0</v>
      </c>
      <c r="AS9" s="228">
        <v>628</v>
      </c>
      <c r="AT9" s="228">
        <v>447</v>
      </c>
      <c r="AU9" s="228">
        <v>182</v>
      </c>
      <c r="AV9" s="229">
        <v>0.40670000000000001</v>
      </c>
      <c r="AW9" s="228">
        <v>581</v>
      </c>
      <c r="AX9" s="228">
        <v>415</v>
      </c>
      <c r="AY9" s="228">
        <v>166</v>
      </c>
      <c r="AZ9" s="229">
        <v>0.40110000000000001</v>
      </c>
      <c r="BA9" s="228">
        <v>42</v>
      </c>
      <c r="BB9" s="228">
        <v>27</v>
      </c>
      <c r="BC9" s="228">
        <v>16</v>
      </c>
      <c r="BD9" s="229">
        <v>0.58279999999999998</v>
      </c>
      <c r="BE9" s="228">
        <v>5</v>
      </c>
      <c r="BF9" s="228">
        <v>5</v>
      </c>
      <c r="BG9" s="228">
        <v>0</v>
      </c>
      <c r="BH9" s="229">
        <v>-8.3299999999999999E-2</v>
      </c>
      <c r="BI9" s="228">
        <v>898</v>
      </c>
      <c r="BJ9" s="230">
        <v>1006</v>
      </c>
      <c r="BK9" s="228">
        <v>-108</v>
      </c>
      <c r="BL9" s="229">
        <v>-0.1076</v>
      </c>
      <c r="BM9" s="228">
        <v>382</v>
      </c>
      <c r="BN9" s="228">
        <v>341</v>
      </c>
      <c r="BO9" s="228">
        <v>41</v>
      </c>
      <c r="BP9" s="229">
        <v>0.1208</v>
      </c>
      <c r="BQ9" s="230">
        <v>1908</v>
      </c>
      <c r="BR9" s="230">
        <v>1794</v>
      </c>
      <c r="BS9" s="228">
        <v>114</v>
      </c>
      <c r="BT9" s="229">
        <v>6.3799999999999996E-2</v>
      </c>
      <c r="BU9" s="230">
        <v>47426731</v>
      </c>
      <c r="BV9" s="230">
        <v>46720267</v>
      </c>
      <c r="BW9" s="230">
        <v>706464</v>
      </c>
      <c r="BX9" s="229">
        <v>1.5100000000000001E-2</v>
      </c>
      <c r="BY9" s="230">
        <v>1816</v>
      </c>
      <c r="BZ9" s="230">
        <v>1810</v>
      </c>
      <c r="CA9" s="228">
        <v>6</v>
      </c>
      <c r="CB9" s="229">
        <v>3.2000000000000002E-3</v>
      </c>
      <c r="CC9" s="230">
        <v>1733</v>
      </c>
      <c r="CD9" s="230">
        <v>1742</v>
      </c>
      <c r="CE9" s="228">
        <v>-9</v>
      </c>
      <c r="CF9" s="229">
        <v>-5.1000000000000004E-3</v>
      </c>
      <c r="CG9" s="228">
        <v>76</v>
      </c>
      <c r="CH9" s="228">
        <v>63</v>
      </c>
      <c r="CI9" s="228">
        <v>13</v>
      </c>
      <c r="CJ9" s="229">
        <v>0.21199999999999999</v>
      </c>
      <c r="CK9" s="228">
        <v>7</v>
      </c>
      <c r="CL9" s="228">
        <v>6</v>
      </c>
      <c r="CM9" s="228">
        <v>1</v>
      </c>
      <c r="CN9" s="229">
        <v>0.2286</v>
      </c>
      <c r="CO9" s="228">
        <v>763</v>
      </c>
      <c r="CP9" s="228">
        <v>731</v>
      </c>
      <c r="CQ9" s="228">
        <v>32</v>
      </c>
      <c r="CR9" s="229">
        <v>4.4400000000000002E-2</v>
      </c>
      <c r="CS9" s="228">
        <v>538</v>
      </c>
      <c r="CT9" s="228">
        <v>497</v>
      </c>
      <c r="CU9" s="228">
        <v>41</v>
      </c>
      <c r="CV9" s="229">
        <v>8.2299999999999998E-2</v>
      </c>
      <c r="CW9" s="230">
        <v>3118</v>
      </c>
      <c r="CX9" s="230">
        <v>3038</v>
      </c>
      <c r="CY9" s="228">
        <v>79</v>
      </c>
      <c r="CZ9" s="229">
        <v>2.5999999999999999E-2</v>
      </c>
      <c r="DA9" s="228">
        <v>52.03</v>
      </c>
      <c r="DB9" s="228">
        <v>52.11</v>
      </c>
      <c r="DC9" s="228">
        <v>-0.08</v>
      </c>
      <c r="DD9" s="228">
        <v>-0.08</v>
      </c>
      <c r="DE9" s="228">
        <v>52.19</v>
      </c>
      <c r="DF9" s="228">
        <v>52.32</v>
      </c>
      <c r="DG9" s="228">
        <v>-0.16</v>
      </c>
      <c r="DH9" s="228">
        <v>-0.13</v>
      </c>
      <c r="DI9" s="228">
        <v>51.66</v>
      </c>
      <c r="DJ9" s="228">
        <v>51.96</v>
      </c>
      <c r="DK9" s="228">
        <v>-0.3</v>
      </c>
      <c r="DL9" s="228">
        <v>-0.3</v>
      </c>
      <c r="DM9" s="228">
        <v>52.92</v>
      </c>
      <c r="DN9" s="228">
        <v>52.58</v>
      </c>
      <c r="DO9" s="228">
        <v>0.34</v>
      </c>
      <c r="DP9" s="228">
        <v>0.34</v>
      </c>
      <c r="DQ9" s="228">
        <v>0.7</v>
      </c>
      <c r="DR9" s="228">
        <v>0.68</v>
      </c>
      <c r="DS9" s="228">
        <v>0.02</v>
      </c>
      <c r="DT9" s="229">
        <v>2.9399999999999999E-2</v>
      </c>
      <c r="DU9" s="228">
        <v>220</v>
      </c>
      <c r="DV9" s="228">
        <v>200</v>
      </c>
      <c r="DW9" s="228">
        <v>0.43</v>
      </c>
      <c r="DX9" s="228">
        <v>0.34</v>
      </c>
      <c r="DY9" s="228">
        <v>0.09</v>
      </c>
      <c r="DZ9" s="229">
        <v>0.26469999999999999</v>
      </c>
      <c r="EA9" s="229">
        <v>4.5900000000000003E-2</v>
      </c>
      <c r="EB9" s="230">
        <v>2978450</v>
      </c>
      <c r="EC9" s="229">
        <v>3.3E-3</v>
      </c>
      <c r="ED9" s="229">
        <v>4.5900000000000003E-2</v>
      </c>
      <c r="EE9" s="228">
        <v>-0.01</v>
      </c>
      <c r="EF9" s="229">
        <v>0</v>
      </c>
      <c r="EG9" s="230">
        <v>11407723</v>
      </c>
      <c r="EH9" s="230">
        <v>12334476</v>
      </c>
      <c r="EI9" s="229">
        <v>-7.51E-2</v>
      </c>
      <c r="EJ9" s="229">
        <v>0.24049999999999999</v>
      </c>
      <c r="EK9" s="228">
        <v>951.82</v>
      </c>
      <c r="EL9" s="228">
        <v>362.99</v>
      </c>
      <c r="EM9" s="228">
        <v>622.38</v>
      </c>
      <c r="EN9" s="228">
        <v>99.14</v>
      </c>
      <c r="EO9" s="231">
        <v>1937.2</v>
      </c>
      <c r="EP9" s="231">
        <v>1862.61</v>
      </c>
      <c r="EQ9" s="228">
        <v>74.59</v>
      </c>
      <c r="ER9" s="229">
        <v>0.04</v>
      </c>
      <c r="ES9" s="228">
        <v>754.94</v>
      </c>
      <c r="ET9" s="228">
        <v>486.48</v>
      </c>
      <c r="EU9" s="231">
        <v>1816.35</v>
      </c>
      <c r="EV9" s="231">
        <v>482906787</v>
      </c>
      <c r="EW9" s="231">
        <v>3057.76</v>
      </c>
      <c r="EX9" s="231">
        <v>2978.63</v>
      </c>
      <c r="EY9" s="228">
        <v>79.13</v>
      </c>
      <c r="EZ9" s="229">
        <v>2.6599999999999999E-2</v>
      </c>
      <c r="FA9" s="229">
        <v>0.27989999999999998</v>
      </c>
      <c r="FB9" s="227" t="s">
        <v>555</v>
      </c>
      <c r="FC9">
        <f t="shared" si="0"/>
        <v>83</v>
      </c>
    </row>
    <row r="10" spans="1:159" ht="17.25" thickBot="1" x14ac:dyDescent="0.3">
      <c r="A10" s="226">
        <v>46148</v>
      </c>
      <c r="B10" s="227" t="s">
        <v>170</v>
      </c>
      <c r="C10" s="227" t="s">
        <v>497</v>
      </c>
      <c r="D10" s="228">
        <v>125</v>
      </c>
      <c r="E10" s="228">
        <v>20</v>
      </c>
      <c r="F10" s="231">
        <v>5549</v>
      </c>
      <c r="G10" s="231">
        <v>5424.5</v>
      </c>
      <c r="H10" s="228">
        <v>124.5</v>
      </c>
      <c r="I10" s="229">
        <v>2.3E-2</v>
      </c>
      <c r="J10" s="231">
        <v>5557</v>
      </c>
      <c r="K10" s="231">
        <v>5403</v>
      </c>
      <c r="L10" s="228">
        <v>154</v>
      </c>
      <c r="M10" s="229">
        <v>2.8500000000000001E-2</v>
      </c>
      <c r="N10" s="231">
        <v>5549</v>
      </c>
      <c r="O10" s="231">
        <v>5424.5</v>
      </c>
      <c r="P10" s="228">
        <v>124.5</v>
      </c>
      <c r="Q10" s="229">
        <v>2.3E-2</v>
      </c>
      <c r="R10" s="231">
        <v>5560</v>
      </c>
      <c r="S10" s="231">
        <v>5458</v>
      </c>
      <c r="T10" s="228">
        <v>102</v>
      </c>
      <c r="U10" s="229">
        <v>1.8700000000000001E-2</v>
      </c>
      <c r="V10" s="231">
        <v>5370</v>
      </c>
      <c r="W10" s="231">
        <v>5370</v>
      </c>
      <c r="X10" s="228">
        <v>0</v>
      </c>
      <c r="Y10" s="229">
        <v>0</v>
      </c>
      <c r="Z10" s="228">
        <v>-8</v>
      </c>
      <c r="AA10" s="228">
        <v>21.5</v>
      </c>
      <c r="AB10" s="228">
        <v>-29.5</v>
      </c>
      <c r="AC10" s="229">
        <v>-1.4E-3</v>
      </c>
      <c r="AD10" s="228">
        <v>-8</v>
      </c>
      <c r="AE10" s="228">
        <v>21.5</v>
      </c>
      <c r="AF10" s="228">
        <v>-29.5</v>
      </c>
      <c r="AG10" s="229">
        <v>-1.4E-3</v>
      </c>
      <c r="AH10" s="228">
        <v>3</v>
      </c>
      <c r="AI10" s="228">
        <v>55</v>
      </c>
      <c r="AJ10" s="228">
        <v>-52</v>
      </c>
      <c r="AK10" s="229">
        <v>5.0000000000000001E-4</v>
      </c>
      <c r="AL10" s="228">
        <v>-187</v>
      </c>
      <c r="AM10" s="228">
        <v>-33</v>
      </c>
      <c r="AN10" s="228">
        <v>-154</v>
      </c>
      <c r="AO10" s="229">
        <v>-3.3700000000000001E-2</v>
      </c>
      <c r="AP10" s="231">
        <v>5556.87</v>
      </c>
      <c r="AQ10" s="231">
        <v>5597.12</v>
      </c>
      <c r="AR10" s="228">
        <v>0</v>
      </c>
      <c r="AS10" s="228">
        <v>114</v>
      </c>
      <c r="AT10" s="228">
        <v>42</v>
      </c>
      <c r="AU10" s="228">
        <v>72</v>
      </c>
      <c r="AV10" s="229">
        <v>1.6879</v>
      </c>
      <c r="AW10" s="228">
        <v>108</v>
      </c>
      <c r="AX10" s="228">
        <v>41</v>
      </c>
      <c r="AY10" s="228">
        <v>67</v>
      </c>
      <c r="AZ10" s="229">
        <v>1.6378999999999999</v>
      </c>
      <c r="BA10" s="228">
        <v>6</v>
      </c>
      <c r="BB10" s="228">
        <v>1</v>
      </c>
      <c r="BC10" s="228">
        <v>5</v>
      </c>
      <c r="BD10" s="229">
        <v>3.0952000000000002</v>
      </c>
      <c r="BE10" s="228">
        <v>0</v>
      </c>
      <c r="BF10" s="228">
        <v>0</v>
      </c>
      <c r="BG10" s="228">
        <v>0</v>
      </c>
      <c r="BH10" s="229">
        <v>0</v>
      </c>
      <c r="BI10" s="228">
        <v>554</v>
      </c>
      <c r="BJ10" s="228">
        <v>117</v>
      </c>
      <c r="BK10" s="228">
        <v>437</v>
      </c>
      <c r="BL10" s="229">
        <v>3.7423000000000002</v>
      </c>
      <c r="BM10" s="228">
        <v>160</v>
      </c>
      <c r="BN10" s="228">
        <v>43</v>
      </c>
      <c r="BO10" s="228">
        <v>117</v>
      </c>
      <c r="BP10" s="229">
        <v>2.7258</v>
      </c>
      <c r="BQ10" s="228">
        <v>828</v>
      </c>
      <c r="BR10" s="228">
        <v>202</v>
      </c>
      <c r="BS10" s="228">
        <v>626</v>
      </c>
      <c r="BT10" s="229">
        <v>3.0950000000000002</v>
      </c>
      <c r="BU10" s="230">
        <v>133016</v>
      </c>
      <c r="BV10" s="230">
        <v>59139</v>
      </c>
      <c r="BW10" s="230">
        <v>73877</v>
      </c>
      <c r="BX10" s="229">
        <v>1.2492000000000001</v>
      </c>
      <c r="BY10" s="228">
        <v>604</v>
      </c>
      <c r="BZ10" s="228">
        <v>589</v>
      </c>
      <c r="CA10" s="228">
        <v>15</v>
      </c>
      <c r="CB10" s="229">
        <v>2.58E-2</v>
      </c>
      <c r="CC10" s="228">
        <v>598</v>
      </c>
      <c r="CD10" s="228">
        <v>584</v>
      </c>
      <c r="CE10" s="228">
        <v>14</v>
      </c>
      <c r="CF10" s="229">
        <v>2.4E-2</v>
      </c>
      <c r="CG10" s="228">
        <v>5</v>
      </c>
      <c r="CH10" s="228">
        <v>4</v>
      </c>
      <c r="CI10" s="228">
        <v>1</v>
      </c>
      <c r="CJ10" s="229">
        <v>0.2833</v>
      </c>
      <c r="CK10" s="228">
        <v>0</v>
      </c>
      <c r="CL10" s="228">
        <v>0</v>
      </c>
      <c r="CM10" s="228">
        <v>0</v>
      </c>
      <c r="CN10" s="229">
        <v>0</v>
      </c>
      <c r="CO10" s="228">
        <v>136</v>
      </c>
      <c r="CP10" s="228">
        <v>120</v>
      </c>
      <c r="CQ10" s="228">
        <v>17</v>
      </c>
      <c r="CR10" s="229">
        <v>0.13830000000000001</v>
      </c>
      <c r="CS10" s="228">
        <v>89</v>
      </c>
      <c r="CT10" s="228">
        <v>83</v>
      </c>
      <c r="CU10" s="228">
        <v>6</v>
      </c>
      <c r="CV10" s="229">
        <v>6.9900000000000004E-2</v>
      </c>
      <c r="CW10" s="228">
        <v>830</v>
      </c>
      <c r="CX10" s="228">
        <v>792</v>
      </c>
      <c r="CY10" s="228">
        <v>38</v>
      </c>
      <c r="CZ10" s="229">
        <v>4.7500000000000001E-2</v>
      </c>
      <c r="DA10" s="228">
        <v>29.06</v>
      </c>
      <c r="DB10" s="228">
        <v>30.22</v>
      </c>
      <c r="DC10" s="228">
        <v>-1.1599999999999999</v>
      </c>
      <c r="DD10" s="228">
        <v>-1.1599999999999999</v>
      </c>
      <c r="DE10" s="228">
        <v>29.21</v>
      </c>
      <c r="DF10" s="228">
        <v>29.04</v>
      </c>
      <c r="DG10" s="228">
        <v>-0.15</v>
      </c>
      <c r="DH10" s="228">
        <v>0.17</v>
      </c>
      <c r="DI10" s="228">
        <v>28.51</v>
      </c>
      <c r="DJ10" s="228">
        <v>29.34</v>
      </c>
      <c r="DK10" s="228">
        <v>-0.83</v>
      </c>
      <c r="DL10" s="228">
        <v>-0.83</v>
      </c>
      <c r="DM10" s="228">
        <v>30.94</v>
      </c>
      <c r="DN10" s="228">
        <v>32.619999999999997</v>
      </c>
      <c r="DO10" s="228">
        <v>-1.68</v>
      </c>
      <c r="DP10" s="228">
        <v>-1.68</v>
      </c>
      <c r="DQ10" s="228">
        <v>0.65</v>
      </c>
      <c r="DR10" s="228">
        <v>0.7</v>
      </c>
      <c r="DS10" s="228">
        <v>-0.05</v>
      </c>
      <c r="DT10" s="229">
        <v>-7.1400000000000005E-2</v>
      </c>
      <c r="DU10" s="231">
        <v>5800</v>
      </c>
      <c r="DV10" s="231">
        <v>5500</v>
      </c>
      <c r="DW10" s="228">
        <v>0.28999999999999998</v>
      </c>
      <c r="DX10" s="228">
        <v>0.37</v>
      </c>
      <c r="DY10" s="228">
        <v>-0.08</v>
      </c>
      <c r="DZ10" s="229">
        <v>-0.2162</v>
      </c>
      <c r="EA10" s="229">
        <v>8.9999999999999993E-3</v>
      </c>
      <c r="EB10" s="230">
        <v>7625</v>
      </c>
      <c r="EC10" s="229">
        <v>2E-3</v>
      </c>
      <c r="ED10" s="229">
        <v>8.9999999999999993E-3</v>
      </c>
      <c r="EE10" s="228">
        <v>40.25</v>
      </c>
      <c r="EF10" s="229">
        <v>7.1999999999999998E-3</v>
      </c>
      <c r="EG10" s="230">
        <v>51812</v>
      </c>
      <c r="EH10" s="230">
        <v>25856</v>
      </c>
      <c r="EI10" s="229">
        <v>1.0039</v>
      </c>
      <c r="EJ10" s="229">
        <v>0.38950000000000001</v>
      </c>
      <c r="EK10" s="228">
        <v>583.27</v>
      </c>
      <c r="EL10" s="228">
        <v>154.33000000000001</v>
      </c>
      <c r="EM10" s="228">
        <v>114.31</v>
      </c>
      <c r="EN10" s="228">
        <v>9.74</v>
      </c>
      <c r="EO10" s="228">
        <v>851.9</v>
      </c>
      <c r="EP10" s="228">
        <v>202.28</v>
      </c>
      <c r="EQ10" s="228">
        <v>649.63</v>
      </c>
      <c r="ER10" s="229">
        <v>3.2115999999999998</v>
      </c>
      <c r="ES10" s="228">
        <v>141.34</v>
      </c>
      <c r="ET10" s="228">
        <v>84.27</v>
      </c>
      <c r="EU10" s="228">
        <v>603.88</v>
      </c>
      <c r="EV10" s="231">
        <v>5873365</v>
      </c>
      <c r="EW10" s="228">
        <v>829.49</v>
      </c>
      <c r="EX10" s="228">
        <v>776.93</v>
      </c>
      <c r="EY10" s="228">
        <v>52.56</v>
      </c>
      <c r="EZ10" s="229">
        <v>6.7699999999999996E-2</v>
      </c>
      <c r="FA10" s="229">
        <v>0.2545</v>
      </c>
      <c r="FB10" s="227" t="s">
        <v>555</v>
      </c>
      <c r="FC10">
        <f t="shared" si="0"/>
        <v>6</v>
      </c>
    </row>
    <row r="11" spans="1:159" ht="17.25" thickBot="1" x14ac:dyDescent="0.3">
      <c r="A11" s="226">
        <v>46148</v>
      </c>
      <c r="B11" s="227" t="s">
        <v>184</v>
      </c>
      <c r="C11" s="227" t="s">
        <v>677</v>
      </c>
      <c r="D11" s="228">
        <v>100</v>
      </c>
      <c r="E11" s="228">
        <v>20</v>
      </c>
      <c r="F11" s="231">
        <v>8737.5</v>
      </c>
      <c r="G11" s="231">
        <v>8248</v>
      </c>
      <c r="H11" s="228">
        <v>489.5</v>
      </c>
      <c r="I11" s="229">
        <v>5.9299999999999999E-2</v>
      </c>
      <c r="J11" s="231">
        <v>8661.5</v>
      </c>
      <c r="K11" s="231">
        <v>8204</v>
      </c>
      <c r="L11" s="228">
        <v>457.5</v>
      </c>
      <c r="M11" s="229">
        <v>5.5800000000000002E-2</v>
      </c>
      <c r="N11" s="231">
        <v>8737.5</v>
      </c>
      <c r="O11" s="231">
        <v>8248</v>
      </c>
      <c r="P11" s="228">
        <v>489.5</v>
      </c>
      <c r="Q11" s="229">
        <v>5.9299999999999999E-2</v>
      </c>
      <c r="R11" s="231">
        <v>8680</v>
      </c>
      <c r="S11" s="231">
        <v>8192.5</v>
      </c>
      <c r="T11" s="228">
        <v>487.5</v>
      </c>
      <c r="U11" s="229">
        <v>5.9499999999999997E-2</v>
      </c>
      <c r="V11" s="231">
        <v>8628</v>
      </c>
      <c r="W11" s="231">
        <v>8147</v>
      </c>
      <c r="X11" s="228">
        <v>481</v>
      </c>
      <c r="Y11" s="229">
        <v>5.8999999999999997E-2</v>
      </c>
      <c r="Z11" s="228">
        <v>76</v>
      </c>
      <c r="AA11" s="228">
        <v>44</v>
      </c>
      <c r="AB11" s="228">
        <v>32</v>
      </c>
      <c r="AC11" s="229">
        <v>8.8000000000000005E-3</v>
      </c>
      <c r="AD11" s="228">
        <v>76</v>
      </c>
      <c r="AE11" s="228">
        <v>44</v>
      </c>
      <c r="AF11" s="228">
        <v>32</v>
      </c>
      <c r="AG11" s="229">
        <v>8.8000000000000005E-3</v>
      </c>
      <c r="AH11" s="228">
        <v>18.5</v>
      </c>
      <c r="AI11" s="228">
        <v>-11.5</v>
      </c>
      <c r="AJ11" s="228">
        <v>30</v>
      </c>
      <c r="AK11" s="229">
        <v>2.0999999999999999E-3</v>
      </c>
      <c r="AL11" s="228">
        <v>-33.5</v>
      </c>
      <c r="AM11" s="228">
        <v>-57</v>
      </c>
      <c r="AN11" s="228">
        <v>23.5</v>
      </c>
      <c r="AO11" s="229">
        <v>-3.8999999999999998E-3</v>
      </c>
      <c r="AP11" s="231">
        <v>8547.4599999999991</v>
      </c>
      <c r="AQ11" s="231">
        <v>8516.83</v>
      </c>
      <c r="AR11" s="228">
        <v>0</v>
      </c>
      <c r="AS11" s="228">
        <v>829</v>
      </c>
      <c r="AT11" s="228">
        <v>295</v>
      </c>
      <c r="AU11" s="228">
        <v>534</v>
      </c>
      <c r="AV11" s="229">
        <v>1.8069</v>
      </c>
      <c r="AW11" s="228">
        <v>803</v>
      </c>
      <c r="AX11" s="228">
        <v>285</v>
      </c>
      <c r="AY11" s="228">
        <v>518</v>
      </c>
      <c r="AZ11" s="229">
        <v>1.8210999999999999</v>
      </c>
      <c r="BA11" s="228">
        <v>23</v>
      </c>
      <c r="BB11" s="228">
        <v>10</v>
      </c>
      <c r="BC11" s="228">
        <v>13</v>
      </c>
      <c r="BD11" s="229">
        <v>1.3817999999999999</v>
      </c>
      <c r="BE11" s="228">
        <v>3</v>
      </c>
      <c r="BF11" s="228">
        <v>1</v>
      </c>
      <c r="BG11" s="228">
        <v>2</v>
      </c>
      <c r="BH11" s="229">
        <v>1.8462000000000001</v>
      </c>
      <c r="BI11" s="230">
        <v>2411</v>
      </c>
      <c r="BJ11" s="228">
        <v>674</v>
      </c>
      <c r="BK11" s="230">
        <v>1737</v>
      </c>
      <c r="BL11" s="229">
        <v>2.5771000000000002</v>
      </c>
      <c r="BM11" s="228">
        <v>976</v>
      </c>
      <c r="BN11" s="228">
        <v>238</v>
      </c>
      <c r="BO11" s="228">
        <v>737</v>
      </c>
      <c r="BP11" s="229">
        <v>3.0916000000000001</v>
      </c>
      <c r="BQ11" s="230">
        <v>4216</v>
      </c>
      <c r="BR11" s="230">
        <v>1208</v>
      </c>
      <c r="BS11" s="230">
        <v>3008</v>
      </c>
      <c r="BT11" s="229">
        <v>2.4903</v>
      </c>
      <c r="BU11" s="230">
        <v>672889</v>
      </c>
      <c r="BV11" s="230">
        <v>306176</v>
      </c>
      <c r="BW11" s="230">
        <v>366713</v>
      </c>
      <c r="BX11" s="229">
        <v>1.1977</v>
      </c>
      <c r="BY11" s="230">
        <v>1189</v>
      </c>
      <c r="BZ11" s="230">
        <v>1056</v>
      </c>
      <c r="CA11" s="228">
        <v>133</v>
      </c>
      <c r="CB11" s="229">
        <v>0.12559999999999999</v>
      </c>
      <c r="CC11" s="230">
        <v>1169</v>
      </c>
      <c r="CD11" s="230">
        <v>1039</v>
      </c>
      <c r="CE11" s="228">
        <v>130</v>
      </c>
      <c r="CF11" s="229">
        <v>0.1249</v>
      </c>
      <c r="CG11" s="228">
        <v>18</v>
      </c>
      <c r="CH11" s="228">
        <v>16</v>
      </c>
      <c r="CI11" s="228">
        <v>2</v>
      </c>
      <c r="CJ11" s="229">
        <v>0.1087</v>
      </c>
      <c r="CK11" s="228">
        <v>2</v>
      </c>
      <c r="CL11" s="228">
        <v>1</v>
      </c>
      <c r="CM11" s="228">
        <v>1</v>
      </c>
      <c r="CN11" s="229">
        <v>1.0909</v>
      </c>
      <c r="CO11" s="228">
        <v>742</v>
      </c>
      <c r="CP11" s="228">
        <v>405</v>
      </c>
      <c r="CQ11" s="228">
        <v>338</v>
      </c>
      <c r="CR11" s="229">
        <v>0.83460000000000001</v>
      </c>
      <c r="CS11" s="228">
        <v>375</v>
      </c>
      <c r="CT11" s="228">
        <v>204</v>
      </c>
      <c r="CU11" s="228">
        <v>171</v>
      </c>
      <c r="CV11" s="229">
        <v>0.83930000000000005</v>
      </c>
      <c r="CW11" s="230">
        <v>2306</v>
      </c>
      <c r="CX11" s="230">
        <v>1665</v>
      </c>
      <c r="CY11" s="228">
        <v>641</v>
      </c>
      <c r="CZ11" s="229">
        <v>0.38529999999999998</v>
      </c>
      <c r="DA11" s="228">
        <v>50.65</v>
      </c>
      <c r="DB11" s="228">
        <v>46.34</v>
      </c>
      <c r="DC11" s="228">
        <v>4.3099999999999996</v>
      </c>
      <c r="DD11" s="228">
        <v>4.3099999999999996</v>
      </c>
      <c r="DE11" s="228">
        <v>53.94</v>
      </c>
      <c r="DF11" s="228">
        <v>53.51</v>
      </c>
      <c r="DG11" s="228">
        <v>-3.29</v>
      </c>
      <c r="DH11" s="228">
        <v>0.43</v>
      </c>
      <c r="DI11" s="228">
        <v>50.59</v>
      </c>
      <c r="DJ11" s="228">
        <v>46.09</v>
      </c>
      <c r="DK11" s="228">
        <v>4.5</v>
      </c>
      <c r="DL11" s="228">
        <v>4.5</v>
      </c>
      <c r="DM11" s="228">
        <v>50.79</v>
      </c>
      <c r="DN11" s="228">
        <v>47.06</v>
      </c>
      <c r="DO11" s="228">
        <v>3.73</v>
      </c>
      <c r="DP11" s="228">
        <v>3.73</v>
      </c>
      <c r="DQ11" s="228">
        <v>0.51</v>
      </c>
      <c r="DR11" s="228">
        <v>0.5</v>
      </c>
      <c r="DS11" s="228">
        <v>0.01</v>
      </c>
      <c r="DT11" s="229">
        <v>0.02</v>
      </c>
      <c r="DU11" s="231">
        <v>9000</v>
      </c>
      <c r="DV11" s="231">
        <v>8000</v>
      </c>
      <c r="DW11" s="228">
        <v>0.4</v>
      </c>
      <c r="DX11" s="228">
        <v>0.35</v>
      </c>
      <c r="DY11" s="228">
        <v>0.05</v>
      </c>
      <c r="DZ11" s="229">
        <v>0.1429</v>
      </c>
      <c r="EA11" s="229">
        <v>1.67E-2</v>
      </c>
      <c r="EB11" s="230">
        <v>19500</v>
      </c>
      <c r="EC11" s="229">
        <v>-6.6E-3</v>
      </c>
      <c r="ED11" s="229">
        <v>1.67E-2</v>
      </c>
      <c r="EE11" s="228">
        <v>-30.63</v>
      </c>
      <c r="EF11" s="229">
        <v>-3.5999999999999999E-3</v>
      </c>
      <c r="EG11" s="230">
        <v>243543</v>
      </c>
      <c r="EH11" s="230">
        <v>113946</v>
      </c>
      <c r="EI11" s="229">
        <v>1.1374</v>
      </c>
      <c r="EJ11" s="229">
        <v>0.3619</v>
      </c>
      <c r="EK11" s="231">
        <v>2515.1999999999998</v>
      </c>
      <c r="EL11" s="228">
        <v>915.53</v>
      </c>
      <c r="EM11" s="228">
        <v>811.06</v>
      </c>
      <c r="EN11" s="228">
        <v>25.03</v>
      </c>
      <c r="EO11" s="231">
        <v>4241.79</v>
      </c>
      <c r="EP11" s="231">
        <v>1164.17</v>
      </c>
      <c r="EQ11" s="231">
        <v>3077.62</v>
      </c>
      <c r="ER11" s="229">
        <v>2.6436000000000002</v>
      </c>
      <c r="ES11" s="228">
        <v>737.55</v>
      </c>
      <c r="ET11" s="228">
        <v>343.18</v>
      </c>
      <c r="EU11" s="231">
        <v>1188.68</v>
      </c>
      <c r="EV11" s="231">
        <v>3260820</v>
      </c>
      <c r="EW11" s="231">
        <v>2269.41</v>
      </c>
      <c r="EX11" s="231">
        <v>1564.93</v>
      </c>
      <c r="EY11" s="228">
        <v>704.48</v>
      </c>
      <c r="EZ11" s="229">
        <v>0.45019999999999999</v>
      </c>
      <c r="FA11" s="229">
        <v>0.80930000000000002</v>
      </c>
      <c r="FB11" s="227" t="s">
        <v>555</v>
      </c>
      <c r="FC11">
        <f t="shared" si="0"/>
        <v>20</v>
      </c>
    </row>
    <row r="12" spans="1:159" ht="17.25" thickBot="1" x14ac:dyDescent="0.3">
      <c r="A12" s="226">
        <v>46148</v>
      </c>
      <c r="B12" s="227" t="s">
        <v>157</v>
      </c>
      <c r="C12" s="227" t="s">
        <v>164</v>
      </c>
      <c r="D12" s="228">
        <v>1050</v>
      </c>
      <c r="E12" s="228">
        <v>20</v>
      </c>
      <c r="F12" s="228">
        <v>448.95</v>
      </c>
      <c r="G12" s="228">
        <v>435.3</v>
      </c>
      <c r="H12" s="228">
        <v>13.65</v>
      </c>
      <c r="I12" s="229">
        <v>3.1399999999999997E-2</v>
      </c>
      <c r="J12" s="228">
        <v>446.9</v>
      </c>
      <c r="K12" s="228">
        <v>433.1</v>
      </c>
      <c r="L12" s="228">
        <v>13.8</v>
      </c>
      <c r="M12" s="229">
        <v>3.1899999999999998E-2</v>
      </c>
      <c r="N12" s="228">
        <v>448.95</v>
      </c>
      <c r="O12" s="228">
        <v>435.3</v>
      </c>
      <c r="P12" s="228">
        <v>13.65</v>
      </c>
      <c r="Q12" s="229">
        <v>3.1399999999999997E-2</v>
      </c>
      <c r="R12" s="228">
        <v>450.65</v>
      </c>
      <c r="S12" s="228">
        <v>436.3</v>
      </c>
      <c r="T12" s="228">
        <v>14.35</v>
      </c>
      <c r="U12" s="229">
        <v>3.2899999999999999E-2</v>
      </c>
      <c r="V12" s="228">
        <v>452.65</v>
      </c>
      <c r="W12" s="228">
        <v>438.2</v>
      </c>
      <c r="X12" s="228">
        <v>14.45</v>
      </c>
      <c r="Y12" s="229">
        <v>3.3000000000000002E-2</v>
      </c>
      <c r="Z12" s="228">
        <v>2.0499999999999998</v>
      </c>
      <c r="AA12" s="228">
        <v>2.2000000000000002</v>
      </c>
      <c r="AB12" s="228">
        <v>-0.15</v>
      </c>
      <c r="AC12" s="229">
        <v>4.5999999999999999E-3</v>
      </c>
      <c r="AD12" s="228">
        <v>2.0499999999999998</v>
      </c>
      <c r="AE12" s="228">
        <v>2.2000000000000002</v>
      </c>
      <c r="AF12" s="228">
        <v>-0.15</v>
      </c>
      <c r="AG12" s="229">
        <v>4.5999999999999999E-3</v>
      </c>
      <c r="AH12" s="228">
        <v>3.75</v>
      </c>
      <c r="AI12" s="228">
        <v>3.2</v>
      </c>
      <c r="AJ12" s="228">
        <v>0.55000000000000004</v>
      </c>
      <c r="AK12" s="229">
        <v>8.3999999999999995E-3</v>
      </c>
      <c r="AL12" s="228">
        <v>5.75</v>
      </c>
      <c r="AM12" s="228">
        <v>5.0999999999999996</v>
      </c>
      <c r="AN12" s="228">
        <v>0.65</v>
      </c>
      <c r="AO12" s="229">
        <v>1.29E-2</v>
      </c>
      <c r="AP12" s="228">
        <v>445.85</v>
      </c>
      <c r="AQ12" s="228">
        <v>445.94</v>
      </c>
      <c r="AR12" s="228">
        <v>0</v>
      </c>
      <c r="AS12" s="228">
        <v>636</v>
      </c>
      <c r="AT12" s="228">
        <v>671</v>
      </c>
      <c r="AU12" s="228">
        <v>-35</v>
      </c>
      <c r="AV12" s="229">
        <v>-5.1499999999999997E-2</v>
      </c>
      <c r="AW12" s="228">
        <v>605</v>
      </c>
      <c r="AX12" s="228">
        <v>636</v>
      </c>
      <c r="AY12" s="228">
        <v>-31</v>
      </c>
      <c r="AZ12" s="229">
        <v>-4.8599999999999997E-2</v>
      </c>
      <c r="BA12" s="228">
        <v>29</v>
      </c>
      <c r="BB12" s="228">
        <v>32</v>
      </c>
      <c r="BC12" s="228">
        <v>-3</v>
      </c>
      <c r="BD12" s="229">
        <v>-0.1066</v>
      </c>
      <c r="BE12" s="228">
        <v>2</v>
      </c>
      <c r="BF12" s="228">
        <v>3</v>
      </c>
      <c r="BG12" s="228">
        <v>0</v>
      </c>
      <c r="BH12" s="229">
        <v>-7.0199999999999999E-2</v>
      </c>
      <c r="BI12" s="230">
        <v>1967</v>
      </c>
      <c r="BJ12" s="230">
        <v>1740</v>
      </c>
      <c r="BK12" s="228">
        <v>228</v>
      </c>
      <c r="BL12" s="229">
        <v>0.13089999999999999</v>
      </c>
      <c r="BM12" s="228">
        <v>659</v>
      </c>
      <c r="BN12" s="228">
        <v>782</v>
      </c>
      <c r="BO12" s="228">
        <v>-123</v>
      </c>
      <c r="BP12" s="229">
        <v>-0.1578</v>
      </c>
      <c r="BQ12" s="230">
        <v>3262</v>
      </c>
      <c r="BR12" s="230">
        <v>3193</v>
      </c>
      <c r="BS12" s="228">
        <v>70</v>
      </c>
      <c r="BT12" s="229">
        <v>2.18E-2</v>
      </c>
      <c r="BU12" s="230">
        <v>5586175</v>
      </c>
      <c r="BV12" s="230">
        <v>8595317</v>
      </c>
      <c r="BW12" s="230">
        <v>-3009142</v>
      </c>
      <c r="BX12" s="229">
        <v>-0.35010000000000002</v>
      </c>
      <c r="BY12" s="230">
        <v>3426</v>
      </c>
      <c r="BZ12" s="230">
        <v>3328</v>
      </c>
      <c r="CA12" s="228">
        <v>98</v>
      </c>
      <c r="CB12" s="229">
        <v>2.9499999999999998E-2</v>
      </c>
      <c r="CC12" s="230">
        <v>3341</v>
      </c>
      <c r="CD12" s="230">
        <v>3250</v>
      </c>
      <c r="CE12" s="228">
        <v>91</v>
      </c>
      <c r="CF12" s="229">
        <v>2.7900000000000001E-2</v>
      </c>
      <c r="CG12" s="228">
        <v>80</v>
      </c>
      <c r="CH12" s="228">
        <v>74</v>
      </c>
      <c r="CI12" s="228">
        <v>7</v>
      </c>
      <c r="CJ12" s="229">
        <v>9.2899999999999996E-2</v>
      </c>
      <c r="CK12" s="228">
        <v>5</v>
      </c>
      <c r="CL12" s="228">
        <v>4</v>
      </c>
      <c r="CM12" s="228">
        <v>1</v>
      </c>
      <c r="CN12" s="229">
        <v>0.1757</v>
      </c>
      <c r="CO12" s="228">
        <v>958</v>
      </c>
      <c r="CP12" s="228">
        <v>963</v>
      </c>
      <c r="CQ12" s="228">
        <v>-5</v>
      </c>
      <c r="CR12" s="229">
        <v>-5.0000000000000001E-3</v>
      </c>
      <c r="CS12" s="228">
        <v>546</v>
      </c>
      <c r="CT12" s="228">
        <v>521</v>
      </c>
      <c r="CU12" s="228">
        <v>25</v>
      </c>
      <c r="CV12" s="229">
        <v>4.7800000000000002E-2</v>
      </c>
      <c r="CW12" s="230">
        <v>4930</v>
      </c>
      <c r="CX12" s="230">
        <v>4811</v>
      </c>
      <c r="CY12" s="228">
        <v>118</v>
      </c>
      <c r="CZ12" s="229">
        <v>2.46E-2</v>
      </c>
      <c r="DA12" s="228">
        <v>34.99</v>
      </c>
      <c r="DB12" s="228">
        <v>34.06</v>
      </c>
      <c r="DC12" s="228">
        <v>0.93</v>
      </c>
      <c r="DD12" s="228">
        <v>0.93</v>
      </c>
      <c r="DE12" s="228">
        <v>36.61</v>
      </c>
      <c r="DF12" s="228">
        <v>36.46</v>
      </c>
      <c r="DG12" s="228">
        <v>-1.62</v>
      </c>
      <c r="DH12" s="228">
        <v>0.15</v>
      </c>
      <c r="DI12" s="228">
        <v>35.270000000000003</v>
      </c>
      <c r="DJ12" s="228">
        <v>34.549999999999997</v>
      </c>
      <c r="DK12" s="228">
        <v>0.72</v>
      </c>
      <c r="DL12" s="228">
        <v>0.72</v>
      </c>
      <c r="DM12" s="228">
        <v>34.17</v>
      </c>
      <c r="DN12" s="228">
        <v>32.97</v>
      </c>
      <c r="DO12" s="228">
        <v>1.2</v>
      </c>
      <c r="DP12" s="228">
        <v>1.2</v>
      </c>
      <c r="DQ12" s="228">
        <v>0.56999999999999995</v>
      </c>
      <c r="DR12" s="228">
        <v>0.54</v>
      </c>
      <c r="DS12" s="228">
        <v>0.03</v>
      </c>
      <c r="DT12" s="229">
        <v>5.5599999999999997E-2</v>
      </c>
      <c r="DU12" s="228">
        <v>500</v>
      </c>
      <c r="DV12" s="228">
        <v>520</v>
      </c>
      <c r="DW12" s="228">
        <v>0.33</v>
      </c>
      <c r="DX12" s="228">
        <v>0.45</v>
      </c>
      <c r="DY12" s="228">
        <v>-0.12</v>
      </c>
      <c r="DZ12" s="229">
        <v>-0.26669999999999999</v>
      </c>
      <c r="EA12" s="229">
        <v>2.4799999999999999E-2</v>
      </c>
      <c r="EB12" s="230">
        <v>1727850</v>
      </c>
      <c r="EC12" s="229">
        <v>3.8E-3</v>
      </c>
      <c r="ED12" s="229">
        <v>2.4799999999999999E-2</v>
      </c>
      <c r="EE12" s="228">
        <v>0.09</v>
      </c>
      <c r="EF12" s="229">
        <v>2.0000000000000001E-4</v>
      </c>
      <c r="EG12" s="230">
        <v>2100680</v>
      </c>
      <c r="EH12" s="230">
        <v>3448786</v>
      </c>
      <c r="EI12" s="229">
        <v>-0.39090000000000003</v>
      </c>
      <c r="EJ12" s="229">
        <v>0.376</v>
      </c>
      <c r="EK12" s="231">
        <v>2084.08</v>
      </c>
      <c r="EL12" s="228">
        <v>647.86</v>
      </c>
      <c r="EM12" s="228">
        <v>632.27</v>
      </c>
      <c r="EN12" s="228">
        <v>137.63</v>
      </c>
      <c r="EO12" s="231">
        <v>3364.21</v>
      </c>
      <c r="EP12" s="231">
        <v>3243.64</v>
      </c>
      <c r="EQ12" s="228">
        <v>120.58</v>
      </c>
      <c r="ER12" s="229">
        <v>3.7199999999999997E-2</v>
      </c>
      <c r="ES12" s="231">
        <v>1005.98</v>
      </c>
      <c r="ET12" s="228">
        <v>554.89</v>
      </c>
      <c r="EU12" s="231">
        <v>3426.48</v>
      </c>
      <c r="EV12" s="231">
        <v>97233107</v>
      </c>
      <c r="EW12" s="231">
        <v>4987.3500000000004</v>
      </c>
      <c r="EX12" s="231">
        <v>4770.6400000000003</v>
      </c>
      <c r="EY12" s="228">
        <v>216.71</v>
      </c>
      <c r="EZ12" s="229">
        <v>4.5400000000000003E-2</v>
      </c>
      <c r="FA12" s="229">
        <v>1.1293</v>
      </c>
      <c r="FB12" s="227" t="s">
        <v>555</v>
      </c>
      <c r="FC12">
        <f t="shared" si="0"/>
        <v>85</v>
      </c>
    </row>
    <row r="13" spans="1:159" ht="17.25" thickBot="1" x14ac:dyDescent="0.3">
      <c r="A13" s="226">
        <v>46148</v>
      </c>
      <c r="B13" s="227" t="s">
        <v>175</v>
      </c>
      <c r="C13" s="227" t="s">
        <v>608</v>
      </c>
      <c r="D13" s="228">
        <v>2500</v>
      </c>
      <c r="E13" s="228">
        <v>20</v>
      </c>
      <c r="F13" s="228">
        <v>318.5</v>
      </c>
      <c r="G13" s="228">
        <v>315.89999999999998</v>
      </c>
      <c r="H13" s="228">
        <v>2.6</v>
      </c>
      <c r="I13" s="229">
        <v>8.2000000000000007E-3</v>
      </c>
      <c r="J13" s="228">
        <v>316.85000000000002</v>
      </c>
      <c r="K13" s="228">
        <v>314.39999999999998</v>
      </c>
      <c r="L13" s="228">
        <v>2.4500000000000002</v>
      </c>
      <c r="M13" s="229">
        <v>7.7999999999999996E-3</v>
      </c>
      <c r="N13" s="228">
        <v>318.5</v>
      </c>
      <c r="O13" s="228">
        <v>315.89999999999998</v>
      </c>
      <c r="P13" s="228">
        <v>2.6</v>
      </c>
      <c r="Q13" s="229">
        <v>8.2000000000000007E-3</v>
      </c>
      <c r="R13" s="228">
        <v>318.35000000000002</v>
      </c>
      <c r="S13" s="228">
        <v>315.14999999999998</v>
      </c>
      <c r="T13" s="228">
        <v>3.2</v>
      </c>
      <c r="U13" s="229">
        <v>1.0200000000000001E-2</v>
      </c>
      <c r="V13" s="228">
        <v>317.7</v>
      </c>
      <c r="W13" s="228">
        <v>314.89999999999998</v>
      </c>
      <c r="X13" s="228">
        <v>2.8</v>
      </c>
      <c r="Y13" s="229">
        <v>8.8999999999999999E-3</v>
      </c>
      <c r="Z13" s="228">
        <v>1.65</v>
      </c>
      <c r="AA13" s="228">
        <v>1.5</v>
      </c>
      <c r="AB13" s="228">
        <v>0.15</v>
      </c>
      <c r="AC13" s="229">
        <v>5.1999999999999998E-3</v>
      </c>
      <c r="AD13" s="228">
        <v>1.65</v>
      </c>
      <c r="AE13" s="228">
        <v>1.5</v>
      </c>
      <c r="AF13" s="228">
        <v>0.15</v>
      </c>
      <c r="AG13" s="229">
        <v>5.1999999999999998E-3</v>
      </c>
      <c r="AH13" s="228">
        <v>1.5</v>
      </c>
      <c r="AI13" s="228">
        <v>0.75</v>
      </c>
      <c r="AJ13" s="228">
        <v>0.75</v>
      </c>
      <c r="AK13" s="229">
        <v>4.7000000000000002E-3</v>
      </c>
      <c r="AL13" s="228">
        <v>0.85</v>
      </c>
      <c r="AM13" s="228">
        <v>0.5</v>
      </c>
      <c r="AN13" s="228">
        <v>0.35</v>
      </c>
      <c r="AO13" s="229">
        <v>2.7000000000000001E-3</v>
      </c>
      <c r="AP13" s="228">
        <v>317.27</v>
      </c>
      <c r="AQ13" s="228">
        <v>317.27</v>
      </c>
      <c r="AR13" s="228">
        <v>0</v>
      </c>
      <c r="AS13" s="228">
        <v>228</v>
      </c>
      <c r="AT13" s="228">
        <v>228</v>
      </c>
      <c r="AU13" s="228">
        <v>0</v>
      </c>
      <c r="AV13" s="229">
        <v>-2.0999999999999999E-3</v>
      </c>
      <c r="AW13" s="228">
        <v>217</v>
      </c>
      <c r="AX13" s="228">
        <v>217</v>
      </c>
      <c r="AY13" s="228">
        <v>0</v>
      </c>
      <c r="AZ13" s="229">
        <v>1.1000000000000001E-3</v>
      </c>
      <c r="BA13" s="228">
        <v>10</v>
      </c>
      <c r="BB13" s="228">
        <v>11</v>
      </c>
      <c r="BC13" s="228">
        <v>-1</v>
      </c>
      <c r="BD13" s="229">
        <v>-8.1500000000000003E-2</v>
      </c>
      <c r="BE13" s="228">
        <v>1</v>
      </c>
      <c r="BF13" s="228">
        <v>1</v>
      </c>
      <c r="BG13" s="228">
        <v>0</v>
      </c>
      <c r="BH13" s="229">
        <v>0.18179999999999999</v>
      </c>
      <c r="BI13" s="230">
        <v>1030</v>
      </c>
      <c r="BJ13" s="228">
        <v>936</v>
      </c>
      <c r="BK13" s="228">
        <v>94</v>
      </c>
      <c r="BL13" s="229">
        <v>0.10009999999999999</v>
      </c>
      <c r="BM13" s="228">
        <v>329</v>
      </c>
      <c r="BN13" s="228">
        <v>392</v>
      </c>
      <c r="BO13" s="228">
        <v>-63</v>
      </c>
      <c r="BP13" s="229">
        <v>-0.16039999999999999</v>
      </c>
      <c r="BQ13" s="230">
        <v>1587</v>
      </c>
      <c r="BR13" s="230">
        <v>1557</v>
      </c>
      <c r="BS13" s="228">
        <v>30</v>
      </c>
      <c r="BT13" s="229">
        <v>1.9400000000000001E-2</v>
      </c>
      <c r="BU13" s="230">
        <v>5431837</v>
      </c>
      <c r="BV13" s="230">
        <v>6476249</v>
      </c>
      <c r="BW13" s="230">
        <v>-1044412</v>
      </c>
      <c r="BX13" s="229">
        <v>-0.1613</v>
      </c>
      <c r="BY13" s="228">
        <v>807</v>
      </c>
      <c r="BZ13" s="228">
        <v>806</v>
      </c>
      <c r="CA13" s="228">
        <v>2</v>
      </c>
      <c r="CB13" s="229">
        <v>2.0999999999999999E-3</v>
      </c>
      <c r="CC13" s="228">
        <v>783</v>
      </c>
      <c r="CD13" s="228">
        <v>782</v>
      </c>
      <c r="CE13" s="228">
        <v>1</v>
      </c>
      <c r="CF13" s="229">
        <v>8.9999999999999998E-4</v>
      </c>
      <c r="CG13" s="228">
        <v>20</v>
      </c>
      <c r="CH13" s="228">
        <v>20</v>
      </c>
      <c r="CI13" s="228">
        <v>1</v>
      </c>
      <c r="CJ13" s="229">
        <v>2.8000000000000001E-2</v>
      </c>
      <c r="CK13" s="228">
        <v>4</v>
      </c>
      <c r="CL13" s="228">
        <v>4</v>
      </c>
      <c r="CM13" s="228">
        <v>0</v>
      </c>
      <c r="CN13" s="229">
        <v>0.10639999999999999</v>
      </c>
      <c r="CO13" s="228">
        <v>508</v>
      </c>
      <c r="CP13" s="228">
        <v>472</v>
      </c>
      <c r="CQ13" s="228">
        <v>37</v>
      </c>
      <c r="CR13" s="229">
        <v>7.7399999999999997E-2</v>
      </c>
      <c r="CS13" s="228">
        <v>251</v>
      </c>
      <c r="CT13" s="228">
        <v>243</v>
      </c>
      <c r="CU13" s="228">
        <v>8</v>
      </c>
      <c r="CV13" s="229">
        <v>3.3399999999999999E-2</v>
      </c>
      <c r="CW13" s="230">
        <v>1567</v>
      </c>
      <c r="CX13" s="230">
        <v>1521</v>
      </c>
      <c r="CY13" s="228">
        <v>46</v>
      </c>
      <c r="CZ13" s="229">
        <v>3.0499999999999999E-2</v>
      </c>
      <c r="DA13" s="228">
        <v>41.55</v>
      </c>
      <c r="DB13" s="228">
        <v>42.91</v>
      </c>
      <c r="DC13" s="228">
        <v>-1.36</v>
      </c>
      <c r="DD13" s="228">
        <v>-1.36</v>
      </c>
      <c r="DE13" s="228">
        <v>56.21</v>
      </c>
      <c r="DF13" s="228">
        <v>56.34</v>
      </c>
      <c r="DG13" s="228">
        <v>-14.66</v>
      </c>
      <c r="DH13" s="228">
        <v>-0.13</v>
      </c>
      <c r="DI13" s="228">
        <v>41.57</v>
      </c>
      <c r="DJ13" s="228">
        <v>42.54</v>
      </c>
      <c r="DK13" s="228">
        <v>-0.97</v>
      </c>
      <c r="DL13" s="228">
        <v>-0.97</v>
      </c>
      <c r="DM13" s="228">
        <v>41.49</v>
      </c>
      <c r="DN13" s="228">
        <v>43.77</v>
      </c>
      <c r="DO13" s="228">
        <v>-2.2799999999999998</v>
      </c>
      <c r="DP13" s="228">
        <v>-2.2799999999999998</v>
      </c>
      <c r="DQ13" s="228">
        <v>0.49</v>
      </c>
      <c r="DR13" s="228">
        <v>0.52</v>
      </c>
      <c r="DS13" s="228">
        <v>-0.03</v>
      </c>
      <c r="DT13" s="229">
        <v>-5.7700000000000001E-2</v>
      </c>
      <c r="DU13" s="228">
        <v>350</v>
      </c>
      <c r="DV13" s="228">
        <v>300</v>
      </c>
      <c r="DW13" s="228">
        <v>0.32</v>
      </c>
      <c r="DX13" s="228">
        <v>0.42</v>
      </c>
      <c r="DY13" s="228">
        <v>-0.1</v>
      </c>
      <c r="DZ13" s="229">
        <v>-0.23810000000000001</v>
      </c>
      <c r="EA13" s="229">
        <v>3.0499999999999999E-2</v>
      </c>
      <c r="EB13" s="230">
        <v>742500</v>
      </c>
      <c r="EC13" s="229">
        <v>-5.0000000000000001E-4</v>
      </c>
      <c r="ED13" s="229">
        <v>3.0499999999999999E-2</v>
      </c>
      <c r="EE13" s="228">
        <v>0</v>
      </c>
      <c r="EF13" s="229">
        <v>0</v>
      </c>
      <c r="EG13" s="230">
        <v>2058477</v>
      </c>
      <c r="EH13" s="230">
        <v>1972089</v>
      </c>
      <c r="EI13" s="229">
        <v>4.3799999999999999E-2</v>
      </c>
      <c r="EJ13" s="229">
        <v>0.379</v>
      </c>
      <c r="EK13" s="231">
        <v>1099.95</v>
      </c>
      <c r="EL13" s="228">
        <v>322.24</v>
      </c>
      <c r="EM13" s="228">
        <v>227</v>
      </c>
      <c r="EN13" s="228">
        <v>24.19</v>
      </c>
      <c r="EO13" s="231">
        <v>1649.2</v>
      </c>
      <c r="EP13" s="231">
        <v>1595.27</v>
      </c>
      <c r="EQ13" s="228">
        <v>53.92</v>
      </c>
      <c r="ER13" s="229">
        <v>3.3799999999999997E-2</v>
      </c>
      <c r="ES13" s="228">
        <v>528.6</v>
      </c>
      <c r="ET13" s="228">
        <v>232.05</v>
      </c>
      <c r="EU13" s="228">
        <v>807.38</v>
      </c>
      <c r="EV13" s="231">
        <v>96940911</v>
      </c>
      <c r="EW13" s="231">
        <v>1568.03</v>
      </c>
      <c r="EX13" s="231">
        <v>1509.56</v>
      </c>
      <c r="EY13" s="228">
        <v>58.47</v>
      </c>
      <c r="EZ13" s="229">
        <v>3.8699999999999998E-2</v>
      </c>
      <c r="FA13" s="229">
        <v>0.50760000000000005</v>
      </c>
      <c r="FB13" s="227" t="s">
        <v>555</v>
      </c>
      <c r="FC13">
        <f t="shared" si="0"/>
        <v>24</v>
      </c>
    </row>
    <row r="14" spans="1:159" ht="17.25" thickBot="1" x14ac:dyDescent="0.3">
      <c r="A14" s="226">
        <v>46148</v>
      </c>
      <c r="B14" s="227" t="s">
        <v>227</v>
      </c>
      <c r="C14" s="227" t="s">
        <v>597</v>
      </c>
      <c r="D14" s="228">
        <v>350</v>
      </c>
      <c r="E14" s="228">
        <v>20</v>
      </c>
      <c r="F14" s="231">
        <v>1927.3</v>
      </c>
      <c r="G14" s="231">
        <v>1881.6</v>
      </c>
      <c r="H14" s="228">
        <v>45.7</v>
      </c>
      <c r="I14" s="229">
        <v>2.4299999999999999E-2</v>
      </c>
      <c r="J14" s="231">
        <v>1914.7</v>
      </c>
      <c r="K14" s="231">
        <v>1870.6</v>
      </c>
      <c r="L14" s="228">
        <v>44.1</v>
      </c>
      <c r="M14" s="229">
        <v>2.3599999999999999E-2</v>
      </c>
      <c r="N14" s="231">
        <v>1927.3</v>
      </c>
      <c r="O14" s="231">
        <v>1881.6</v>
      </c>
      <c r="P14" s="228">
        <v>45.7</v>
      </c>
      <c r="Q14" s="229">
        <v>2.4299999999999999E-2</v>
      </c>
      <c r="R14" s="231">
        <v>1941.1</v>
      </c>
      <c r="S14" s="231">
        <v>1893</v>
      </c>
      <c r="T14" s="228">
        <v>48.1</v>
      </c>
      <c r="U14" s="229">
        <v>2.5399999999999999E-2</v>
      </c>
      <c r="V14" s="231">
        <v>1953.6</v>
      </c>
      <c r="W14" s="231">
        <v>1891.5</v>
      </c>
      <c r="X14" s="228">
        <v>62.1</v>
      </c>
      <c r="Y14" s="229">
        <v>3.2800000000000003E-2</v>
      </c>
      <c r="Z14" s="228">
        <v>12.6</v>
      </c>
      <c r="AA14" s="228">
        <v>11</v>
      </c>
      <c r="AB14" s="228">
        <v>1.6</v>
      </c>
      <c r="AC14" s="229">
        <v>6.6E-3</v>
      </c>
      <c r="AD14" s="228">
        <v>12.6</v>
      </c>
      <c r="AE14" s="228">
        <v>11</v>
      </c>
      <c r="AF14" s="228">
        <v>1.6</v>
      </c>
      <c r="AG14" s="229">
        <v>6.6E-3</v>
      </c>
      <c r="AH14" s="228">
        <v>26.4</v>
      </c>
      <c r="AI14" s="228">
        <v>22.4</v>
      </c>
      <c r="AJ14" s="228">
        <v>4</v>
      </c>
      <c r="AK14" s="229">
        <v>1.38E-2</v>
      </c>
      <c r="AL14" s="228">
        <v>38.9</v>
      </c>
      <c r="AM14" s="228">
        <v>20.9</v>
      </c>
      <c r="AN14" s="228">
        <v>18</v>
      </c>
      <c r="AO14" s="229">
        <v>2.0299999999999999E-2</v>
      </c>
      <c r="AP14" s="231">
        <v>1906.59</v>
      </c>
      <c r="AQ14" s="231">
        <v>1914.92</v>
      </c>
      <c r="AR14" s="228">
        <v>0</v>
      </c>
      <c r="AS14" s="228">
        <v>110</v>
      </c>
      <c r="AT14" s="228">
        <v>188</v>
      </c>
      <c r="AU14" s="228">
        <v>-79</v>
      </c>
      <c r="AV14" s="229">
        <v>-0.41849999999999998</v>
      </c>
      <c r="AW14" s="228">
        <v>105</v>
      </c>
      <c r="AX14" s="228">
        <v>184</v>
      </c>
      <c r="AY14" s="228">
        <v>-79</v>
      </c>
      <c r="AZ14" s="229">
        <v>-0.42959999999999998</v>
      </c>
      <c r="BA14" s="228">
        <v>4</v>
      </c>
      <c r="BB14" s="228">
        <v>4</v>
      </c>
      <c r="BC14" s="228">
        <v>0</v>
      </c>
      <c r="BD14" s="229">
        <v>-3.2800000000000003E-2</v>
      </c>
      <c r="BE14" s="228">
        <v>1</v>
      </c>
      <c r="BF14" s="228">
        <v>0</v>
      </c>
      <c r="BG14" s="228">
        <v>0</v>
      </c>
      <c r="BH14" s="229">
        <v>0.66669999999999996</v>
      </c>
      <c r="BI14" s="228">
        <v>551</v>
      </c>
      <c r="BJ14" s="228">
        <v>415</v>
      </c>
      <c r="BK14" s="228">
        <v>135</v>
      </c>
      <c r="BL14" s="229">
        <v>0.32569999999999999</v>
      </c>
      <c r="BM14" s="228">
        <v>141</v>
      </c>
      <c r="BN14" s="228">
        <v>214</v>
      </c>
      <c r="BO14" s="228">
        <v>-73</v>
      </c>
      <c r="BP14" s="229">
        <v>-0.34060000000000001</v>
      </c>
      <c r="BQ14" s="228">
        <v>802</v>
      </c>
      <c r="BR14" s="228">
        <v>818</v>
      </c>
      <c r="BS14" s="228">
        <v>-16</v>
      </c>
      <c r="BT14" s="229">
        <v>-2.01E-2</v>
      </c>
      <c r="BU14" s="230">
        <v>1115751</v>
      </c>
      <c r="BV14" s="230">
        <v>1299908</v>
      </c>
      <c r="BW14" s="230">
        <v>-184157</v>
      </c>
      <c r="BX14" s="229">
        <v>-0.14169999999999999</v>
      </c>
      <c r="BY14" s="230">
        <v>1170</v>
      </c>
      <c r="BZ14" s="230">
        <v>1179</v>
      </c>
      <c r="CA14" s="228">
        <v>-9</v>
      </c>
      <c r="CB14" s="229">
        <v>-7.3000000000000001E-3</v>
      </c>
      <c r="CC14" s="230">
        <v>1065</v>
      </c>
      <c r="CD14" s="230">
        <v>1074</v>
      </c>
      <c r="CE14" s="228">
        <v>-10</v>
      </c>
      <c r="CF14" s="229">
        <v>-8.8999999999999999E-3</v>
      </c>
      <c r="CG14" s="228">
        <v>103</v>
      </c>
      <c r="CH14" s="228">
        <v>103</v>
      </c>
      <c r="CI14" s="228">
        <v>1</v>
      </c>
      <c r="CJ14" s="229">
        <v>7.1999999999999998E-3</v>
      </c>
      <c r="CK14" s="228">
        <v>2</v>
      </c>
      <c r="CL14" s="228">
        <v>2</v>
      </c>
      <c r="CM14" s="228">
        <v>0</v>
      </c>
      <c r="CN14" s="229">
        <v>5.8799999999999998E-2</v>
      </c>
      <c r="CO14" s="228">
        <v>366</v>
      </c>
      <c r="CP14" s="228">
        <v>345</v>
      </c>
      <c r="CQ14" s="228">
        <v>21</v>
      </c>
      <c r="CR14" s="229">
        <v>0.06</v>
      </c>
      <c r="CS14" s="228">
        <v>193</v>
      </c>
      <c r="CT14" s="228">
        <v>190</v>
      </c>
      <c r="CU14" s="228">
        <v>3</v>
      </c>
      <c r="CV14" s="229">
        <v>1.4200000000000001E-2</v>
      </c>
      <c r="CW14" s="230">
        <v>1729</v>
      </c>
      <c r="CX14" s="230">
        <v>1714</v>
      </c>
      <c r="CY14" s="228">
        <v>15</v>
      </c>
      <c r="CZ14" s="229">
        <v>8.6E-3</v>
      </c>
      <c r="DA14" s="228">
        <v>29.9</v>
      </c>
      <c r="DB14" s="228">
        <v>30.69</v>
      </c>
      <c r="DC14" s="228">
        <v>-0.79</v>
      </c>
      <c r="DD14" s="228">
        <v>-0.79</v>
      </c>
      <c r="DE14" s="228">
        <v>36.229999999999997</v>
      </c>
      <c r="DF14" s="228">
        <v>36.18</v>
      </c>
      <c r="DG14" s="228">
        <v>-6.33</v>
      </c>
      <c r="DH14" s="228">
        <v>0.05</v>
      </c>
      <c r="DI14" s="228">
        <v>29.68</v>
      </c>
      <c r="DJ14" s="228">
        <v>30.55</v>
      </c>
      <c r="DK14" s="228">
        <v>-0.87</v>
      </c>
      <c r="DL14" s="228">
        <v>-0.87</v>
      </c>
      <c r="DM14" s="228">
        <v>30.76</v>
      </c>
      <c r="DN14" s="228">
        <v>30.95</v>
      </c>
      <c r="DO14" s="228">
        <v>-0.19</v>
      </c>
      <c r="DP14" s="228">
        <v>-0.19</v>
      </c>
      <c r="DQ14" s="228">
        <v>0.53</v>
      </c>
      <c r="DR14" s="228">
        <v>0.55000000000000004</v>
      </c>
      <c r="DS14" s="228">
        <v>-0.02</v>
      </c>
      <c r="DT14" s="229">
        <v>-3.6400000000000002E-2</v>
      </c>
      <c r="DU14" s="231">
        <v>2000</v>
      </c>
      <c r="DV14" s="231">
        <v>1900</v>
      </c>
      <c r="DW14" s="228">
        <v>0.26</v>
      </c>
      <c r="DX14" s="228">
        <v>0.52</v>
      </c>
      <c r="DY14" s="228">
        <v>-0.26</v>
      </c>
      <c r="DZ14" s="229">
        <v>-0.5</v>
      </c>
      <c r="EA14" s="229">
        <v>9.0499999999999997E-2</v>
      </c>
      <c r="EB14" s="230">
        <v>544950</v>
      </c>
      <c r="EC14" s="229">
        <v>7.1999999999999998E-3</v>
      </c>
      <c r="ED14" s="229">
        <v>9.0499999999999997E-2</v>
      </c>
      <c r="EE14" s="228">
        <v>8.33</v>
      </c>
      <c r="EF14" s="229">
        <v>4.4000000000000003E-3</v>
      </c>
      <c r="EG14" s="230">
        <v>733582</v>
      </c>
      <c r="EH14" s="230">
        <v>748057</v>
      </c>
      <c r="EI14" s="229">
        <v>-1.9400000000000001E-2</v>
      </c>
      <c r="EJ14" s="229">
        <v>0.65749999999999997</v>
      </c>
      <c r="EK14" s="228">
        <v>574.13</v>
      </c>
      <c r="EL14" s="228">
        <v>137.82</v>
      </c>
      <c r="EM14" s="228">
        <v>108.4</v>
      </c>
      <c r="EN14" s="228">
        <v>33.5</v>
      </c>
      <c r="EO14" s="228">
        <v>820.35</v>
      </c>
      <c r="EP14" s="228">
        <v>820.59</v>
      </c>
      <c r="EQ14" s="228">
        <v>-0.24</v>
      </c>
      <c r="ER14" s="229">
        <v>-2.9999999999999997E-4</v>
      </c>
      <c r="ES14" s="228">
        <v>384.72</v>
      </c>
      <c r="ET14" s="228">
        <v>188.81</v>
      </c>
      <c r="EU14" s="231">
        <v>1171.26</v>
      </c>
      <c r="EV14" s="231">
        <v>29871221</v>
      </c>
      <c r="EW14" s="231">
        <v>1744.8</v>
      </c>
      <c r="EX14" s="231">
        <v>1700.33</v>
      </c>
      <c r="EY14" s="228">
        <v>44.47</v>
      </c>
      <c r="EZ14" s="229">
        <v>2.6200000000000001E-2</v>
      </c>
      <c r="FA14" s="229">
        <v>0.3004</v>
      </c>
      <c r="FB14" s="227" t="s">
        <v>691</v>
      </c>
      <c r="FC14">
        <f t="shared" si="0"/>
        <v>105</v>
      </c>
    </row>
    <row r="15" spans="1:159" ht="17.25" thickBot="1" x14ac:dyDescent="0.3">
      <c r="A15" s="226">
        <v>46148</v>
      </c>
      <c r="B15" s="227" t="s">
        <v>170</v>
      </c>
      <c r="C15" s="227" t="s">
        <v>165</v>
      </c>
      <c r="D15" s="228">
        <v>125</v>
      </c>
      <c r="E15" s="228">
        <v>20</v>
      </c>
      <c r="F15" s="231">
        <v>7814.5</v>
      </c>
      <c r="G15" s="231">
        <v>7789.5</v>
      </c>
      <c r="H15" s="228">
        <v>25</v>
      </c>
      <c r="I15" s="229">
        <v>3.2000000000000002E-3</v>
      </c>
      <c r="J15" s="231">
        <v>7760.5</v>
      </c>
      <c r="K15" s="231">
        <v>7772</v>
      </c>
      <c r="L15" s="228">
        <v>-11.5</v>
      </c>
      <c r="M15" s="229">
        <v>-1.5E-3</v>
      </c>
      <c r="N15" s="231">
        <v>7814.5</v>
      </c>
      <c r="O15" s="231">
        <v>7789.5</v>
      </c>
      <c r="P15" s="228">
        <v>25</v>
      </c>
      <c r="Q15" s="229">
        <v>3.2000000000000002E-3</v>
      </c>
      <c r="R15" s="231">
        <v>7861.5</v>
      </c>
      <c r="S15" s="231">
        <v>7844</v>
      </c>
      <c r="T15" s="228">
        <v>17.5</v>
      </c>
      <c r="U15" s="229">
        <v>2.2000000000000001E-3</v>
      </c>
      <c r="V15" s="231">
        <v>7912</v>
      </c>
      <c r="W15" s="231">
        <v>7885.5</v>
      </c>
      <c r="X15" s="228">
        <v>26.5</v>
      </c>
      <c r="Y15" s="229">
        <v>3.3999999999999998E-3</v>
      </c>
      <c r="Z15" s="228">
        <v>54</v>
      </c>
      <c r="AA15" s="228">
        <v>17.5</v>
      </c>
      <c r="AB15" s="228">
        <v>36.5</v>
      </c>
      <c r="AC15" s="229">
        <v>7.0000000000000001E-3</v>
      </c>
      <c r="AD15" s="228">
        <v>54</v>
      </c>
      <c r="AE15" s="228">
        <v>17.5</v>
      </c>
      <c r="AF15" s="228">
        <v>36.5</v>
      </c>
      <c r="AG15" s="229">
        <v>7.0000000000000001E-3</v>
      </c>
      <c r="AH15" s="228">
        <v>101</v>
      </c>
      <c r="AI15" s="228">
        <v>72</v>
      </c>
      <c r="AJ15" s="228">
        <v>29</v>
      </c>
      <c r="AK15" s="229">
        <v>1.2999999999999999E-2</v>
      </c>
      <c r="AL15" s="228">
        <v>151.5</v>
      </c>
      <c r="AM15" s="228">
        <v>113.5</v>
      </c>
      <c r="AN15" s="228">
        <v>38</v>
      </c>
      <c r="AO15" s="229">
        <v>1.95E-2</v>
      </c>
      <c r="AP15" s="231">
        <v>7818.6</v>
      </c>
      <c r="AQ15" s="231">
        <v>7866.05</v>
      </c>
      <c r="AR15" s="228">
        <v>0</v>
      </c>
      <c r="AS15" s="228">
        <v>190</v>
      </c>
      <c r="AT15" s="228">
        <v>156</v>
      </c>
      <c r="AU15" s="228">
        <v>34</v>
      </c>
      <c r="AV15" s="229">
        <v>0.21709999999999999</v>
      </c>
      <c r="AW15" s="228">
        <v>178</v>
      </c>
      <c r="AX15" s="228">
        <v>150</v>
      </c>
      <c r="AY15" s="228">
        <v>28</v>
      </c>
      <c r="AZ15" s="229">
        <v>0.18590000000000001</v>
      </c>
      <c r="BA15" s="228">
        <v>11</v>
      </c>
      <c r="BB15" s="228">
        <v>6</v>
      </c>
      <c r="BC15" s="228">
        <v>5</v>
      </c>
      <c r="BD15" s="229">
        <v>0.91800000000000004</v>
      </c>
      <c r="BE15" s="228">
        <v>1</v>
      </c>
      <c r="BF15" s="228">
        <v>0</v>
      </c>
      <c r="BG15" s="228">
        <v>1</v>
      </c>
      <c r="BH15" s="229">
        <v>1.5</v>
      </c>
      <c r="BI15" s="228">
        <v>530</v>
      </c>
      <c r="BJ15" s="228">
        <v>507</v>
      </c>
      <c r="BK15" s="228">
        <v>23</v>
      </c>
      <c r="BL15" s="229">
        <v>4.6300000000000001E-2</v>
      </c>
      <c r="BM15" s="228">
        <v>215</v>
      </c>
      <c r="BN15" s="228">
        <v>266</v>
      </c>
      <c r="BO15" s="228">
        <v>-51</v>
      </c>
      <c r="BP15" s="229">
        <v>-0.1933</v>
      </c>
      <c r="BQ15" s="228">
        <v>935</v>
      </c>
      <c r="BR15" s="228">
        <v>929</v>
      </c>
      <c r="BS15" s="228">
        <v>6</v>
      </c>
      <c r="BT15" s="229">
        <v>6.3E-3</v>
      </c>
      <c r="BU15" s="230">
        <v>442304</v>
      </c>
      <c r="BV15" s="230">
        <v>260156</v>
      </c>
      <c r="BW15" s="230">
        <v>182148</v>
      </c>
      <c r="BX15" s="229">
        <v>0.70009999999999994</v>
      </c>
      <c r="BY15" s="230">
        <v>1575</v>
      </c>
      <c r="BZ15" s="230">
        <v>1577</v>
      </c>
      <c r="CA15" s="228">
        <v>-2</v>
      </c>
      <c r="CB15" s="229">
        <v>-1.2999999999999999E-3</v>
      </c>
      <c r="CC15" s="230">
        <v>1431</v>
      </c>
      <c r="CD15" s="230">
        <v>1439</v>
      </c>
      <c r="CE15" s="228">
        <v>-8</v>
      </c>
      <c r="CF15" s="229">
        <v>-5.7999999999999996E-3</v>
      </c>
      <c r="CG15" s="228">
        <v>141</v>
      </c>
      <c r="CH15" s="228">
        <v>135</v>
      </c>
      <c r="CI15" s="228">
        <v>6</v>
      </c>
      <c r="CJ15" s="229">
        <v>4.3400000000000001E-2</v>
      </c>
      <c r="CK15" s="228">
        <v>3</v>
      </c>
      <c r="CL15" s="228">
        <v>3</v>
      </c>
      <c r="CM15" s="228">
        <v>0</v>
      </c>
      <c r="CN15" s="229">
        <v>0.1429</v>
      </c>
      <c r="CO15" s="228">
        <v>602</v>
      </c>
      <c r="CP15" s="228">
        <v>552</v>
      </c>
      <c r="CQ15" s="228">
        <v>50</v>
      </c>
      <c r="CR15" s="229">
        <v>9.06E-2</v>
      </c>
      <c r="CS15" s="228">
        <v>360</v>
      </c>
      <c r="CT15" s="228">
        <v>346</v>
      </c>
      <c r="CU15" s="228">
        <v>14</v>
      </c>
      <c r="CV15" s="229">
        <v>4.0300000000000002E-2</v>
      </c>
      <c r="CW15" s="230">
        <v>2537</v>
      </c>
      <c r="CX15" s="230">
        <v>2475</v>
      </c>
      <c r="CY15" s="228">
        <v>62</v>
      </c>
      <c r="CZ15" s="229">
        <v>2.5000000000000001E-2</v>
      </c>
      <c r="DA15" s="228">
        <v>25.58</v>
      </c>
      <c r="DB15" s="228">
        <v>26.35</v>
      </c>
      <c r="DC15" s="228">
        <v>-0.77</v>
      </c>
      <c r="DD15" s="228">
        <v>-0.77</v>
      </c>
      <c r="DE15" s="228">
        <v>24.87</v>
      </c>
      <c r="DF15" s="228">
        <v>24.93</v>
      </c>
      <c r="DG15" s="228">
        <v>0.71</v>
      </c>
      <c r="DH15" s="228">
        <v>-0.06</v>
      </c>
      <c r="DI15" s="228">
        <v>25.65</v>
      </c>
      <c r="DJ15" s="228">
        <v>26.14</v>
      </c>
      <c r="DK15" s="228">
        <v>-0.49</v>
      </c>
      <c r="DL15" s="228">
        <v>-0.49</v>
      </c>
      <c r="DM15" s="228">
        <v>25.41</v>
      </c>
      <c r="DN15" s="228">
        <v>26.74</v>
      </c>
      <c r="DO15" s="228">
        <v>-1.33</v>
      </c>
      <c r="DP15" s="228">
        <v>-1.33</v>
      </c>
      <c r="DQ15" s="228">
        <v>0.6</v>
      </c>
      <c r="DR15" s="228">
        <v>0.63</v>
      </c>
      <c r="DS15" s="228">
        <v>-0.03</v>
      </c>
      <c r="DT15" s="229">
        <v>-4.7600000000000003E-2</v>
      </c>
      <c r="DU15" s="231">
        <v>8500</v>
      </c>
      <c r="DV15" s="231">
        <v>7000</v>
      </c>
      <c r="DW15" s="228">
        <v>0.41</v>
      </c>
      <c r="DX15" s="228">
        <v>0.53</v>
      </c>
      <c r="DY15" s="228">
        <v>-0.12</v>
      </c>
      <c r="DZ15" s="229">
        <v>-0.22639999999999999</v>
      </c>
      <c r="EA15" s="229">
        <v>9.1399999999999995E-2</v>
      </c>
      <c r="EB15" s="230">
        <v>176125</v>
      </c>
      <c r="EC15" s="229">
        <v>6.0000000000000001E-3</v>
      </c>
      <c r="ED15" s="229">
        <v>9.1399999999999995E-2</v>
      </c>
      <c r="EE15" s="228">
        <v>47.45</v>
      </c>
      <c r="EF15" s="229">
        <v>6.1000000000000004E-3</v>
      </c>
      <c r="EG15" s="230">
        <v>355600</v>
      </c>
      <c r="EH15" s="230">
        <v>174731</v>
      </c>
      <c r="EI15" s="229">
        <v>1.0350999999999999</v>
      </c>
      <c r="EJ15" s="229">
        <v>0.80400000000000005</v>
      </c>
      <c r="EK15" s="228">
        <v>558.9</v>
      </c>
      <c r="EL15" s="228">
        <v>210.27</v>
      </c>
      <c r="EM15" s="228">
        <v>190.17</v>
      </c>
      <c r="EN15" s="228">
        <v>17.97</v>
      </c>
      <c r="EO15" s="228">
        <v>959.34</v>
      </c>
      <c r="EP15" s="228">
        <v>942</v>
      </c>
      <c r="EQ15" s="228">
        <v>17.34</v>
      </c>
      <c r="ER15" s="229">
        <v>1.84E-2</v>
      </c>
      <c r="ES15" s="228">
        <v>628.96</v>
      </c>
      <c r="ET15" s="228">
        <v>338.24</v>
      </c>
      <c r="EU15" s="231">
        <v>1575.61</v>
      </c>
      <c r="EV15" s="231">
        <v>15524629</v>
      </c>
      <c r="EW15" s="231">
        <v>2542.81</v>
      </c>
      <c r="EX15" s="231">
        <v>2470.89</v>
      </c>
      <c r="EY15" s="228">
        <v>71.92</v>
      </c>
      <c r="EZ15" s="229">
        <v>2.9100000000000001E-2</v>
      </c>
      <c r="FA15" s="229">
        <v>0.20910000000000001</v>
      </c>
      <c r="FB15" s="227" t="s">
        <v>691</v>
      </c>
      <c r="FC15">
        <f t="shared" si="0"/>
        <v>144</v>
      </c>
    </row>
    <row r="16" spans="1:159" ht="17.25" thickBot="1" x14ac:dyDescent="0.3">
      <c r="A16" s="226">
        <v>46148</v>
      </c>
      <c r="B16" s="227" t="s">
        <v>162</v>
      </c>
      <c r="C16" s="227" t="s">
        <v>167</v>
      </c>
      <c r="D16" s="228">
        <v>5000</v>
      </c>
      <c r="E16" s="228">
        <v>20</v>
      </c>
      <c r="F16" s="228">
        <v>168.83</v>
      </c>
      <c r="G16" s="228">
        <v>159.91</v>
      </c>
      <c r="H16" s="228">
        <v>8.92</v>
      </c>
      <c r="I16" s="229">
        <v>5.5800000000000002E-2</v>
      </c>
      <c r="J16" s="228">
        <v>167.8</v>
      </c>
      <c r="K16" s="228">
        <v>160.25</v>
      </c>
      <c r="L16" s="228">
        <v>7.55</v>
      </c>
      <c r="M16" s="229">
        <v>4.7100000000000003E-2</v>
      </c>
      <c r="N16" s="228">
        <v>168.83</v>
      </c>
      <c r="O16" s="228">
        <v>159.91</v>
      </c>
      <c r="P16" s="228">
        <v>8.92</v>
      </c>
      <c r="Q16" s="229">
        <v>5.5800000000000002E-2</v>
      </c>
      <c r="R16" s="228">
        <v>168.13</v>
      </c>
      <c r="S16" s="228">
        <v>159.08000000000001</v>
      </c>
      <c r="T16" s="228">
        <v>9.0500000000000007</v>
      </c>
      <c r="U16" s="229">
        <v>5.6899999999999999E-2</v>
      </c>
      <c r="V16" s="228">
        <v>167.48</v>
      </c>
      <c r="W16" s="228">
        <v>158.57</v>
      </c>
      <c r="X16" s="228">
        <v>8.91</v>
      </c>
      <c r="Y16" s="229">
        <v>5.62E-2</v>
      </c>
      <c r="Z16" s="228">
        <v>1.03</v>
      </c>
      <c r="AA16" s="228">
        <v>-0.34</v>
      </c>
      <c r="AB16" s="228">
        <v>1.37</v>
      </c>
      <c r="AC16" s="229">
        <v>6.1000000000000004E-3</v>
      </c>
      <c r="AD16" s="228">
        <v>1.03</v>
      </c>
      <c r="AE16" s="228">
        <v>-0.34</v>
      </c>
      <c r="AF16" s="228">
        <v>1.37</v>
      </c>
      <c r="AG16" s="229">
        <v>6.1000000000000004E-3</v>
      </c>
      <c r="AH16" s="228">
        <v>0.33</v>
      </c>
      <c r="AI16" s="228">
        <v>-1.17</v>
      </c>
      <c r="AJ16" s="228">
        <v>1.5</v>
      </c>
      <c r="AK16" s="229">
        <v>2E-3</v>
      </c>
      <c r="AL16" s="228">
        <v>-0.32</v>
      </c>
      <c r="AM16" s="228">
        <v>-1.68</v>
      </c>
      <c r="AN16" s="228">
        <v>1.36</v>
      </c>
      <c r="AO16" s="229">
        <v>-1.9E-3</v>
      </c>
      <c r="AP16" s="228">
        <v>166.03</v>
      </c>
      <c r="AQ16" s="228">
        <v>164.92</v>
      </c>
      <c r="AR16" s="228">
        <v>0</v>
      </c>
      <c r="AS16" s="228">
        <v>938</v>
      </c>
      <c r="AT16" s="228">
        <v>408</v>
      </c>
      <c r="AU16" s="228">
        <v>530</v>
      </c>
      <c r="AV16" s="229">
        <v>1.3008999999999999</v>
      </c>
      <c r="AW16" s="228">
        <v>838</v>
      </c>
      <c r="AX16" s="228">
        <v>347</v>
      </c>
      <c r="AY16" s="228">
        <v>491</v>
      </c>
      <c r="AZ16" s="229">
        <v>1.4125000000000001</v>
      </c>
      <c r="BA16" s="228">
        <v>90</v>
      </c>
      <c r="BB16" s="228">
        <v>58</v>
      </c>
      <c r="BC16" s="228">
        <v>32</v>
      </c>
      <c r="BD16" s="229">
        <v>0.55569999999999997</v>
      </c>
      <c r="BE16" s="228">
        <v>11</v>
      </c>
      <c r="BF16" s="228">
        <v>3</v>
      </c>
      <c r="BG16" s="228">
        <v>8</v>
      </c>
      <c r="BH16" s="229">
        <v>2.7879</v>
      </c>
      <c r="BI16" s="230">
        <v>2959</v>
      </c>
      <c r="BJ16" s="228">
        <v>914</v>
      </c>
      <c r="BK16" s="230">
        <v>2045</v>
      </c>
      <c r="BL16" s="229">
        <v>2.2361</v>
      </c>
      <c r="BM16" s="228">
        <v>983</v>
      </c>
      <c r="BN16" s="228">
        <v>523</v>
      </c>
      <c r="BO16" s="228">
        <v>460</v>
      </c>
      <c r="BP16" s="229">
        <v>0.88060000000000005</v>
      </c>
      <c r="BQ16" s="230">
        <v>4880</v>
      </c>
      <c r="BR16" s="230">
        <v>1845</v>
      </c>
      <c r="BS16" s="230">
        <v>3035</v>
      </c>
      <c r="BT16" s="229">
        <v>1.6454</v>
      </c>
      <c r="BU16" s="230">
        <v>23604791</v>
      </c>
      <c r="BV16" s="230">
        <v>13410537</v>
      </c>
      <c r="BW16" s="230">
        <v>10194254</v>
      </c>
      <c r="BX16" s="229">
        <v>0.76019999999999999</v>
      </c>
      <c r="BY16" s="230">
        <v>2371</v>
      </c>
      <c r="BZ16" s="230">
        <v>2399</v>
      </c>
      <c r="CA16" s="228">
        <v>-27</v>
      </c>
      <c r="CB16" s="229">
        <v>-1.14E-2</v>
      </c>
      <c r="CC16" s="230">
        <v>2186</v>
      </c>
      <c r="CD16" s="230">
        <v>2220</v>
      </c>
      <c r="CE16" s="228">
        <v>-34</v>
      </c>
      <c r="CF16" s="229">
        <v>-1.5299999999999999E-2</v>
      </c>
      <c r="CG16" s="228">
        <v>169</v>
      </c>
      <c r="CH16" s="228">
        <v>163</v>
      </c>
      <c r="CI16" s="228">
        <v>6</v>
      </c>
      <c r="CJ16" s="229">
        <v>3.4200000000000001E-2</v>
      </c>
      <c r="CK16" s="228">
        <v>17</v>
      </c>
      <c r="CL16" s="228">
        <v>16</v>
      </c>
      <c r="CM16" s="228">
        <v>1</v>
      </c>
      <c r="CN16" s="229">
        <v>6.2799999999999995E-2</v>
      </c>
      <c r="CO16" s="230">
        <v>1550</v>
      </c>
      <c r="CP16" s="230">
        <v>1485</v>
      </c>
      <c r="CQ16" s="228">
        <v>65</v>
      </c>
      <c r="CR16" s="229">
        <v>4.3799999999999999E-2</v>
      </c>
      <c r="CS16" s="228">
        <v>868</v>
      </c>
      <c r="CT16" s="228">
        <v>852</v>
      </c>
      <c r="CU16" s="228">
        <v>16</v>
      </c>
      <c r="CV16" s="229">
        <v>1.84E-2</v>
      </c>
      <c r="CW16" s="230">
        <v>4789</v>
      </c>
      <c r="CX16" s="230">
        <v>4736</v>
      </c>
      <c r="CY16" s="228">
        <v>53</v>
      </c>
      <c r="CZ16" s="229">
        <v>1.12E-2</v>
      </c>
      <c r="DA16" s="228">
        <v>43.27</v>
      </c>
      <c r="DB16" s="228">
        <v>42.76</v>
      </c>
      <c r="DC16" s="228">
        <v>0.51</v>
      </c>
      <c r="DD16" s="228">
        <v>0.51</v>
      </c>
      <c r="DE16" s="228">
        <v>42.5</v>
      </c>
      <c r="DF16" s="228">
        <v>42.15</v>
      </c>
      <c r="DG16" s="228">
        <v>0.77</v>
      </c>
      <c r="DH16" s="228">
        <v>0.35</v>
      </c>
      <c r="DI16" s="228">
        <v>43.35</v>
      </c>
      <c r="DJ16" s="228">
        <v>43.56</v>
      </c>
      <c r="DK16" s="228">
        <v>-0.21</v>
      </c>
      <c r="DL16" s="228">
        <v>-0.21</v>
      </c>
      <c r="DM16" s="228">
        <v>43.02</v>
      </c>
      <c r="DN16" s="228">
        <v>41.35</v>
      </c>
      <c r="DO16" s="228">
        <v>1.67</v>
      </c>
      <c r="DP16" s="228">
        <v>1.67</v>
      </c>
      <c r="DQ16" s="228">
        <v>0.56000000000000005</v>
      </c>
      <c r="DR16" s="228">
        <v>0.56999999999999995</v>
      </c>
      <c r="DS16" s="228">
        <v>-0.01</v>
      </c>
      <c r="DT16" s="229">
        <v>-1.7500000000000002E-2</v>
      </c>
      <c r="DU16" s="228">
        <v>200</v>
      </c>
      <c r="DV16" s="228">
        <v>160</v>
      </c>
      <c r="DW16" s="228">
        <v>0.33</v>
      </c>
      <c r="DX16" s="228">
        <v>0.56999999999999995</v>
      </c>
      <c r="DY16" s="228">
        <v>-0.24</v>
      </c>
      <c r="DZ16" s="229">
        <v>-0.42109999999999997</v>
      </c>
      <c r="EA16" s="229">
        <v>7.8299999999999995E-2</v>
      </c>
      <c r="EB16" s="230">
        <v>10615000</v>
      </c>
      <c r="EC16" s="229">
        <v>-4.1000000000000003E-3</v>
      </c>
      <c r="ED16" s="229">
        <v>7.8299999999999995E-2</v>
      </c>
      <c r="EE16" s="228">
        <v>-1.1100000000000001</v>
      </c>
      <c r="EF16" s="229">
        <v>-6.7000000000000002E-3</v>
      </c>
      <c r="EG16" s="230">
        <v>10965888</v>
      </c>
      <c r="EH16" s="230">
        <v>6089532</v>
      </c>
      <c r="EI16" s="229">
        <v>0.80079999999999996</v>
      </c>
      <c r="EJ16" s="229">
        <v>0.46460000000000001</v>
      </c>
      <c r="EK16" s="231">
        <v>3161.2</v>
      </c>
      <c r="EL16" s="228">
        <v>936.51</v>
      </c>
      <c r="EM16" s="228">
        <v>921.73</v>
      </c>
      <c r="EN16" s="228">
        <v>57.81</v>
      </c>
      <c r="EO16" s="231">
        <v>5019.43</v>
      </c>
      <c r="EP16" s="231">
        <v>1894.24</v>
      </c>
      <c r="EQ16" s="231">
        <v>3125.19</v>
      </c>
      <c r="ER16" s="229">
        <v>1.6497999999999999</v>
      </c>
      <c r="ES16" s="231">
        <v>1680.83</v>
      </c>
      <c r="ET16" s="228">
        <v>857.15</v>
      </c>
      <c r="EU16" s="231">
        <v>2370.5500000000002</v>
      </c>
      <c r="EV16" s="231">
        <v>423779104</v>
      </c>
      <c r="EW16" s="231">
        <v>4908.5200000000004</v>
      </c>
      <c r="EX16" s="231">
        <v>4725.63</v>
      </c>
      <c r="EY16" s="228">
        <v>182.89</v>
      </c>
      <c r="EZ16" s="229">
        <v>3.8699999999999998E-2</v>
      </c>
      <c r="FA16" s="229">
        <v>0.6694</v>
      </c>
      <c r="FB16" s="227" t="s">
        <v>691</v>
      </c>
      <c r="FC16">
        <f t="shared" si="0"/>
        <v>185</v>
      </c>
    </row>
    <row r="17" spans="1:159" ht="17.25" thickBot="1" x14ac:dyDescent="0.3">
      <c r="A17" s="226">
        <v>46148</v>
      </c>
      <c r="B17" s="227" t="s">
        <v>168</v>
      </c>
      <c r="C17" s="227" t="s">
        <v>169</v>
      </c>
      <c r="D17" s="228">
        <v>250</v>
      </c>
      <c r="E17" s="228">
        <v>20</v>
      </c>
      <c r="F17" s="231">
        <v>2530.5</v>
      </c>
      <c r="G17" s="231">
        <v>2441.1</v>
      </c>
      <c r="H17" s="228">
        <v>89.4</v>
      </c>
      <c r="I17" s="229">
        <v>3.6600000000000001E-2</v>
      </c>
      <c r="J17" s="231">
        <v>2519</v>
      </c>
      <c r="K17" s="231">
        <v>2430</v>
      </c>
      <c r="L17" s="228">
        <v>89</v>
      </c>
      <c r="M17" s="229">
        <v>3.6600000000000001E-2</v>
      </c>
      <c r="N17" s="231">
        <v>2530.5</v>
      </c>
      <c r="O17" s="231">
        <v>2441.1</v>
      </c>
      <c r="P17" s="228">
        <v>89.4</v>
      </c>
      <c r="Q17" s="229">
        <v>3.6600000000000001E-2</v>
      </c>
      <c r="R17" s="231">
        <v>2525.1999999999998</v>
      </c>
      <c r="S17" s="231">
        <v>2442.3000000000002</v>
      </c>
      <c r="T17" s="228">
        <v>82.9</v>
      </c>
      <c r="U17" s="229">
        <v>3.39E-2</v>
      </c>
      <c r="V17" s="231">
        <v>2536.1999999999998</v>
      </c>
      <c r="W17" s="231">
        <v>2450.6999999999998</v>
      </c>
      <c r="X17" s="228">
        <v>85.5</v>
      </c>
      <c r="Y17" s="229">
        <v>3.49E-2</v>
      </c>
      <c r="Z17" s="228">
        <v>11.5</v>
      </c>
      <c r="AA17" s="228">
        <v>11.1</v>
      </c>
      <c r="AB17" s="228">
        <v>0.4</v>
      </c>
      <c r="AC17" s="229">
        <v>4.5999999999999999E-3</v>
      </c>
      <c r="AD17" s="228">
        <v>11.5</v>
      </c>
      <c r="AE17" s="228">
        <v>11.1</v>
      </c>
      <c r="AF17" s="228">
        <v>0.4</v>
      </c>
      <c r="AG17" s="229">
        <v>4.5999999999999999E-3</v>
      </c>
      <c r="AH17" s="228">
        <v>6.2</v>
      </c>
      <c r="AI17" s="228">
        <v>12.3</v>
      </c>
      <c r="AJ17" s="228">
        <v>-6.1</v>
      </c>
      <c r="AK17" s="229">
        <v>2.5000000000000001E-3</v>
      </c>
      <c r="AL17" s="228">
        <v>17.2</v>
      </c>
      <c r="AM17" s="228">
        <v>20.7</v>
      </c>
      <c r="AN17" s="228">
        <v>-3.5</v>
      </c>
      <c r="AO17" s="229">
        <v>6.7999999999999996E-3</v>
      </c>
      <c r="AP17" s="231">
        <v>2510.19</v>
      </c>
      <c r="AQ17" s="231">
        <v>2497.44</v>
      </c>
      <c r="AR17" s="228">
        <v>0</v>
      </c>
      <c r="AS17" s="228">
        <v>531</v>
      </c>
      <c r="AT17" s="228">
        <v>205</v>
      </c>
      <c r="AU17" s="228">
        <v>326</v>
      </c>
      <c r="AV17" s="229">
        <v>1.5934999999999999</v>
      </c>
      <c r="AW17" s="228">
        <v>495</v>
      </c>
      <c r="AX17" s="228">
        <v>187</v>
      </c>
      <c r="AY17" s="228">
        <v>308</v>
      </c>
      <c r="AZ17" s="229">
        <v>1.6447000000000001</v>
      </c>
      <c r="BA17" s="228">
        <v>31</v>
      </c>
      <c r="BB17" s="228">
        <v>16</v>
      </c>
      <c r="BC17" s="228">
        <v>16</v>
      </c>
      <c r="BD17" s="229">
        <v>0.996</v>
      </c>
      <c r="BE17" s="228">
        <v>4</v>
      </c>
      <c r="BF17" s="228">
        <v>2</v>
      </c>
      <c r="BG17" s="228">
        <v>3</v>
      </c>
      <c r="BH17" s="229">
        <v>1.4482999999999999</v>
      </c>
      <c r="BI17" s="230">
        <v>2322</v>
      </c>
      <c r="BJ17" s="228">
        <v>753</v>
      </c>
      <c r="BK17" s="230">
        <v>1569</v>
      </c>
      <c r="BL17" s="229">
        <v>2.0829</v>
      </c>
      <c r="BM17" s="230">
        <v>1391</v>
      </c>
      <c r="BN17" s="228">
        <v>541</v>
      </c>
      <c r="BO17" s="228">
        <v>850</v>
      </c>
      <c r="BP17" s="229">
        <v>1.571</v>
      </c>
      <c r="BQ17" s="230">
        <v>4244</v>
      </c>
      <c r="BR17" s="230">
        <v>1499</v>
      </c>
      <c r="BS17" s="230">
        <v>2745</v>
      </c>
      <c r="BT17" s="229">
        <v>1.8312999999999999</v>
      </c>
      <c r="BU17" s="230">
        <v>1454785</v>
      </c>
      <c r="BV17" s="230">
        <v>346674</v>
      </c>
      <c r="BW17" s="230">
        <v>1108111</v>
      </c>
      <c r="BX17" s="229">
        <v>3.1964000000000001</v>
      </c>
      <c r="BY17" s="230">
        <v>3579</v>
      </c>
      <c r="BZ17" s="230">
        <v>3623</v>
      </c>
      <c r="CA17" s="228">
        <v>-44</v>
      </c>
      <c r="CB17" s="229">
        <v>-1.2200000000000001E-2</v>
      </c>
      <c r="CC17" s="230">
        <v>3268</v>
      </c>
      <c r="CD17" s="230">
        <v>3318</v>
      </c>
      <c r="CE17" s="228">
        <v>-50</v>
      </c>
      <c r="CF17" s="229">
        <v>-1.49E-2</v>
      </c>
      <c r="CG17" s="228">
        <v>305</v>
      </c>
      <c r="CH17" s="228">
        <v>300</v>
      </c>
      <c r="CI17" s="228">
        <v>5</v>
      </c>
      <c r="CJ17" s="229">
        <v>1.6E-2</v>
      </c>
      <c r="CK17" s="228">
        <v>6</v>
      </c>
      <c r="CL17" s="228">
        <v>5</v>
      </c>
      <c r="CM17" s="228">
        <v>1</v>
      </c>
      <c r="CN17" s="229">
        <v>0.10589999999999999</v>
      </c>
      <c r="CO17" s="230">
        <v>1101</v>
      </c>
      <c r="CP17" s="228">
        <v>983</v>
      </c>
      <c r="CQ17" s="228">
        <v>118</v>
      </c>
      <c r="CR17" s="229">
        <v>0.1206</v>
      </c>
      <c r="CS17" s="228">
        <v>863</v>
      </c>
      <c r="CT17" s="228">
        <v>838</v>
      </c>
      <c r="CU17" s="228">
        <v>25</v>
      </c>
      <c r="CV17" s="229">
        <v>3.0099999999999998E-2</v>
      </c>
      <c r="CW17" s="230">
        <v>5543</v>
      </c>
      <c r="CX17" s="230">
        <v>5444</v>
      </c>
      <c r="CY17" s="228">
        <v>100</v>
      </c>
      <c r="CZ17" s="229">
        <v>1.83E-2</v>
      </c>
      <c r="DA17" s="228">
        <v>27.6</v>
      </c>
      <c r="DB17" s="228">
        <v>27.18</v>
      </c>
      <c r="DC17" s="228">
        <v>0.42</v>
      </c>
      <c r="DD17" s="228">
        <v>0.42</v>
      </c>
      <c r="DE17" s="228">
        <v>29.12</v>
      </c>
      <c r="DF17" s="228">
        <v>28.78</v>
      </c>
      <c r="DG17" s="228">
        <v>-1.52</v>
      </c>
      <c r="DH17" s="228">
        <v>0.34</v>
      </c>
      <c r="DI17" s="228">
        <v>25.96</v>
      </c>
      <c r="DJ17" s="228">
        <v>26.22</v>
      </c>
      <c r="DK17" s="228">
        <v>-0.26</v>
      </c>
      <c r="DL17" s="228">
        <v>-0.26</v>
      </c>
      <c r="DM17" s="228">
        <v>30.33</v>
      </c>
      <c r="DN17" s="228">
        <v>28.52</v>
      </c>
      <c r="DO17" s="228">
        <v>1.81</v>
      </c>
      <c r="DP17" s="228">
        <v>1.81</v>
      </c>
      <c r="DQ17" s="228">
        <v>0.78</v>
      </c>
      <c r="DR17" s="228">
        <v>0.85</v>
      </c>
      <c r="DS17" s="228">
        <v>-7.0000000000000007E-2</v>
      </c>
      <c r="DT17" s="229">
        <v>-8.2400000000000001E-2</v>
      </c>
      <c r="DU17" s="231">
        <v>2500</v>
      </c>
      <c r="DV17" s="231">
        <v>2300</v>
      </c>
      <c r="DW17" s="228">
        <v>0.6</v>
      </c>
      <c r="DX17" s="228">
        <v>0.72</v>
      </c>
      <c r="DY17" s="228">
        <v>-0.12</v>
      </c>
      <c r="DZ17" s="229">
        <v>-0.16669999999999999</v>
      </c>
      <c r="EA17" s="229">
        <v>8.6900000000000005E-2</v>
      </c>
      <c r="EB17" s="230">
        <v>1207750</v>
      </c>
      <c r="EC17" s="229">
        <v>-2.0999999999999999E-3</v>
      </c>
      <c r="ED17" s="229">
        <v>8.6900000000000005E-2</v>
      </c>
      <c r="EE17" s="228">
        <v>-12.75</v>
      </c>
      <c r="EF17" s="229">
        <v>-5.1000000000000004E-3</v>
      </c>
      <c r="EG17" s="230">
        <v>771892</v>
      </c>
      <c r="EH17" s="230">
        <v>107148</v>
      </c>
      <c r="EI17" s="229">
        <v>6.2039999999999997</v>
      </c>
      <c r="EJ17" s="229">
        <v>0.53059999999999996</v>
      </c>
      <c r="EK17" s="231">
        <v>2396.0100000000002</v>
      </c>
      <c r="EL17" s="231">
        <v>1334.03</v>
      </c>
      <c r="EM17" s="228">
        <v>526.66</v>
      </c>
      <c r="EN17" s="228">
        <v>53.01</v>
      </c>
      <c r="EO17" s="231">
        <v>4256.7</v>
      </c>
      <c r="EP17" s="231">
        <v>1481.12</v>
      </c>
      <c r="EQ17" s="231">
        <v>2775.58</v>
      </c>
      <c r="ER17" s="229">
        <v>1.8740000000000001</v>
      </c>
      <c r="ES17" s="231">
        <v>1123.8900000000001</v>
      </c>
      <c r="ET17" s="228">
        <v>798.77</v>
      </c>
      <c r="EU17" s="231">
        <v>3578.51</v>
      </c>
      <c r="EV17" s="231">
        <v>62818628</v>
      </c>
      <c r="EW17" s="231">
        <v>5501.17</v>
      </c>
      <c r="EX17" s="231">
        <v>5268.3</v>
      </c>
      <c r="EY17" s="228">
        <v>232.87</v>
      </c>
      <c r="EZ17" s="229">
        <v>4.4200000000000003E-2</v>
      </c>
      <c r="FA17" s="229">
        <v>0.34870000000000001</v>
      </c>
      <c r="FB17" s="227" t="s">
        <v>691</v>
      </c>
      <c r="FC17">
        <f t="shared" si="0"/>
        <v>311</v>
      </c>
    </row>
    <row r="18" spans="1:159" ht="17.25" thickBot="1" x14ac:dyDescent="0.3">
      <c r="A18" s="226">
        <v>46148</v>
      </c>
      <c r="B18" s="227" t="s">
        <v>184</v>
      </c>
      <c r="C18" s="227" t="s">
        <v>503</v>
      </c>
      <c r="D18" s="228">
        <v>425</v>
      </c>
      <c r="E18" s="228">
        <v>20</v>
      </c>
      <c r="F18" s="231">
        <v>1583.4</v>
      </c>
      <c r="G18" s="231">
        <v>1535.1</v>
      </c>
      <c r="H18" s="228">
        <v>48.3</v>
      </c>
      <c r="I18" s="229">
        <v>3.15E-2</v>
      </c>
      <c r="J18" s="231">
        <v>1576.1</v>
      </c>
      <c r="K18" s="231">
        <v>1531.6</v>
      </c>
      <c r="L18" s="228">
        <v>44.5</v>
      </c>
      <c r="M18" s="229">
        <v>2.9100000000000001E-2</v>
      </c>
      <c r="N18" s="231">
        <v>1583.4</v>
      </c>
      <c r="O18" s="231">
        <v>1535.1</v>
      </c>
      <c r="P18" s="228">
        <v>48.3</v>
      </c>
      <c r="Q18" s="229">
        <v>3.15E-2</v>
      </c>
      <c r="R18" s="231">
        <v>1560.6</v>
      </c>
      <c r="S18" s="231">
        <v>1507.9</v>
      </c>
      <c r="T18" s="228">
        <v>52.7</v>
      </c>
      <c r="U18" s="229">
        <v>3.49E-2</v>
      </c>
      <c r="V18" s="231">
        <v>1540.1</v>
      </c>
      <c r="W18" s="231">
        <v>1490</v>
      </c>
      <c r="X18" s="228">
        <v>50.1</v>
      </c>
      <c r="Y18" s="229">
        <v>3.3599999999999998E-2</v>
      </c>
      <c r="Z18" s="228">
        <v>7.3</v>
      </c>
      <c r="AA18" s="228">
        <v>3.5</v>
      </c>
      <c r="AB18" s="228">
        <v>3.8</v>
      </c>
      <c r="AC18" s="229">
        <v>4.5999999999999999E-3</v>
      </c>
      <c r="AD18" s="228">
        <v>7.3</v>
      </c>
      <c r="AE18" s="228">
        <v>3.5</v>
      </c>
      <c r="AF18" s="228">
        <v>3.8</v>
      </c>
      <c r="AG18" s="229">
        <v>4.5999999999999999E-3</v>
      </c>
      <c r="AH18" s="228">
        <v>-15.5</v>
      </c>
      <c r="AI18" s="228">
        <v>-23.7</v>
      </c>
      <c r="AJ18" s="228">
        <v>8.1999999999999993</v>
      </c>
      <c r="AK18" s="229">
        <v>-9.7999999999999997E-3</v>
      </c>
      <c r="AL18" s="228">
        <v>-36</v>
      </c>
      <c r="AM18" s="228">
        <v>-41.6</v>
      </c>
      <c r="AN18" s="228">
        <v>5.6</v>
      </c>
      <c r="AO18" s="229">
        <v>-2.2800000000000001E-2</v>
      </c>
      <c r="AP18" s="231">
        <v>1567.71</v>
      </c>
      <c r="AQ18" s="231">
        <v>1536.48</v>
      </c>
      <c r="AR18" s="228">
        <v>0</v>
      </c>
      <c r="AS18" s="228">
        <v>280</v>
      </c>
      <c r="AT18" s="228">
        <v>86</v>
      </c>
      <c r="AU18" s="228">
        <v>193</v>
      </c>
      <c r="AV18" s="229">
        <v>2.2425999999999999</v>
      </c>
      <c r="AW18" s="228">
        <v>234</v>
      </c>
      <c r="AX18" s="228">
        <v>69</v>
      </c>
      <c r="AY18" s="228">
        <v>165</v>
      </c>
      <c r="AZ18" s="229">
        <v>2.3862000000000001</v>
      </c>
      <c r="BA18" s="228">
        <v>43</v>
      </c>
      <c r="BB18" s="228">
        <v>16</v>
      </c>
      <c r="BC18" s="228">
        <v>27</v>
      </c>
      <c r="BD18" s="229">
        <v>1.6569</v>
      </c>
      <c r="BE18" s="228">
        <v>3</v>
      </c>
      <c r="BF18" s="228">
        <v>1</v>
      </c>
      <c r="BG18" s="228">
        <v>2</v>
      </c>
      <c r="BH18" s="229">
        <v>1.7333000000000001</v>
      </c>
      <c r="BI18" s="228">
        <v>923</v>
      </c>
      <c r="BJ18" s="228">
        <v>219</v>
      </c>
      <c r="BK18" s="228">
        <v>704</v>
      </c>
      <c r="BL18" s="229">
        <v>3.2216999999999998</v>
      </c>
      <c r="BM18" s="228">
        <v>287</v>
      </c>
      <c r="BN18" s="228">
        <v>76</v>
      </c>
      <c r="BO18" s="228">
        <v>210</v>
      </c>
      <c r="BP18" s="229">
        <v>2.7532999999999999</v>
      </c>
      <c r="BQ18" s="230">
        <v>1489</v>
      </c>
      <c r="BR18" s="228">
        <v>381</v>
      </c>
      <c r="BS18" s="230">
        <v>1108</v>
      </c>
      <c r="BT18" s="229">
        <v>2.9062999999999999</v>
      </c>
      <c r="BU18" s="230">
        <v>557942</v>
      </c>
      <c r="BV18" s="230">
        <v>269928</v>
      </c>
      <c r="BW18" s="230">
        <v>288014</v>
      </c>
      <c r="BX18" s="229">
        <v>1.0669999999999999</v>
      </c>
      <c r="BY18" s="230">
        <v>1434</v>
      </c>
      <c r="BZ18" s="230">
        <v>1467</v>
      </c>
      <c r="CA18" s="228">
        <v>-34</v>
      </c>
      <c r="CB18" s="229">
        <v>-2.3099999999999999E-2</v>
      </c>
      <c r="CC18" s="230">
        <v>1346</v>
      </c>
      <c r="CD18" s="230">
        <v>1391</v>
      </c>
      <c r="CE18" s="228">
        <v>-44</v>
      </c>
      <c r="CF18" s="229">
        <v>-3.1899999999999998E-2</v>
      </c>
      <c r="CG18" s="228">
        <v>83</v>
      </c>
      <c r="CH18" s="228">
        <v>72</v>
      </c>
      <c r="CI18" s="228">
        <v>11</v>
      </c>
      <c r="CJ18" s="229">
        <v>0.151</v>
      </c>
      <c r="CK18" s="228">
        <v>4</v>
      </c>
      <c r="CL18" s="228">
        <v>5</v>
      </c>
      <c r="CM18" s="228">
        <v>0</v>
      </c>
      <c r="CN18" s="229">
        <v>-7.1400000000000005E-2</v>
      </c>
      <c r="CO18" s="228">
        <v>281</v>
      </c>
      <c r="CP18" s="228">
        <v>251</v>
      </c>
      <c r="CQ18" s="228">
        <v>30</v>
      </c>
      <c r="CR18" s="229">
        <v>0.11749999999999999</v>
      </c>
      <c r="CS18" s="228">
        <v>162</v>
      </c>
      <c r="CT18" s="228">
        <v>152</v>
      </c>
      <c r="CU18" s="228">
        <v>10</v>
      </c>
      <c r="CV18" s="229">
        <v>6.6900000000000001E-2</v>
      </c>
      <c r="CW18" s="230">
        <v>1877</v>
      </c>
      <c r="CX18" s="230">
        <v>1871</v>
      </c>
      <c r="CY18" s="228">
        <v>6</v>
      </c>
      <c r="CZ18" s="229">
        <v>3.0999999999999999E-3</v>
      </c>
      <c r="DA18" s="228">
        <v>33.57</v>
      </c>
      <c r="DB18" s="228">
        <v>34.6</v>
      </c>
      <c r="DC18" s="228">
        <v>-1.03</v>
      </c>
      <c r="DD18" s="228">
        <v>-1.03</v>
      </c>
      <c r="DE18" s="228">
        <v>35.56</v>
      </c>
      <c r="DF18" s="228">
        <v>35.43</v>
      </c>
      <c r="DG18" s="228">
        <v>-1.99</v>
      </c>
      <c r="DH18" s="228">
        <v>0.13</v>
      </c>
      <c r="DI18" s="228">
        <v>33.409999999999997</v>
      </c>
      <c r="DJ18" s="228">
        <v>34.6</v>
      </c>
      <c r="DK18" s="228">
        <v>-1.19</v>
      </c>
      <c r="DL18" s="228">
        <v>-1.19</v>
      </c>
      <c r="DM18" s="228">
        <v>34.090000000000003</v>
      </c>
      <c r="DN18" s="228">
        <v>34.619999999999997</v>
      </c>
      <c r="DO18" s="228">
        <v>-0.53</v>
      </c>
      <c r="DP18" s="228">
        <v>-0.53</v>
      </c>
      <c r="DQ18" s="228">
        <v>0.57999999999999996</v>
      </c>
      <c r="DR18" s="228">
        <v>0.6</v>
      </c>
      <c r="DS18" s="228">
        <v>-0.02</v>
      </c>
      <c r="DT18" s="229">
        <v>-3.3300000000000003E-2</v>
      </c>
      <c r="DU18" s="231">
        <v>1600</v>
      </c>
      <c r="DV18" s="231">
        <v>1560</v>
      </c>
      <c r="DW18" s="228">
        <v>0.31</v>
      </c>
      <c r="DX18" s="228">
        <v>0.35</v>
      </c>
      <c r="DY18" s="228">
        <v>-0.04</v>
      </c>
      <c r="DZ18" s="229">
        <v>-0.1143</v>
      </c>
      <c r="EA18" s="229">
        <v>6.0999999999999999E-2</v>
      </c>
      <c r="EB18" s="230">
        <v>485775</v>
      </c>
      <c r="EC18" s="229">
        <v>-1.44E-2</v>
      </c>
      <c r="ED18" s="229">
        <v>6.0999999999999999E-2</v>
      </c>
      <c r="EE18" s="228">
        <v>-31.23</v>
      </c>
      <c r="EF18" s="229">
        <v>-1.9900000000000001E-2</v>
      </c>
      <c r="EG18" s="230">
        <v>237243</v>
      </c>
      <c r="EH18" s="230">
        <v>123556</v>
      </c>
      <c r="EI18" s="229">
        <v>0.92010000000000003</v>
      </c>
      <c r="EJ18" s="229">
        <v>0.42520000000000002</v>
      </c>
      <c r="EK18" s="228">
        <v>974.28</v>
      </c>
      <c r="EL18" s="228">
        <v>278.01</v>
      </c>
      <c r="EM18" s="228">
        <v>276.07</v>
      </c>
      <c r="EN18" s="228">
        <v>26.46</v>
      </c>
      <c r="EO18" s="231">
        <v>1528.36</v>
      </c>
      <c r="EP18" s="228">
        <v>390.19</v>
      </c>
      <c r="EQ18" s="231">
        <v>1138.17</v>
      </c>
      <c r="ER18" s="229">
        <v>2.9169999999999998</v>
      </c>
      <c r="ES18" s="228">
        <v>291.64999999999998</v>
      </c>
      <c r="ET18" s="228">
        <v>154.79</v>
      </c>
      <c r="EU18" s="231">
        <v>1432.33</v>
      </c>
      <c r="EV18" s="231">
        <v>17577908</v>
      </c>
      <c r="EW18" s="231">
        <v>1878.77</v>
      </c>
      <c r="EX18" s="231">
        <v>1825.9</v>
      </c>
      <c r="EY18" s="228">
        <v>52.87</v>
      </c>
      <c r="EZ18" s="229">
        <v>2.9000000000000001E-2</v>
      </c>
      <c r="FA18" s="229">
        <v>0.67430000000000001</v>
      </c>
      <c r="FB18" s="227" t="s">
        <v>691</v>
      </c>
      <c r="FC18">
        <f t="shared" si="0"/>
        <v>88</v>
      </c>
    </row>
    <row r="19" spans="1:159" ht="17.25" thickBot="1" x14ac:dyDescent="0.3">
      <c r="A19" s="226">
        <v>46148</v>
      </c>
      <c r="B19" s="227" t="s">
        <v>172</v>
      </c>
      <c r="C19" s="227" t="s">
        <v>495</v>
      </c>
      <c r="D19" s="228">
        <v>1000</v>
      </c>
      <c r="E19" s="228">
        <v>20</v>
      </c>
      <c r="F19" s="231">
        <v>1031.2</v>
      </c>
      <c r="G19" s="231">
        <v>1012.9</v>
      </c>
      <c r="H19" s="228">
        <v>18.3</v>
      </c>
      <c r="I19" s="229">
        <v>1.8100000000000002E-2</v>
      </c>
      <c r="J19" s="231">
        <v>1024</v>
      </c>
      <c r="K19" s="231">
        <v>1007.1</v>
      </c>
      <c r="L19" s="228">
        <v>16.899999999999999</v>
      </c>
      <c r="M19" s="229">
        <v>1.6799999999999999E-2</v>
      </c>
      <c r="N19" s="231">
        <v>1031.2</v>
      </c>
      <c r="O19" s="231">
        <v>1012.9</v>
      </c>
      <c r="P19" s="228">
        <v>18.3</v>
      </c>
      <c r="Q19" s="229">
        <v>1.8100000000000002E-2</v>
      </c>
      <c r="R19" s="231">
        <v>1039.4000000000001</v>
      </c>
      <c r="S19" s="231">
        <v>1019.5</v>
      </c>
      <c r="T19" s="228">
        <v>19.899999999999999</v>
      </c>
      <c r="U19" s="229">
        <v>1.95E-2</v>
      </c>
      <c r="V19" s="231">
        <v>1036.5999999999999</v>
      </c>
      <c r="W19" s="231">
        <v>1027.0999999999999</v>
      </c>
      <c r="X19" s="228">
        <v>9.5</v>
      </c>
      <c r="Y19" s="229">
        <v>9.1999999999999998E-3</v>
      </c>
      <c r="Z19" s="228">
        <v>7.2</v>
      </c>
      <c r="AA19" s="228">
        <v>5.8</v>
      </c>
      <c r="AB19" s="228">
        <v>1.4</v>
      </c>
      <c r="AC19" s="229">
        <v>7.0000000000000001E-3</v>
      </c>
      <c r="AD19" s="228">
        <v>7.2</v>
      </c>
      <c r="AE19" s="228">
        <v>5.8</v>
      </c>
      <c r="AF19" s="228">
        <v>1.4</v>
      </c>
      <c r="AG19" s="229">
        <v>7.0000000000000001E-3</v>
      </c>
      <c r="AH19" s="228">
        <v>15.4</v>
      </c>
      <c r="AI19" s="228">
        <v>12.4</v>
      </c>
      <c r="AJ19" s="228">
        <v>3</v>
      </c>
      <c r="AK19" s="229">
        <v>1.4999999999999999E-2</v>
      </c>
      <c r="AL19" s="228">
        <v>12.6</v>
      </c>
      <c r="AM19" s="228">
        <v>20</v>
      </c>
      <c r="AN19" s="228">
        <v>-7.4</v>
      </c>
      <c r="AO19" s="229">
        <v>1.23E-2</v>
      </c>
      <c r="AP19" s="231">
        <v>1024.03</v>
      </c>
      <c r="AQ19" s="231">
        <v>1028.5</v>
      </c>
      <c r="AR19" s="228">
        <v>0</v>
      </c>
      <c r="AS19" s="228">
        <v>467</v>
      </c>
      <c r="AT19" s="228">
        <v>261</v>
      </c>
      <c r="AU19" s="228">
        <v>206</v>
      </c>
      <c r="AV19" s="229">
        <v>0.78800000000000003</v>
      </c>
      <c r="AW19" s="228">
        <v>437</v>
      </c>
      <c r="AX19" s="228">
        <v>234</v>
      </c>
      <c r="AY19" s="228">
        <v>203</v>
      </c>
      <c r="AZ19" s="229">
        <v>0.87029999999999996</v>
      </c>
      <c r="BA19" s="228">
        <v>29</v>
      </c>
      <c r="BB19" s="228">
        <v>26</v>
      </c>
      <c r="BC19" s="228">
        <v>3</v>
      </c>
      <c r="BD19" s="229">
        <v>0.1172</v>
      </c>
      <c r="BE19" s="228">
        <v>1</v>
      </c>
      <c r="BF19" s="228">
        <v>1</v>
      </c>
      <c r="BG19" s="228">
        <v>-1</v>
      </c>
      <c r="BH19" s="229">
        <v>-0.54549999999999998</v>
      </c>
      <c r="BI19" s="230">
        <v>1197</v>
      </c>
      <c r="BJ19" s="228">
        <v>573</v>
      </c>
      <c r="BK19" s="228">
        <v>624</v>
      </c>
      <c r="BL19" s="229">
        <v>1.0899000000000001</v>
      </c>
      <c r="BM19" s="228">
        <v>518</v>
      </c>
      <c r="BN19" s="228">
        <v>234</v>
      </c>
      <c r="BO19" s="228">
        <v>283</v>
      </c>
      <c r="BP19" s="229">
        <v>1.2071000000000001</v>
      </c>
      <c r="BQ19" s="230">
        <v>2181</v>
      </c>
      <c r="BR19" s="230">
        <v>1068</v>
      </c>
      <c r="BS19" s="230">
        <v>1113</v>
      </c>
      <c r="BT19" s="229">
        <v>1.0418000000000001</v>
      </c>
      <c r="BU19" s="230">
        <v>2517438</v>
      </c>
      <c r="BV19" s="230">
        <v>1624238</v>
      </c>
      <c r="BW19" s="230">
        <v>893200</v>
      </c>
      <c r="BX19" s="229">
        <v>0.54990000000000006</v>
      </c>
      <c r="BY19" s="230">
        <v>2858</v>
      </c>
      <c r="BZ19" s="230">
        <v>2824</v>
      </c>
      <c r="CA19" s="228">
        <v>34</v>
      </c>
      <c r="CB19" s="229">
        <v>1.2E-2</v>
      </c>
      <c r="CC19" s="230">
        <v>2696</v>
      </c>
      <c r="CD19" s="230">
        <v>2677</v>
      </c>
      <c r="CE19" s="228">
        <v>19</v>
      </c>
      <c r="CF19" s="229">
        <v>7.0000000000000001E-3</v>
      </c>
      <c r="CG19" s="228">
        <v>160</v>
      </c>
      <c r="CH19" s="228">
        <v>145</v>
      </c>
      <c r="CI19" s="228">
        <v>15</v>
      </c>
      <c r="CJ19" s="229">
        <v>0.1038</v>
      </c>
      <c r="CK19" s="228">
        <v>2</v>
      </c>
      <c r="CL19" s="228">
        <v>2</v>
      </c>
      <c r="CM19" s="228">
        <v>0</v>
      </c>
      <c r="CN19" s="229">
        <v>0.17649999999999999</v>
      </c>
      <c r="CO19" s="228">
        <v>838</v>
      </c>
      <c r="CP19" s="228">
        <v>841</v>
      </c>
      <c r="CQ19" s="228">
        <v>-3</v>
      </c>
      <c r="CR19" s="229">
        <v>-3.7000000000000002E-3</v>
      </c>
      <c r="CS19" s="228">
        <v>461</v>
      </c>
      <c r="CT19" s="228">
        <v>441</v>
      </c>
      <c r="CU19" s="228">
        <v>20</v>
      </c>
      <c r="CV19" s="229">
        <v>4.6100000000000002E-2</v>
      </c>
      <c r="CW19" s="230">
        <v>4158</v>
      </c>
      <c r="CX19" s="230">
        <v>4106</v>
      </c>
      <c r="CY19" s="228">
        <v>51</v>
      </c>
      <c r="CZ19" s="229">
        <v>1.2500000000000001E-2</v>
      </c>
      <c r="DA19" s="228">
        <v>31.11</v>
      </c>
      <c r="DB19" s="228">
        <v>31.69</v>
      </c>
      <c r="DC19" s="228">
        <v>-0.57999999999999996</v>
      </c>
      <c r="DD19" s="228">
        <v>-0.57999999999999996</v>
      </c>
      <c r="DE19" s="228">
        <v>37.89</v>
      </c>
      <c r="DF19" s="228">
        <v>37.92</v>
      </c>
      <c r="DG19" s="228">
        <v>-6.78</v>
      </c>
      <c r="DH19" s="228">
        <v>-0.03</v>
      </c>
      <c r="DI19" s="228">
        <v>31.01</v>
      </c>
      <c r="DJ19" s="228">
        <v>31.58</v>
      </c>
      <c r="DK19" s="228">
        <v>-0.56999999999999995</v>
      </c>
      <c r="DL19" s="228">
        <v>-0.56999999999999995</v>
      </c>
      <c r="DM19" s="228">
        <v>31.33</v>
      </c>
      <c r="DN19" s="228">
        <v>31.98</v>
      </c>
      <c r="DO19" s="228">
        <v>-0.65</v>
      </c>
      <c r="DP19" s="228">
        <v>-0.65</v>
      </c>
      <c r="DQ19" s="228">
        <v>0.55000000000000004</v>
      </c>
      <c r="DR19" s="228">
        <v>0.52</v>
      </c>
      <c r="DS19" s="228">
        <v>0.03</v>
      </c>
      <c r="DT19" s="229">
        <v>5.7700000000000001E-2</v>
      </c>
      <c r="DU19" s="231">
        <v>1100</v>
      </c>
      <c r="DV19" s="231">
        <v>1000</v>
      </c>
      <c r="DW19" s="228">
        <v>0.43</v>
      </c>
      <c r="DX19" s="228">
        <v>0.41</v>
      </c>
      <c r="DY19" s="228">
        <v>0.02</v>
      </c>
      <c r="DZ19" s="229">
        <v>4.8800000000000003E-2</v>
      </c>
      <c r="EA19" s="229">
        <v>5.67E-2</v>
      </c>
      <c r="EB19" s="230">
        <v>1423000</v>
      </c>
      <c r="EC19" s="229">
        <v>8.0000000000000002E-3</v>
      </c>
      <c r="ED19" s="229">
        <v>5.67E-2</v>
      </c>
      <c r="EE19" s="228">
        <v>4.47</v>
      </c>
      <c r="EF19" s="229">
        <v>4.4000000000000003E-3</v>
      </c>
      <c r="EG19" s="230">
        <v>1488627</v>
      </c>
      <c r="EH19" s="230">
        <v>942881</v>
      </c>
      <c r="EI19" s="229">
        <v>0.57879999999999998</v>
      </c>
      <c r="EJ19" s="229">
        <v>0.59130000000000005</v>
      </c>
      <c r="EK19" s="231">
        <v>1250.58</v>
      </c>
      <c r="EL19" s="228">
        <v>507.67</v>
      </c>
      <c r="EM19" s="228">
        <v>463.92</v>
      </c>
      <c r="EN19" s="228">
        <v>35.32</v>
      </c>
      <c r="EO19" s="231">
        <v>2222.16</v>
      </c>
      <c r="EP19" s="231">
        <v>1085.05</v>
      </c>
      <c r="EQ19" s="231">
        <v>1137.1099999999999</v>
      </c>
      <c r="ER19" s="229">
        <v>1.048</v>
      </c>
      <c r="ES19" s="228">
        <v>877.36</v>
      </c>
      <c r="ET19" s="228">
        <v>438.31</v>
      </c>
      <c r="EU19" s="231">
        <v>2859.46</v>
      </c>
      <c r="EV19" s="231">
        <v>86532345</v>
      </c>
      <c r="EW19" s="231">
        <v>4175.1400000000003</v>
      </c>
      <c r="EX19" s="231">
        <v>4074.33</v>
      </c>
      <c r="EY19" s="228">
        <v>100.81</v>
      </c>
      <c r="EZ19" s="229">
        <v>2.47E-2</v>
      </c>
      <c r="FA19" s="229">
        <v>0.46589999999999998</v>
      </c>
      <c r="FB19" s="227" t="s">
        <v>555</v>
      </c>
      <c r="FC19">
        <f t="shared" si="0"/>
        <v>162</v>
      </c>
    </row>
    <row r="20" spans="1:159" ht="17.25" thickBot="1" x14ac:dyDescent="0.3">
      <c r="A20" s="226">
        <v>46148</v>
      </c>
      <c r="B20" s="227" t="s">
        <v>170</v>
      </c>
      <c r="C20" s="227" t="s">
        <v>171</v>
      </c>
      <c r="D20" s="228">
        <v>550</v>
      </c>
      <c r="E20" s="228">
        <v>20</v>
      </c>
      <c r="F20" s="231">
        <v>1491.4</v>
      </c>
      <c r="G20" s="231">
        <v>1431.7</v>
      </c>
      <c r="H20" s="228">
        <v>59.7</v>
      </c>
      <c r="I20" s="229">
        <v>4.1700000000000001E-2</v>
      </c>
      <c r="J20" s="231">
        <v>1484</v>
      </c>
      <c r="K20" s="231">
        <v>1428.1</v>
      </c>
      <c r="L20" s="228">
        <v>55.9</v>
      </c>
      <c r="M20" s="229">
        <v>3.9100000000000003E-2</v>
      </c>
      <c r="N20" s="231">
        <v>1491.4</v>
      </c>
      <c r="O20" s="231">
        <v>1431.7</v>
      </c>
      <c r="P20" s="228">
        <v>59.7</v>
      </c>
      <c r="Q20" s="229">
        <v>4.1700000000000001E-2</v>
      </c>
      <c r="R20" s="231">
        <v>1499.4</v>
      </c>
      <c r="S20" s="231">
        <v>1439.5</v>
      </c>
      <c r="T20" s="228">
        <v>59.9</v>
      </c>
      <c r="U20" s="229">
        <v>4.1599999999999998E-2</v>
      </c>
      <c r="V20" s="231">
        <v>1495.6</v>
      </c>
      <c r="W20" s="231">
        <v>1440.2</v>
      </c>
      <c r="X20" s="228">
        <v>55.4</v>
      </c>
      <c r="Y20" s="229">
        <v>3.85E-2</v>
      </c>
      <c r="Z20" s="228">
        <v>7.4</v>
      </c>
      <c r="AA20" s="228">
        <v>3.6</v>
      </c>
      <c r="AB20" s="228">
        <v>3.8</v>
      </c>
      <c r="AC20" s="229">
        <v>5.0000000000000001E-3</v>
      </c>
      <c r="AD20" s="228">
        <v>7.4</v>
      </c>
      <c r="AE20" s="228">
        <v>3.6</v>
      </c>
      <c r="AF20" s="228">
        <v>3.8</v>
      </c>
      <c r="AG20" s="229">
        <v>5.0000000000000001E-3</v>
      </c>
      <c r="AH20" s="228">
        <v>15.4</v>
      </c>
      <c r="AI20" s="228">
        <v>11.4</v>
      </c>
      <c r="AJ20" s="228">
        <v>4</v>
      </c>
      <c r="AK20" s="229">
        <v>1.04E-2</v>
      </c>
      <c r="AL20" s="228">
        <v>11.6</v>
      </c>
      <c r="AM20" s="228">
        <v>12.1</v>
      </c>
      <c r="AN20" s="228">
        <v>-0.5</v>
      </c>
      <c r="AO20" s="229">
        <v>7.7999999999999996E-3</v>
      </c>
      <c r="AP20" s="231">
        <v>1474.57</v>
      </c>
      <c r="AQ20" s="231">
        <v>1484.97</v>
      </c>
      <c r="AR20" s="228">
        <v>0</v>
      </c>
      <c r="AS20" s="228">
        <v>602</v>
      </c>
      <c r="AT20" s="228">
        <v>273</v>
      </c>
      <c r="AU20" s="228">
        <v>330</v>
      </c>
      <c r="AV20" s="229">
        <v>1.2084999999999999</v>
      </c>
      <c r="AW20" s="228">
        <v>578</v>
      </c>
      <c r="AX20" s="228">
        <v>266</v>
      </c>
      <c r="AY20" s="228">
        <v>312</v>
      </c>
      <c r="AZ20" s="229">
        <v>1.1724000000000001</v>
      </c>
      <c r="BA20" s="228">
        <v>21</v>
      </c>
      <c r="BB20" s="228">
        <v>6</v>
      </c>
      <c r="BC20" s="228">
        <v>15</v>
      </c>
      <c r="BD20" s="229">
        <v>2.5615999999999999</v>
      </c>
      <c r="BE20" s="228">
        <v>3</v>
      </c>
      <c r="BF20" s="228">
        <v>1</v>
      </c>
      <c r="BG20" s="228">
        <v>2</v>
      </c>
      <c r="BH20" s="229">
        <v>3.2222</v>
      </c>
      <c r="BI20" s="230">
        <v>1872</v>
      </c>
      <c r="BJ20" s="230">
        <v>1004</v>
      </c>
      <c r="BK20" s="228">
        <v>868</v>
      </c>
      <c r="BL20" s="229">
        <v>0.86409999999999998</v>
      </c>
      <c r="BM20" s="228">
        <v>774</v>
      </c>
      <c r="BN20" s="228">
        <v>252</v>
      </c>
      <c r="BO20" s="228">
        <v>522</v>
      </c>
      <c r="BP20" s="229">
        <v>2.0693000000000001</v>
      </c>
      <c r="BQ20" s="230">
        <v>3249</v>
      </c>
      <c r="BR20" s="230">
        <v>1529</v>
      </c>
      <c r="BS20" s="230">
        <v>1719</v>
      </c>
      <c r="BT20" s="229">
        <v>1.1243000000000001</v>
      </c>
      <c r="BU20" s="230">
        <v>2506513</v>
      </c>
      <c r="BV20" s="230">
        <v>1879791</v>
      </c>
      <c r="BW20" s="230">
        <v>626722</v>
      </c>
      <c r="BX20" s="229">
        <v>0.33339999999999997</v>
      </c>
      <c r="BY20" s="230">
        <v>2794</v>
      </c>
      <c r="BZ20" s="230">
        <v>2870</v>
      </c>
      <c r="CA20" s="228">
        <v>-76</v>
      </c>
      <c r="CB20" s="229">
        <v>-2.6499999999999999E-2</v>
      </c>
      <c r="CC20" s="230">
        <v>2772</v>
      </c>
      <c r="CD20" s="230">
        <v>2860</v>
      </c>
      <c r="CE20" s="228">
        <v>-88</v>
      </c>
      <c r="CF20" s="229">
        <v>-3.0800000000000001E-2</v>
      </c>
      <c r="CG20" s="228">
        <v>19</v>
      </c>
      <c r="CH20" s="228">
        <v>8</v>
      </c>
      <c r="CI20" s="228">
        <v>11</v>
      </c>
      <c r="CJ20" s="229">
        <v>1.2621</v>
      </c>
      <c r="CK20" s="228">
        <v>2</v>
      </c>
      <c r="CL20" s="228">
        <v>1</v>
      </c>
      <c r="CM20" s="228">
        <v>1</v>
      </c>
      <c r="CN20" s="229">
        <v>2</v>
      </c>
      <c r="CO20" s="228">
        <v>457</v>
      </c>
      <c r="CP20" s="228">
        <v>424</v>
      </c>
      <c r="CQ20" s="228">
        <v>33</v>
      </c>
      <c r="CR20" s="229">
        <v>7.7899999999999997E-2</v>
      </c>
      <c r="CS20" s="228">
        <v>367</v>
      </c>
      <c r="CT20" s="228">
        <v>253</v>
      </c>
      <c r="CU20" s="228">
        <v>115</v>
      </c>
      <c r="CV20" s="229">
        <v>0.45419999999999999</v>
      </c>
      <c r="CW20" s="230">
        <v>3618</v>
      </c>
      <c r="CX20" s="230">
        <v>3546</v>
      </c>
      <c r="CY20" s="228">
        <v>72</v>
      </c>
      <c r="CZ20" s="229">
        <v>2.0299999999999999E-2</v>
      </c>
      <c r="DA20" s="228">
        <v>29.75</v>
      </c>
      <c r="DB20" s="228">
        <v>31.39</v>
      </c>
      <c r="DC20" s="228">
        <v>-1.64</v>
      </c>
      <c r="DD20" s="228">
        <v>-1.64</v>
      </c>
      <c r="DE20" s="228">
        <v>33.619999999999997</v>
      </c>
      <c r="DF20" s="228">
        <v>33.270000000000003</v>
      </c>
      <c r="DG20" s="228">
        <v>-3.87</v>
      </c>
      <c r="DH20" s="228">
        <v>0.35</v>
      </c>
      <c r="DI20" s="228">
        <v>29.05</v>
      </c>
      <c r="DJ20" s="228">
        <v>31.24</v>
      </c>
      <c r="DK20" s="228">
        <v>-2.19</v>
      </c>
      <c r="DL20" s="228">
        <v>-2.19</v>
      </c>
      <c r="DM20" s="228">
        <v>31.44</v>
      </c>
      <c r="DN20" s="228">
        <v>31.96</v>
      </c>
      <c r="DO20" s="228">
        <v>-0.52</v>
      </c>
      <c r="DP20" s="228">
        <v>-0.52</v>
      </c>
      <c r="DQ20" s="228">
        <v>0.8</v>
      </c>
      <c r="DR20" s="228">
        <v>0.6</v>
      </c>
      <c r="DS20" s="228">
        <v>0.2</v>
      </c>
      <c r="DT20" s="229">
        <v>0.33329999999999999</v>
      </c>
      <c r="DU20" s="231">
        <v>1400</v>
      </c>
      <c r="DV20" s="231">
        <v>1400</v>
      </c>
      <c r="DW20" s="228">
        <v>0.41</v>
      </c>
      <c r="DX20" s="228">
        <v>0.25</v>
      </c>
      <c r="DY20" s="228">
        <v>0.16</v>
      </c>
      <c r="DZ20" s="229">
        <v>0.64</v>
      </c>
      <c r="EA20" s="229">
        <v>7.6E-3</v>
      </c>
      <c r="EB20" s="230">
        <v>61600</v>
      </c>
      <c r="EC20" s="229">
        <v>5.4000000000000003E-3</v>
      </c>
      <c r="ED20" s="229">
        <v>7.6E-3</v>
      </c>
      <c r="EE20" s="228">
        <v>10.4</v>
      </c>
      <c r="EF20" s="229">
        <v>7.1000000000000004E-3</v>
      </c>
      <c r="EG20" s="230">
        <v>1304405</v>
      </c>
      <c r="EH20" s="230">
        <v>880145</v>
      </c>
      <c r="EI20" s="229">
        <v>0.48199999999999998</v>
      </c>
      <c r="EJ20" s="229">
        <v>0.52039999999999997</v>
      </c>
      <c r="EK20" s="231">
        <v>1922.95</v>
      </c>
      <c r="EL20" s="228">
        <v>741.51</v>
      </c>
      <c r="EM20" s="228">
        <v>595.53</v>
      </c>
      <c r="EN20" s="228">
        <v>29.94</v>
      </c>
      <c r="EO20" s="231">
        <v>3259.99</v>
      </c>
      <c r="EP20" s="231">
        <v>1489.87</v>
      </c>
      <c r="EQ20" s="231">
        <v>1770.11</v>
      </c>
      <c r="ER20" s="229">
        <v>1.1880999999999999</v>
      </c>
      <c r="ES20" s="228">
        <v>452.99</v>
      </c>
      <c r="ET20" s="228">
        <v>341.51</v>
      </c>
      <c r="EU20" s="231">
        <v>2793.78</v>
      </c>
      <c r="EV20" s="231">
        <v>41977935</v>
      </c>
      <c r="EW20" s="231">
        <v>3588.29</v>
      </c>
      <c r="EX20" s="231">
        <v>3399.34</v>
      </c>
      <c r="EY20" s="228">
        <v>188.95</v>
      </c>
      <c r="EZ20" s="229">
        <v>5.5599999999999997E-2</v>
      </c>
      <c r="FA20" s="229">
        <v>0.57789999999999997</v>
      </c>
      <c r="FB20" s="227" t="s">
        <v>691</v>
      </c>
      <c r="FC20">
        <f t="shared" si="0"/>
        <v>22</v>
      </c>
    </row>
    <row r="21" spans="1:159" ht="17.25" thickBot="1" x14ac:dyDescent="0.3">
      <c r="A21" s="226">
        <v>46148</v>
      </c>
      <c r="B21" s="227" t="s">
        <v>172</v>
      </c>
      <c r="C21" s="227" t="s">
        <v>173</v>
      </c>
      <c r="D21" s="228">
        <v>625</v>
      </c>
      <c r="E21" s="228">
        <v>20</v>
      </c>
      <c r="F21" s="231">
        <v>1304.0999999999999</v>
      </c>
      <c r="G21" s="231">
        <v>1265.7</v>
      </c>
      <c r="H21" s="228">
        <v>38.4</v>
      </c>
      <c r="I21" s="229">
        <v>3.0300000000000001E-2</v>
      </c>
      <c r="J21" s="231">
        <v>1294.2</v>
      </c>
      <c r="K21" s="231">
        <v>1259.7</v>
      </c>
      <c r="L21" s="228">
        <v>34.5</v>
      </c>
      <c r="M21" s="229">
        <v>2.7400000000000001E-2</v>
      </c>
      <c r="N21" s="231">
        <v>1304.0999999999999</v>
      </c>
      <c r="O21" s="231">
        <v>1265.7</v>
      </c>
      <c r="P21" s="228">
        <v>38.4</v>
      </c>
      <c r="Q21" s="229">
        <v>3.0300000000000001E-2</v>
      </c>
      <c r="R21" s="231">
        <v>1312.4</v>
      </c>
      <c r="S21" s="231">
        <v>1275.7</v>
      </c>
      <c r="T21" s="228">
        <v>36.700000000000003</v>
      </c>
      <c r="U21" s="229">
        <v>2.8799999999999999E-2</v>
      </c>
      <c r="V21" s="231">
        <v>1317.9</v>
      </c>
      <c r="W21" s="231">
        <v>1279.5999999999999</v>
      </c>
      <c r="X21" s="228">
        <v>38.299999999999997</v>
      </c>
      <c r="Y21" s="229">
        <v>2.9899999999999999E-2</v>
      </c>
      <c r="Z21" s="228">
        <v>9.9</v>
      </c>
      <c r="AA21" s="228">
        <v>6</v>
      </c>
      <c r="AB21" s="228">
        <v>3.9</v>
      </c>
      <c r="AC21" s="229">
        <v>7.6E-3</v>
      </c>
      <c r="AD21" s="228">
        <v>9.9</v>
      </c>
      <c r="AE21" s="228">
        <v>6</v>
      </c>
      <c r="AF21" s="228">
        <v>3.9</v>
      </c>
      <c r="AG21" s="229">
        <v>7.6E-3</v>
      </c>
      <c r="AH21" s="228">
        <v>18.2</v>
      </c>
      <c r="AI21" s="228">
        <v>16</v>
      </c>
      <c r="AJ21" s="228">
        <v>2.2000000000000002</v>
      </c>
      <c r="AK21" s="229">
        <v>1.41E-2</v>
      </c>
      <c r="AL21" s="228">
        <v>23.7</v>
      </c>
      <c r="AM21" s="228">
        <v>19.899999999999999</v>
      </c>
      <c r="AN21" s="228">
        <v>3.8</v>
      </c>
      <c r="AO21" s="229">
        <v>1.83E-2</v>
      </c>
      <c r="AP21" s="231">
        <v>1288.99</v>
      </c>
      <c r="AQ21" s="231">
        <v>1289.1500000000001</v>
      </c>
      <c r="AR21" s="228">
        <v>0</v>
      </c>
      <c r="AS21" s="230">
        <v>1157</v>
      </c>
      <c r="AT21" s="228">
        <v>888</v>
      </c>
      <c r="AU21" s="228">
        <v>269</v>
      </c>
      <c r="AV21" s="229">
        <v>0.30299999999999999</v>
      </c>
      <c r="AW21" s="230">
        <v>1050</v>
      </c>
      <c r="AX21" s="228">
        <v>737</v>
      </c>
      <c r="AY21" s="228">
        <v>313</v>
      </c>
      <c r="AZ21" s="229">
        <v>0.4244</v>
      </c>
      <c r="BA21" s="228">
        <v>100</v>
      </c>
      <c r="BB21" s="228">
        <v>146</v>
      </c>
      <c r="BC21" s="228">
        <v>-46</v>
      </c>
      <c r="BD21" s="229">
        <v>-0.31459999999999999</v>
      </c>
      <c r="BE21" s="228">
        <v>7</v>
      </c>
      <c r="BF21" s="228">
        <v>5</v>
      </c>
      <c r="BG21" s="228">
        <v>2</v>
      </c>
      <c r="BH21" s="229">
        <v>0.45</v>
      </c>
      <c r="BI21" s="230">
        <v>4640</v>
      </c>
      <c r="BJ21" s="230">
        <v>2412</v>
      </c>
      <c r="BK21" s="230">
        <v>2228</v>
      </c>
      <c r="BL21" s="229">
        <v>0.92390000000000005</v>
      </c>
      <c r="BM21" s="230">
        <v>2590</v>
      </c>
      <c r="BN21" s="230">
        <v>1168</v>
      </c>
      <c r="BO21" s="230">
        <v>1422</v>
      </c>
      <c r="BP21" s="229">
        <v>1.2175</v>
      </c>
      <c r="BQ21" s="230">
        <v>8388</v>
      </c>
      <c r="BR21" s="230">
        <v>4468</v>
      </c>
      <c r="BS21" s="230">
        <v>3920</v>
      </c>
      <c r="BT21" s="229">
        <v>0.87719999999999998</v>
      </c>
      <c r="BU21" s="230">
        <v>7476815</v>
      </c>
      <c r="BV21" s="230">
        <v>10690137</v>
      </c>
      <c r="BW21" s="230">
        <v>-3213322</v>
      </c>
      <c r="BX21" s="229">
        <v>-0.30059999999999998</v>
      </c>
      <c r="BY21" s="230">
        <v>8930</v>
      </c>
      <c r="BZ21" s="230">
        <v>8801</v>
      </c>
      <c r="CA21" s="228">
        <v>129</v>
      </c>
      <c r="CB21" s="229">
        <v>1.46E-2</v>
      </c>
      <c r="CC21" s="230">
        <v>7732</v>
      </c>
      <c r="CD21" s="230">
        <v>7672</v>
      </c>
      <c r="CE21" s="228">
        <v>60</v>
      </c>
      <c r="CF21" s="229">
        <v>7.7999999999999996E-3</v>
      </c>
      <c r="CG21" s="230">
        <v>1183</v>
      </c>
      <c r="CH21" s="230">
        <v>1118</v>
      </c>
      <c r="CI21" s="228">
        <v>65</v>
      </c>
      <c r="CJ21" s="229">
        <v>5.8500000000000003E-2</v>
      </c>
      <c r="CK21" s="228">
        <v>14</v>
      </c>
      <c r="CL21" s="228">
        <v>11</v>
      </c>
      <c r="CM21" s="228">
        <v>3</v>
      </c>
      <c r="CN21" s="229">
        <v>0.29549999999999998</v>
      </c>
      <c r="CO21" s="230">
        <v>2083</v>
      </c>
      <c r="CP21" s="230">
        <v>2199</v>
      </c>
      <c r="CQ21" s="228">
        <v>-116</v>
      </c>
      <c r="CR21" s="229">
        <v>-5.2900000000000003E-2</v>
      </c>
      <c r="CS21" s="230">
        <v>1510</v>
      </c>
      <c r="CT21" s="230">
        <v>1458</v>
      </c>
      <c r="CU21" s="228">
        <v>52</v>
      </c>
      <c r="CV21" s="229">
        <v>3.5400000000000001E-2</v>
      </c>
      <c r="CW21" s="230">
        <v>12522</v>
      </c>
      <c r="CX21" s="230">
        <v>12458</v>
      </c>
      <c r="CY21" s="228">
        <v>64</v>
      </c>
      <c r="CZ21" s="229">
        <v>5.1000000000000004E-3</v>
      </c>
      <c r="DA21" s="228">
        <v>24.25</v>
      </c>
      <c r="DB21" s="228">
        <v>25.91</v>
      </c>
      <c r="DC21" s="228">
        <v>-1.66</v>
      </c>
      <c r="DD21" s="228">
        <v>-1.66</v>
      </c>
      <c r="DE21" s="228">
        <v>30.21</v>
      </c>
      <c r="DF21" s="228">
        <v>30.07</v>
      </c>
      <c r="DG21" s="228">
        <v>-5.96</v>
      </c>
      <c r="DH21" s="228">
        <v>0.14000000000000001</v>
      </c>
      <c r="DI21" s="228">
        <v>23.55</v>
      </c>
      <c r="DJ21" s="228">
        <v>25.68</v>
      </c>
      <c r="DK21" s="228">
        <v>-2.13</v>
      </c>
      <c r="DL21" s="228">
        <v>-2.13</v>
      </c>
      <c r="DM21" s="228">
        <v>25.51</v>
      </c>
      <c r="DN21" s="228">
        <v>26.39</v>
      </c>
      <c r="DO21" s="228">
        <v>-0.88</v>
      </c>
      <c r="DP21" s="228">
        <v>-0.88</v>
      </c>
      <c r="DQ21" s="228">
        <v>0.73</v>
      </c>
      <c r="DR21" s="228">
        <v>0.66</v>
      </c>
      <c r="DS21" s="228">
        <v>7.0000000000000007E-2</v>
      </c>
      <c r="DT21" s="229">
        <v>0.1061</v>
      </c>
      <c r="DU21" s="231">
        <v>1300</v>
      </c>
      <c r="DV21" s="231">
        <v>1200</v>
      </c>
      <c r="DW21" s="228">
        <v>0.56000000000000005</v>
      </c>
      <c r="DX21" s="228">
        <v>0.48</v>
      </c>
      <c r="DY21" s="228">
        <v>0.08</v>
      </c>
      <c r="DZ21" s="229">
        <v>0.16669999999999999</v>
      </c>
      <c r="EA21" s="229">
        <v>0.1341</v>
      </c>
      <c r="EB21" s="230">
        <v>8655625</v>
      </c>
      <c r="EC21" s="229">
        <v>6.4000000000000003E-3</v>
      </c>
      <c r="ED21" s="229">
        <v>0.1341</v>
      </c>
      <c r="EE21" s="228">
        <v>0.16</v>
      </c>
      <c r="EF21" s="229">
        <v>1E-4</v>
      </c>
      <c r="EG21" s="230">
        <v>4719280</v>
      </c>
      <c r="EH21" s="230">
        <v>5580368</v>
      </c>
      <c r="EI21" s="229">
        <v>-0.15429999999999999</v>
      </c>
      <c r="EJ21" s="229">
        <v>0.63119999999999998</v>
      </c>
      <c r="EK21" s="231">
        <v>4768.99</v>
      </c>
      <c r="EL21" s="231">
        <v>2518.54</v>
      </c>
      <c r="EM21" s="231">
        <v>1144.1300000000001</v>
      </c>
      <c r="EN21" s="228">
        <v>126.19</v>
      </c>
      <c r="EO21" s="231">
        <v>8431.66</v>
      </c>
      <c r="EP21" s="231">
        <v>4471.76</v>
      </c>
      <c r="EQ21" s="231">
        <v>3959.9</v>
      </c>
      <c r="ER21" s="229">
        <v>0.88549999999999995</v>
      </c>
      <c r="ES21" s="231">
        <v>2150.27</v>
      </c>
      <c r="ET21" s="231">
        <v>1443.85</v>
      </c>
      <c r="EU21" s="231">
        <v>8937.42</v>
      </c>
      <c r="EV21" s="231">
        <v>331596880</v>
      </c>
      <c r="EW21" s="231">
        <v>12531.54</v>
      </c>
      <c r="EX21" s="231">
        <v>12218.09</v>
      </c>
      <c r="EY21" s="228">
        <v>313.45</v>
      </c>
      <c r="EZ21" s="229">
        <v>2.5700000000000001E-2</v>
      </c>
      <c r="FA21" s="229">
        <v>0.28960000000000002</v>
      </c>
      <c r="FB21" s="227" t="s">
        <v>555</v>
      </c>
      <c r="FC21">
        <f t="shared" si="0"/>
        <v>1198</v>
      </c>
    </row>
    <row r="22" spans="1:159" ht="17.25" thickBot="1" x14ac:dyDescent="0.3">
      <c r="A22" s="226">
        <v>46148</v>
      </c>
      <c r="B22" s="227" t="s">
        <v>162</v>
      </c>
      <c r="C22" s="227" t="s">
        <v>174</v>
      </c>
      <c r="D22" s="228">
        <v>75</v>
      </c>
      <c r="E22" s="228">
        <v>20</v>
      </c>
      <c r="F22" s="231">
        <v>10361</v>
      </c>
      <c r="G22" s="231">
        <v>10090</v>
      </c>
      <c r="H22" s="228">
        <v>271</v>
      </c>
      <c r="I22" s="229">
        <v>2.69E-2</v>
      </c>
      <c r="J22" s="231">
        <v>10319</v>
      </c>
      <c r="K22" s="231">
        <v>10046</v>
      </c>
      <c r="L22" s="228">
        <v>273</v>
      </c>
      <c r="M22" s="229">
        <v>2.7199999999999998E-2</v>
      </c>
      <c r="N22" s="231">
        <v>10361</v>
      </c>
      <c r="O22" s="231">
        <v>10090</v>
      </c>
      <c r="P22" s="228">
        <v>271</v>
      </c>
      <c r="Q22" s="229">
        <v>2.69E-2</v>
      </c>
      <c r="R22" s="231">
        <v>10238.5</v>
      </c>
      <c r="S22" s="231">
        <v>10000</v>
      </c>
      <c r="T22" s="228">
        <v>238.5</v>
      </c>
      <c r="U22" s="229">
        <v>2.3800000000000002E-2</v>
      </c>
      <c r="V22" s="231">
        <v>10155.5</v>
      </c>
      <c r="W22" s="231">
        <v>9900</v>
      </c>
      <c r="X22" s="228">
        <v>255.5</v>
      </c>
      <c r="Y22" s="229">
        <v>2.58E-2</v>
      </c>
      <c r="Z22" s="228">
        <v>42</v>
      </c>
      <c r="AA22" s="228">
        <v>44</v>
      </c>
      <c r="AB22" s="228">
        <v>-2</v>
      </c>
      <c r="AC22" s="229">
        <v>4.1000000000000003E-3</v>
      </c>
      <c r="AD22" s="228">
        <v>42</v>
      </c>
      <c r="AE22" s="228">
        <v>44</v>
      </c>
      <c r="AF22" s="228">
        <v>-2</v>
      </c>
      <c r="AG22" s="229">
        <v>4.1000000000000003E-3</v>
      </c>
      <c r="AH22" s="228">
        <v>-80.5</v>
      </c>
      <c r="AI22" s="228">
        <v>-46</v>
      </c>
      <c r="AJ22" s="228">
        <v>-34.5</v>
      </c>
      <c r="AK22" s="229">
        <v>-7.7999999999999996E-3</v>
      </c>
      <c r="AL22" s="228">
        <v>-163.5</v>
      </c>
      <c r="AM22" s="228">
        <v>-146</v>
      </c>
      <c r="AN22" s="228">
        <v>-17.5</v>
      </c>
      <c r="AO22" s="229">
        <v>-1.5800000000000002E-2</v>
      </c>
      <c r="AP22" s="231">
        <v>10272.719999999999</v>
      </c>
      <c r="AQ22" s="231">
        <v>10156.07</v>
      </c>
      <c r="AR22" s="228">
        <v>0</v>
      </c>
      <c r="AS22" s="228">
        <v>702</v>
      </c>
      <c r="AT22" s="228">
        <v>351</v>
      </c>
      <c r="AU22" s="228">
        <v>351</v>
      </c>
      <c r="AV22" s="229">
        <v>1.0002</v>
      </c>
      <c r="AW22" s="228">
        <v>646</v>
      </c>
      <c r="AX22" s="228">
        <v>326</v>
      </c>
      <c r="AY22" s="228">
        <v>320</v>
      </c>
      <c r="AZ22" s="229">
        <v>0.98019999999999996</v>
      </c>
      <c r="BA22" s="228">
        <v>51</v>
      </c>
      <c r="BB22" s="228">
        <v>21</v>
      </c>
      <c r="BC22" s="228">
        <v>30</v>
      </c>
      <c r="BD22" s="229">
        <v>1.4328000000000001</v>
      </c>
      <c r="BE22" s="228">
        <v>5</v>
      </c>
      <c r="BF22" s="228">
        <v>4</v>
      </c>
      <c r="BG22" s="228">
        <v>1</v>
      </c>
      <c r="BH22" s="229">
        <v>0.3725</v>
      </c>
      <c r="BI22" s="230">
        <v>6418</v>
      </c>
      <c r="BJ22" s="230">
        <v>1594</v>
      </c>
      <c r="BK22" s="230">
        <v>4824</v>
      </c>
      <c r="BL22" s="229">
        <v>3.0253999999999999</v>
      </c>
      <c r="BM22" s="230">
        <v>2759</v>
      </c>
      <c r="BN22" s="230">
        <v>1104</v>
      </c>
      <c r="BO22" s="230">
        <v>1655</v>
      </c>
      <c r="BP22" s="229">
        <v>1.4996</v>
      </c>
      <c r="BQ22" s="230">
        <v>9880</v>
      </c>
      <c r="BR22" s="230">
        <v>3049</v>
      </c>
      <c r="BS22" s="230">
        <v>6831</v>
      </c>
      <c r="BT22" s="229">
        <v>2.2399</v>
      </c>
      <c r="BU22" s="230">
        <v>410572</v>
      </c>
      <c r="BV22" s="230">
        <v>239350</v>
      </c>
      <c r="BW22" s="230">
        <v>171222</v>
      </c>
      <c r="BX22" s="229">
        <v>0.71540000000000004</v>
      </c>
      <c r="BY22" s="230">
        <v>2745</v>
      </c>
      <c r="BZ22" s="230">
        <v>2723</v>
      </c>
      <c r="CA22" s="228">
        <v>22</v>
      </c>
      <c r="CB22" s="229">
        <v>8.0000000000000002E-3</v>
      </c>
      <c r="CC22" s="230">
        <v>2601</v>
      </c>
      <c r="CD22" s="230">
        <v>2593</v>
      </c>
      <c r="CE22" s="228">
        <v>8</v>
      </c>
      <c r="CF22" s="229">
        <v>3.0000000000000001E-3</v>
      </c>
      <c r="CG22" s="228">
        <v>135</v>
      </c>
      <c r="CH22" s="228">
        <v>122</v>
      </c>
      <c r="CI22" s="228">
        <v>13</v>
      </c>
      <c r="CJ22" s="229">
        <v>0.10290000000000001</v>
      </c>
      <c r="CK22" s="228">
        <v>9</v>
      </c>
      <c r="CL22" s="228">
        <v>8</v>
      </c>
      <c r="CM22" s="228">
        <v>1</v>
      </c>
      <c r="CN22" s="229">
        <v>0.1837</v>
      </c>
      <c r="CO22" s="230">
        <v>1819</v>
      </c>
      <c r="CP22" s="230">
        <v>1544</v>
      </c>
      <c r="CQ22" s="228">
        <v>275</v>
      </c>
      <c r="CR22" s="229">
        <v>0.1779</v>
      </c>
      <c r="CS22" s="230">
        <v>1392</v>
      </c>
      <c r="CT22" s="230">
        <v>1217</v>
      </c>
      <c r="CU22" s="228">
        <v>175</v>
      </c>
      <c r="CV22" s="229">
        <v>0.1439</v>
      </c>
      <c r="CW22" s="230">
        <v>5956</v>
      </c>
      <c r="CX22" s="230">
        <v>5484</v>
      </c>
      <c r="CY22" s="228">
        <v>472</v>
      </c>
      <c r="CZ22" s="229">
        <v>8.5999999999999993E-2</v>
      </c>
      <c r="DA22" s="228">
        <v>32.1</v>
      </c>
      <c r="DB22" s="228">
        <v>32.47</v>
      </c>
      <c r="DC22" s="228">
        <v>-0.37</v>
      </c>
      <c r="DD22" s="228">
        <v>-0.37</v>
      </c>
      <c r="DE22" s="228">
        <v>30.05</v>
      </c>
      <c r="DF22" s="228">
        <v>29.91</v>
      </c>
      <c r="DG22" s="228">
        <v>2.0499999999999998</v>
      </c>
      <c r="DH22" s="228">
        <v>0.14000000000000001</v>
      </c>
      <c r="DI22" s="228">
        <v>31.85</v>
      </c>
      <c r="DJ22" s="228">
        <v>32.49</v>
      </c>
      <c r="DK22" s="228">
        <v>-0.64</v>
      </c>
      <c r="DL22" s="228">
        <v>-0.64</v>
      </c>
      <c r="DM22" s="228">
        <v>32.67</v>
      </c>
      <c r="DN22" s="228">
        <v>32.44</v>
      </c>
      <c r="DO22" s="228">
        <v>0.23</v>
      </c>
      <c r="DP22" s="228">
        <v>0.23</v>
      </c>
      <c r="DQ22" s="228">
        <v>0.77</v>
      </c>
      <c r="DR22" s="228">
        <v>0.79</v>
      </c>
      <c r="DS22" s="228">
        <v>-0.02</v>
      </c>
      <c r="DT22" s="229">
        <v>-2.53E-2</v>
      </c>
      <c r="DU22" s="231">
        <v>10500</v>
      </c>
      <c r="DV22" s="231">
        <v>9000</v>
      </c>
      <c r="DW22" s="228">
        <v>0.43</v>
      </c>
      <c r="DX22" s="228">
        <v>0.69</v>
      </c>
      <c r="DY22" s="228">
        <v>-0.26</v>
      </c>
      <c r="DZ22" s="229">
        <v>-0.37680000000000002</v>
      </c>
      <c r="EA22" s="229">
        <v>5.2499999999999998E-2</v>
      </c>
      <c r="EB22" s="230">
        <v>125475</v>
      </c>
      <c r="EC22" s="229">
        <v>-1.18E-2</v>
      </c>
      <c r="ED22" s="229">
        <v>5.2499999999999998E-2</v>
      </c>
      <c r="EE22" s="228">
        <v>-116.65</v>
      </c>
      <c r="EF22" s="229">
        <v>-1.14E-2</v>
      </c>
      <c r="EG22" s="230">
        <v>128885</v>
      </c>
      <c r="EH22" s="230">
        <v>100934</v>
      </c>
      <c r="EI22" s="229">
        <v>0.27689999999999998</v>
      </c>
      <c r="EJ22" s="229">
        <v>0.31390000000000001</v>
      </c>
      <c r="EK22" s="231">
        <v>6749.08</v>
      </c>
      <c r="EL22" s="231">
        <v>2618.54</v>
      </c>
      <c r="EM22" s="228">
        <v>695.59</v>
      </c>
      <c r="EN22" s="228">
        <v>103.87</v>
      </c>
      <c r="EO22" s="231">
        <v>10063.209999999999</v>
      </c>
      <c r="EP22" s="231">
        <v>3018.41</v>
      </c>
      <c r="EQ22" s="231">
        <v>7044.8</v>
      </c>
      <c r="ER22" s="229">
        <v>2.3338999999999999</v>
      </c>
      <c r="ES22" s="231">
        <v>1843.73</v>
      </c>
      <c r="ET22" s="231">
        <v>1280.5899999999999</v>
      </c>
      <c r="EU22" s="231">
        <v>2743.09</v>
      </c>
      <c r="EV22" s="231">
        <v>12553818</v>
      </c>
      <c r="EW22" s="231">
        <v>5867.41</v>
      </c>
      <c r="EX22" s="231">
        <v>5304.93</v>
      </c>
      <c r="EY22" s="228">
        <v>562.48</v>
      </c>
      <c r="EZ22" s="229">
        <v>0.106</v>
      </c>
      <c r="FA22" s="229">
        <v>0.45789999999999997</v>
      </c>
      <c r="FB22" s="227" t="s">
        <v>555</v>
      </c>
      <c r="FC22">
        <f t="shared" si="0"/>
        <v>144</v>
      </c>
    </row>
    <row r="23" spans="1:159" ht="17.25" thickBot="1" x14ac:dyDescent="0.3">
      <c r="A23" s="226">
        <v>46148</v>
      </c>
      <c r="B23" s="227" t="s">
        <v>175</v>
      </c>
      <c r="C23" s="227" t="s">
        <v>176</v>
      </c>
      <c r="D23" s="228">
        <v>250</v>
      </c>
      <c r="E23" s="228">
        <v>20</v>
      </c>
      <c r="F23" s="231">
        <v>1846.9</v>
      </c>
      <c r="G23" s="231">
        <v>1800</v>
      </c>
      <c r="H23" s="228">
        <v>46.9</v>
      </c>
      <c r="I23" s="229">
        <v>2.6100000000000002E-2</v>
      </c>
      <c r="J23" s="231">
        <v>1836.1</v>
      </c>
      <c r="K23" s="231">
        <v>1794.6</v>
      </c>
      <c r="L23" s="228">
        <v>41.5</v>
      </c>
      <c r="M23" s="229">
        <v>2.3099999999999999E-2</v>
      </c>
      <c r="N23" s="231">
        <v>1846.9</v>
      </c>
      <c r="O23" s="231">
        <v>1800</v>
      </c>
      <c r="P23" s="228">
        <v>46.9</v>
      </c>
      <c r="Q23" s="229">
        <v>2.6100000000000002E-2</v>
      </c>
      <c r="R23" s="231">
        <v>1856.9</v>
      </c>
      <c r="S23" s="231">
        <v>1812</v>
      </c>
      <c r="T23" s="228">
        <v>44.9</v>
      </c>
      <c r="U23" s="229">
        <v>2.4799999999999999E-2</v>
      </c>
      <c r="V23" s="231">
        <v>1868.7</v>
      </c>
      <c r="W23" s="231">
        <v>1820.4</v>
      </c>
      <c r="X23" s="228">
        <v>48.3</v>
      </c>
      <c r="Y23" s="229">
        <v>2.6499999999999999E-2</v>
      </c>
      <c r="Z23" s="228">
        <v>10.8</v>
      </c>
      <c r="AA23" s="228">
        <v>5.4</v>
      </c>
      <c r="AB23" s="228">
        <v>5.4</v>
      </c>
      <c r="AC23" s="229">
        <v>5.8999999999999999E-3</v>
      </c>
      <c r="AD23" s="228">
        <v>10.8</v>
      </c>
      <c r="AE23" s="228">
        <v>5.4</v>
      </c>
      <c r="AF23" s="228">
        <v>5.4</v>
      </c>
      <c r="AG23" s="229">
        <v>5.8999999999999999E-3</v>
      </c>
      <c r="AH23" s="228">
        <v>20.8</v>
      </c>
      <c r="AI23" s="228">
        <v>17.399999999999999</v>
      </c>
      <c r="AJ23" s="228">
        <v>3.4</v>
      </c>
      <c r="AK23" s="229">
        <v>1.1299999999999999E-2</v>
      </c>
      <c r="AL23" s="228">
        <v>32.6</v>
      </c>
      <c r="AM23" s="228">
        <v>25.8</v>
      </c>
      <c r="AN23" s="228">
        <v>6.8</v>
      </c>
      <c r="AO23" s="229">
        <v>1.78E-2</v>
      </c>
      <c r="AP23" s="231">
        <v>1831.73</v>
      </c>
      <c r="AQ23" s="231">
        <v>1839.35</v>
      </c>
      <c r="AR23" s="228">
        <v>0</v>
      </c>
      <c r="AS23" s="228">
        <v>211</v>
      </c>
      <c r="AT23" s="228">
        <v>152</v>
      </c>
      <c r="AU23" s="228">
        <v>59</v>
      </c>
      <c r="AV23" s="229">
        <v>0.38479999999999998</v>
      </c>
      <c r="AW23" s="228">
        <v>190</v>
      </c>
      <c r="AX23" s="228">
        <v>142</v>
      </c>
      <c r="AY23" s="228">
        <v>48</v>
      </c>
      <c r="AZ23" s="229">
        <v>0.33600000000000002</v>
      </c>
      <c r="BA23" s="228">
        <v>19</v>
      </c>
      <c r="BB23" s="228">
        <v>9</v>
      </c>
      <c r="BC23" s="228">
        <v>9</v>
      </c>
      <c r="BD23" s="229">
        <v>0.96099999999999997</v>
      </c>
      <c r="BE23" s="228">
        <v>2</v>
      </c>
      <c r="BF23" s="228">
        <v>0</v>
      </c>
      <c r="BG23" s="228">
        <v>2</v>
      </c>
      <c r="BH23" s="229">
        <v>6.8</v>
      </c>
      <c r="BI23" s="230">
        <v>1097</v>
      </c>
      <c r="BJ23" s="228">
        <v>697</v>
      </c>
      <c r="BK23" s="228">
        <v>400</v>
      </c>
      <c r="BL23" s="229">
        <v>0.57440000000000002</v>
      </c>
      <c r="BM23" s="228">
        <v>551</v>
      </c>
      <c r="BN23" s="228">
        <v>472</v>
      </c>
      <c r="BO23" s="228">
        <v>78</v>
      </c>
      <c r="BP23" s="229">
        <v>0.16600000000000001</v>
      </c>
      <c r="BQ23" s="230">
        <v>1858</v>
      </c>
      <c r="BR23" s="230">
        <v>1321</v>
      </c>
      <c r="BS23" s="228">
        <v>537</v>
      </c>
      <c r="BT23" s="229">
        <v>0.40660000000000002</v>
      </c>
      <c r="BU23" s="230">
        <v>1125230</v>
      </c>
      <c r="BV23" s="230">
        <v>1372034</v>
      </c>
      <c r="BW23" s="230">
        <v>-246804</v>
      </c>
      <c r="BX23" s="229">
        <v>-0.1799</v>
      </c>
      <c r="BY23" s="230">
        <v>2119</v>
      </c>
      <c r="BZ23" s="230">
        <v>2134</v>
      </c>
      <c r="CA23" s="228">
        <v>-16</v>
      </c>
      <c r="CB23" s="229">
        <v>-7.4000000000000003E-3</v>
      </c>
      <c r="CC23" s="230">
        <v>1923</v>
      </c>
      <c r="CD23" s="230">
        <v>1941</v>
      </c>
      <c r="CE23" s="228">
        <v>-18</v>
      </c>
      <c r="CF23" s="229">
        <v>-9.1000000000000004E-3</v>
      </c>
      <c r="CG23" s="228">
        <v>192</v>
      </c>
      <c r="CH23" s="228">
        <v>189</v>
      </c>
      <c r="CI23" s="228">
        <v>2</v>
      </c>
      <c r="CJ23" s="229">
        <v>1.17E-2</v>
      </c>
      <c r="CK23" s="228">
        <v>4</v>
      </c>
      <c r="CL23" s="228">
        <v>4</v>
      </c>
      <c r="CM23" s="228">
        <v>0</v>
      </c>
      <c r="CN23" s="229">
        <v>-6.1699999999999998E-2</v>
      </c>
      <c r="CO23" s="228">
        <v>548</v>
      </c>
      <c r="CP23" s="228">
        <v>556</v>
      </c>
      <c r="CQ23" s="228">
        <v>-9</v>
      </c>
      <c r="CR23" s="229">
        <v>-1.54E-2</v>
      </c>
      <c r="CS23" s="228">
        <v>540</v>
      </c>
      <c r="CT23" s="228">
        <v>540</v>
      </c>
      <c r="CU23" s="228">
        <v>0</v>
      </c>
      <c r="CV23" s="229">
        <v>5.9999999999999995E-4</v>
      </c>
      <c r="CW23" s="230">
        <v>3206</v>
      </c>
      <c r="CX23" s="230">
        <v>3230</v>
      </c>
      <c r="CY23" s="228">
        <v>-24</v>
      </c>
      <c r="CZ23" s="229">
        <v>-7.4000000000000003E-3</v>
      </c>
      <c r="DA23" s="228">
        <v>26.4</v>
      </c>
      <c r="DB23" s="228">
        <v>27.64</v>
      </c>
      <c r="DC23" s="228">
        <v>-1.24</v>
      </c>
      <c r="DD23" s="228">
        <v>-1.24</v>
      </c>
      <c r="DE23" s="228">
        <v>30.45</v>
      </c>
      <c r="DF23" s="228">
        <v>30.33</v>
      </c>
      <c r="DG23" s="228">
        <v>-4.05</v>
      </c>
      <c r="DH23" s="228">
        <v>0.12</v>
      </c>
      <c r="DI23" s="228">
        <v>25.27</v>
      </c>
      <c r="DJ23" s="228">
        <v>26.58</v>
      </c>
      <c r="DK23" s="228">
        <v>-1.31</v>
      </c>
      <c r="DL23" s="228">
        <v>-1.31</v>
      </c>
      <c r="DM23" s="228">
        <v>28.66</v>
      </c>
      <c r="DN23" s="228">
        <v>29.19</v>
      </c>
      <c r="DO23" s="228">
        <v>-0.53</v>
      </c>
      <c r="DP23" s="228">
        <v>-0.53</v>
      </c>
      <c r="DQ23" s="228">
        <v>0.99</v>
      </c>
      <c r="DR23" s="228">
        <v>0.97</v>
      </c>
      <c r="DS23" s="228">
        <v>0.02</v>
      </c>
      <c r="DT23" s="229">
        <v>2.06E-2</v>
      </c>
      <c r="DU23" s="231">
        <v>2000</v>
      </c>
      <c r="DV23" s="231">
        <v>1680</v>
      </c>
      <c r="DW23" s="228">
        <v>0.5</v>
      </c>
      <c r="DX23" s="228">
        <v>0.68</v>
      </c>
      <c r="DY23" s="228">
        <v>-0.18</v>
      </c>
      <c r="DZ23" s="229">
        <v>-0.26469999999999999</v>
      </c>
      <c r="EA23" s="229">
        <v>9.2399999999999996E-2</v>
      </c>
      <c r="EB23" s="230">
        <v>1049300</v>
      </c>
      <c r="EC23" s="229">
        <v>5.4000000000000003E-3</v>
      </c>
      <c r="ED23" s="229">
        <v>9.2399999999999996E-2</v>
      </c>
      <c r="EE23" s="228">
        <v>7.62</v>
      </c>
      <c r="EF23" s="229">
        <v>4.1999999999999997E-3</v>
      </c>
      <c r="EG23" s="230">
        <v>526706</v>
      </c>
      <c r="EH23" s="230">
        <v>726424</v>
      </c>
      <c r="EI23" s="229">
        <v>-0.27489999999999998</v>
      </c>
      <c r="EJ23" s="229">
        <v>0.46810000000000002</v>
      </c>
      <c r="EK23" s="231">
        <v>1136.58</v>
      </c>
      <c r="EL23" s="228">
        <v>530.23</v>
      </c>
      <c r="EM23" s="228">
        <v>209.27</v>
      </c>
      <c r="EN23" s="228">
        <v>58.55</v>
      </c>
      <c r="EO23" s="231">
        <v>1876.08</v>
      </c>
      <c r="EP23" s="231">
        <v>1303.99</v>
      </c>
      <c r="EQ23" s="228">
        <v>572.08000000000004</v>
      </c>
      <c r="ER23" s="229">
        <v>0.43869999999999998</v>
      </c>
      <c r="ES23" s="228">
        <v>556.79</v>
      </c>
      <c r="ET23" s="228">
        <v>511.66</v>
      </c>
      <c r="EU23" s="231">
        <v>2119.77</v>
      </c>
      <c r="EV23" s="231">
        <v>65784745</v>
      </c>
      <c r="EW23" s="231">
        <v>3188.22</v>
      </c>
      <c r="EX23" s="231">
        <v>3153.64</v>
      </c>
      <c r="EY23" s="228">
        <v>34.58</v>
      </c>
      <c r="EZ23" s="229">
        <v>1.0999999999999999E-2</v>
      </c>
      <c r="FA23" s="229">
        <v>0.26390000000000002</v>
      </c>
      <c r="FB23" s="227" t="s">
        <v>691</v>
      </c>
      <c r="FC23">
        <f t="shared" si="0"/>
        <v>196</v>
      </c>
    </row>
    <row r="24" spans="1:159" ht="17.25" thickBot="1" x14ac:dyDescent="0.3">
      <c r="A24" s="226">
        <v>46148</v>
      </c>
      <c r="B24" s="227" t="s">
        <v>175</v>
      </c>
      <c r="C24" s="227" t="s">
        <v>687</v>
      </c>
      <c r="D24" s="228">
        <v>50</v>
      </c>
      <c r="E24" s="228">
        <v>20</v>
      </c>
      <c r="F24" s="231">
        <v>10685</v>
      </c>
      <c r="G24" s="231">
        <v>10531</v>
      </c>
      <c r="H24" s="228">
        <v>154</v>
      </c>
      <c r="I24" s="229">
        <v>1.46E-2</v>
      </c>
      <c r="J24" s="231">
        <v>10612</v>
      </c>
      <c r="K24" s="231">
        <v>10469</v>
      </c>
      <c r="L24" s="228">
        <v>143</v>
      </c>
      <c r="M24" s="229">
        <v>1.37E-2</v>
      </c>
      <c r="N24" s="231">
        <v>10685</v>
      </c>
      <c r="O24" s="231">
        <v>10531</v>
      </c>
      <c r="P24" s="228">
        <v>154</v>
      </c>
      <c r="Q24" s="229">
        <v>1.46E-2</v>
      </c>
      <c r="R24" s="231">
        <v>10712</v>
      </c>
      <c r="S24" s="231">
        <v>10551</v>
      </c>
      <c r="T24" s="228">
        <v>161</v>
      </c>
      <c r="U24" s="229">
        <v>1.5299999999999999E-2</v>
      </c>
      <c r="V24" s="228">
        <v>0</v>
      </c>
      <c r="W24" s="228">
        <v>0</v>
      </c>
      <c r="X24" s="228">
        <v>0</v>
      </c>
      <c r="Y24" s="229">
        <v>0</v>
      </c>
      <c r="Z24" s="228">
        <v>73</v>
      </c>
      <c r="AA24" s="228">
        <v>62</v>
      </c>
      <c r="AB24" s="228">
        <v>11</v>
      </c>
      <c r="AC24" s="229">
        <v>6.8999999999999999E-3</v>
      </c>
      <c r="AD24" s="228">
        <v>73</v>
      </c>
      <c r="AE24" s="228">
        <v>62</v>
      </c>
      <c r="AF24" s="228">
        <v>11</v>
      </c>
      <c r="AG24" s="229">
        <v>6.8999999999999999E-3</v>
      </c>
      <c r="AH24" s="228">
        <v>100</v>
      </c>
      <c r="AI24" s="228">
        <v>82</v>
      </c>
      <c r="AJ24" s="228">
        <v>18</v>
      </c>
      <c r="AK24" s="229">
        <v>9.4000000000000004E-3</v>
      </c>
      <c r="AL24" s="228">
        <v>0</v>
      </c>
      <c r="AM24" s="228">
        <v>0</v>
      </c>
      <c r="AN24" s="228">
        <v>0</v>
      </c>
      <c r="AO24" s="229">
        <v>0</v>
      </c>
      <c r="AP24" s="231">
        <v>10722.86</v>
      </c>
      <c r="AQ24" s="231">
        <v>10727.22</v>
      </c>
      <c r="AR24" s="228">
        <v>0</v>
      </c>
      <c r="AS24" s="228">
        <v>47</v>
      </c>
      <c r="AT24" s="228">
        <v>28</v>
      </c>
      <c r="AU24" s="228">
        <v>19</v>
      </c>
      <c r="AV24" s="229">
        <v>0.69750000000000001</v>
      </c>
      <c r="AW24" s="228">
        <v>45</v>
      </c>
      <c r="AX24" s="228">
        <v>27</v>
      </c>
      <c r="AY24" s="228">
        <v>18</v>
      </c>
      <c r="AZ24" s="229">
        <v>0.68330000000000002</v>
      </c>
      <c r="BA24" s="228">
        <v>2</v>
      </c>
      <c r="BB24" s="228">
        <v>1</v>
      </c>
      <c r="BC24" s="228">
        <v>1</v>
      </c>
      <c r="BD24" s="229">
        <v>1.1175999999999999</v>
      </c>
      <c r="BE24" s="228">
        <v>0</v>
      </c>
      <c r="BF24" s="228">
        <v>0</v>
      </c>
      <c r="BG24" s="228">
        <v>0</v>
      </c>
      <c r="BH24" s="229">
        <v>0</v>
      </c>
      <c r="BI24" s="228">
        <v>199</v>
      </c>
      <c r="BJ24" s="228">
        <v>79</v>
      </c>
      <c r="BK24" s="228">
        <v>120</v>
      </c>
      <c r="BL24" s="229">
        <v>1.5241</v>
      </c>
      <c r="BM24" s="228">
        <v>23</v>
      </c>
      <c r="BN24" s="228">
        <v>21</v>
      </c>
      <c r="BO24" s="228">
        <v>2</v>
      </c>
      <c r="BP24" s="229">
        <v>9.2100000000000001E-2</v>
      </c>
      <c r="BQ24" s="228">
        <v>269</v>
      </c>
      <c r="BR24" s="228">
        <v>127</v>
      </c>
      <c r="BS24" s="228">
        <v>141</v>
      </c>
      <c r="BT24" s="229">
        <v>1.1091</v>
      </c>
      <c r="BU24" s="230">
        <v>49718</v>
      </c>
      <c r="BV24" s="230">
        <v>30288</v>
      </c>
      <c r="BW24" s="230">
        <v>19430</v>
      </c>
      <c r="BX24" s="229">
        <v>0.64149999999999996</v>
      </c>
      <c r="BY24" s="228">
        <v>289</v>
      </c>
      <c r="BZ24" s="228">
        <v>278</v>
      </c>
      <c r="CA24" s="228">
        <v>12</v>
      </c>
      <c r="CB24" s="229">
        <v>4.1599999999999998E-2</v>
      </c>
      <c r="CC24" s="228">
        <v>286</v>
      </c>
      <c r="CD24" s="228">
        <v>275</v>
      </c>
      <c r="CE24" s="228">
        <v>11</v>
      </c>
      <c r="CF24" s="229">
        <v>4.0800000000000003E-2</v>
      </c>
      <c r="CG24" s="228">
        <v>3</v>
      </c>
      <c r="CH24" s="228">
        <v>3</v>
      </c>
      <c r="CI24" s="228">
        <v>0</v>
      </c>
      <c r="CJ24" s="229">
        <v>0.1154</v>
      </c>
      <c r="CK24" s="228">
        <v>0</v>
      </c>
      <c r="CL24" s="228">
        <v>0</v>
      </c>
      <c r="CM24" s="228">
        <v>0</v>
      </c>
      <c r="CN24" s="229">
        <v>0</v>
      </c>
      <c r="CO24" s="228">
        <v>74</v>
      </c>
      <c r="CP24" s="228">
        <v>67</v>
      </c>
      <c r="CQ24" s="228">
        <v>7</v>
      </c>
      <c r="CR24" s="229">
        <v>0.10639999999999999</v>
      </c>
      <c r="CS24" s="228">
        <v>32</v>
      </c>
      <c r="CT24" s="228">
        <v>27</v>
      </c>
      <c r="CU24" s="228">
        <v>5</v>
      </c>
      <c r="CV24" s="229">
        <v>0.20080000000000001</v>
      </c>
      <c r="CW24" s="228">
        <v>395</v>
      </c>
      <c r="CX24" s="228">
        <v>371</v>
      </c>
      <c r="CY24" s="228">
        <v>24</v>
      </c>
      <c r="CZ24" s="229">
        <v>6.4699999999999994E-2</v>
      </c>
      <c r="DA24" s="228">
        <v>36.57</v>
      </c>
      <c r="DB24" s="228">
        <v>38.03</v>
      </c>
      <c r="DC24" s="228">
        <v>-1.46</v>
      </c>
      <c r="DD24" s="228">
        <v>-1.46</v>
      </c>
      <c r="DE24" s="228">
        <v>38.01</v>
      </c>
      <c r="DF24" s="228">
        <v>38.06</v>
      </c>
      <c r="DG24" s="228">
        <v>-1.44</v>
      </c>
      <c r="DH24" s="228">
        <v>-0.05</v>
      </c>
      <c r="DI24" s="228">
        <v>36.4</v>
      </c>
      <c r="DJ24" s="228">
        <v>37.67</v>
      </c>
      <c r="DK24" s="228">
        <v>-1.27</v>
      </c>
      <c r="DL24" s="228">
        <v>-1.27</v>
      </c>
      <c r="DM24" s="228">
        <v>38.03</v>
      </c>
      <c r="DN24" s="228">
        <v>39.409999999999997</v>
      </c>
      <c r="DO24" s="228">
        <v>-1.38</v>
      </c>
      <c r="DP24" s="228">
        <v>-1.38</v>
      </c>
      <c r="DQ24" s="228">
        <v>0.44</v>
      </c>
      <c r="DR24" s="228">
        <v>0.4</v>
      </c>
      <c r="DS24" s="228">
        <v>0.04</v>
      </c>
      <c r="DT24" s="229">
        <v>0.1</v>
      </c>
      <c r="DU24" s="231">
        <v>11000</v>
      </c>
      <c r="DV24" s="231">
        <v>10000</v>
      </c>
      <c r="DW24" s="228">
        <v>0.11</v>
      </c>
      <c r="DX24" s="228">
        <v>0.27</v>
      </c>
      <c r="DY24" s="228">
        <v>-0.16</v>
      </c>
      <c r="DZ24" s="229">
        <v>-0.59260000000000002</v>
      </c>
      <c r="EA24" s="229">
        <v>1.0699999999999999E-2</v>
      </c>
      <c r="EB24" s="230">
        <v>2600</v>
      </c>
      <c r="EC24" s="229">
        <v>2.5000000000000001E-3</v>
      </c>
      <c r="ED24" s="229">
        <v>1.0699999999999999E-2</v>
      </c>
      <c r="EE24" s="228">
        <v>4.3600000000000003</v>
      </c>
      <c r="EF24" s="229">
        <v>4.0000000000000002E-4</v>
      </c>
      <c r="EG24" s="230">
        <v>16910</v>
      </c>
      <c r="EH24" s="230">
        <v>13568</v>
      </c>
      <c r="EI24" s="229">
        <v>0.24629999999999999</v>
      </c>
      <c r="EJ24" s="229">
        <v>0.34010000000000001</v>
      </c>
      <c r="EK24" s="228">
        <v>210.88</v>
      </c>
      <c r="EL24" s="228">
        <v>21.85</v>
      </c>
      <c r="EM24" s="228">
        <v>47.24</v>
      </c>
      <c r="EN24" s="228">
        <v>6.05</v>
      </c>
      <c r="EO24" s="228">
        <v>279.95999999999998</v>
      </c>
      <c r="EP24" s="228">
        <v>129.13</v>
      </c>
      <c r="EQ24" s="228">
        <v>150.83000000000001</v>
      </c>
      <c r="ER24" s="229">
        <v>1.1680999999999999</v>
      </c>
      <c r="ES24" s="228">
        <v>76.17</v>
      </c>
      <c r="ET24" s="228">
        <v>30.36</v>
      </c>
      <c r="EU24" s="228">
        <v>289.25</v>
      </c>
      <c r="EV24" s="231">
        <v>5401993</v>
      </c>
      <c r="EW24" s="228">
        <v>395.78</v>
      </c>
      <c r="EX24" s="228">
        <v>367.85</v>
      </c>
      <c r="EY24" s="228">
        <v>27.93</v>
      </c>
      <c r="EZ24" s="229">
        <v>7.5899999999999995E-2</v>
      </c>
      <c r="FA24" s="229">
        <v>6.8500000000000005E-2</v>
      </c>
      <c r="FB24" s="227" t="s">
        <v>555</v>
      </c>
      <c r="FC24">
        <f t="shared" si="0"/>
        <v>3</v>
      </c>
    </row>
    <row r="25" spans="1:159" ht="17.25" thickBot="1" x14ac:dyDescent="0.3">
      <c r="A25" s="226">
        <v>46148</v>
      </c>
      <c r="B25" s="227" t="s">
        <v>175</v>
      </c>
      <c r="C25" s="227" t="s">
        <v>177</v>
      </c>
      <c r="D25" s="228">
        <v>750</v>
      </c>
      <c r="E25" s="228">
        <v>20</v>
      </c>
      <c r="F25" s="228">
        <v>985.45</v>
      </c>
      <c r="G25" s="228">
        <v>960.6</v>
      </c>
      <c r="H25" s="228">
        <v>24.85</v>
      </c>
      <c r="I25" s="229">
        <v>2.5899999999999999E-2</v>
      </c>
      <c r="J25" s="228">
        <v>980.75</v>
      </c>
      <c r="K25" s="228">
        <v>958.6</v>
      </c>
      <c r="L25" s="228">
        <v>22.15</v>
      </c>
      <c r="M25" s="229">
        <v>2.3099999999999999E-2</v>
      </c>
      <c r="N25" s="228">
        <v>985.45</v>
      </c>
      <c r="O25" s="228">
        <v>960.6</v>
      </c>
      <c r="P25" s="228">
        <v>24.85</v>
      </c>
      <c r="Q25" s="229">
        <v>2.5899999999999999E-2</v>
      </c>
      <c r="R25" s="228">
        <v>985.25</v>
      </c>
      <c r="S25" s="228">
        <v>961.5</v>
      </c>
      <c r="T25" s="228">
        <v>23.75</v>
      </c>
      <c r="U25" s="229">
        <v>2.47E-2</v>
      </c>
      <c r="V25" s="228">
        <v>990.95</v>
      </c>
      <c r="W25" s="228">
        <v>966</v>
      </c>
      <c r="X25" s="228">
        <v>24.95</v>
      </c>
      <c r="Y25" s="229">
        <v>2.58E-2</v>
      </c>
      <c r="Z25" s="228">
        <v>4.7</v>
      </c>
      <c r="AA25" s="228">
        <v>2</v>
      </c>
      <c r="AB25" s="228">
        <v>2.7</v>
      </c>
      <c r="AC25" s="229">
        <v>4.7999999999999996E-3</v>
      </c>
      <c r="AD25" s="228">
        <v>4.7</v>
      </c>
      <c r="AE25" s="228">
        <v>2</v>
      </c>
      <c r="AF25" s="228">
        <v>2.7</v>
      </c>
      <c r="AG25" s="229">
        <v>4.7999999999999996E-3</v>
      </c>
      <c r="AH25" s="228">
        <v>4.5</v>
      </c>
      <c r="AI25" s="228">
        <v>2.9</v>
      </c>
      <c r="AJ25" s="228">
        <v>1.6</v>
      </c>
      <c r="AK25" s="229">
        <v>4.5999999999999999E-3</v>
      </c>
      <c r="AL25" s="228">
        <v>10.199999999999999</v>
      </c>
      <c r="AM25" s="228">
        <v>7.4</v>
      </c>
      <c r="AN25" s="228">
        <v>2.8</v>
      </c>
      <c r="AO25" s="229">
        <v>1.04E-2</v>
      </c>
      <c r="AP25" s="228">
        <v>978.92</v>
      </c>
      <c r="AQ25" s="228">
        <v>978.81</v>
      </c>
      <c r="AR25" s="228">
        <v>0</v>
      </c>
      <c r="AS25" s="228">
        <v>911</v>
      </c>
      <c r="AT25" s="228">
        <v>600</v>
      </c>
      <c r="AU25" s="228">
        <v>311</v>
      </c>
      <c r="AV25" s="229">
        <v>0.51919999999999999</v>
      </c>
      <c r="AW25" s="228">
        <v>840</v>
      </c>
      <c r="AX25" s="228">
        <v>557</v>
      </c>
      <c r="AY25" s="228">
        <v>283</v>
      </c>
      <c r="AZ25" s="229">
        <v>0.50729999999999997</v>
      </c>
      <c r="BA25" s="228">
        <v>59</v>
      </c>
      <c r="BB25" s="228">
        <v>36</v>
      </c>
      <c r="BC25" s="228">
        <v>23</v>
      </c>
      <c r="BD25" s="229">
        <v>0.63039999999999996</v>
      </c>
      <c r="BE25" s="228">
        <v>12</v>
      </c>
      <c r="BF25" s="228">
        <v>6</v>
      </c>
      <c r="BG25" s="228">
        <v>6</v>
      </c>
      <c r="BH25" s="229">
        <v>0.94120000000000004</v>
      </c>
      <c r="BI25" s="230">
        <v>3893</v>
      </c>
      <c r="BJ25" s="230">
        <v>2085</v>
      </c>
      <c r="BK25" s="230">
        <v>1808</v>
      </c>
      <c r="BL25" s="229">
        <v>0.86719999999999997</v>
      </c>
      <c r="BM25" s="230">
        <v>1985</v>
      </c>
      <c r="BN25" s="230">
        <v>1548</v>
      </c>
      <c r="BO25" s="228">
        <v>437</v>
      </c>
      <c r="BP25" s="229">
        <v>0.28220000000000001</v>
      </c>
      <c r="BQ25" s="230">
        <v>6788</v>
      </c>
      <c r="BR25" s="230">
        <v>4232</v>
      </c>
      <c r="BS25" s="230">
        <v>2556</v>
      </c>
      <c r="BT25" s="229">
        <v>0.60399999999999998</v>
      </c>
      <c r="BU25" s="230">
        <v>8016598</v>
      </c>
      <c r="BV25" s="230">
        <v>7528249</v>
      </c>
      <c r="BW25" s="230">
        <v>488349</v>
      </c>
      <c r="BX25" s="229">
        <v>6.4899999999999999E-2</v>
      </c>
      <c r="BY25" s="230">
        <v>6881</v>
      </c>
      <c r="BZ25" s="230">
        <v>6966</v>
      </c>
      <c r="CA25" s="228">
        <v>-85</v>
      </c>
      <c r="CB25" s="229">
        <v>-1.21E-2</v>
      </c>
      <c r="CC25" s="230">
        <v>5808</v>
      </c>
      <c r="CD25" s="230">
        <v>5896</v>
      </c>
      <c r="CE25" s="228">
        <v>-89</v>
      </c>
      <c r="CF25" s="229">
        <v>-1.4999999999999999E-2</v>
      </c>
      <c r="CG25" s="230">
        <v>1057</v>
      </c>
      <c r="CH25" s="230">
        <v>1056</v>
      </c>
      <c r="CI25" s="228">
        <v>1</v>
      </c>
      <c r="CJ25" s="229">
        <v>5.9999999999999995E-4</v>
      </c>
      <c r="CK25" s="228">
        <v>17</v>
      </c>
      <c r="CL25" s="228">
        <v>13</v>
      </c>
      <c r="CM25" s="228">
        <v>3</v>
      </c>
      <c r="CN25" s="229">
        <v>0.2626</v>
      </c>
      <c r="CO25" s="230">
        <v>1582</v>
      </c>
      <c r="CP25" s="230">
        <v>1638</v>
      </c>
      <c r="CQ25" s="228">
        <v>-56</v>
      </c>
      <c r="CR25" s="229">
        <v>-3.4099999999999998E-2</v>
      </c>
      <c r="CS25" s="230">
        <v>1359</v>
      </c>
      <c r="CT25" s="230">
        <v>1277</v>
      </c>
      <c r="CU25" s="228">
        <v>82</v>
      </c>
      <c r="CV25" s="229">
        <v>6.4199999999999993E-2</v>
      </c>
      <c r="CW25" s="230">
        <v>9822</v>
      </c>
      <c r="CX25" s="230">
        <v>9880</v>
      </c>
      <c r="CY25" s="228">
        <v>-58</v>
      </c>
      <c r="CZ25" s="229">
        <v>-5.8999999999999999E-3</v>
      </c>
      <c r="DA25" s="228">
        <v>28.86</v>
      </c>
      <c r="DB25" s="228">
        <v>30.97</v>
      </c>
      <c r="DC25" s="228">
        <v>-2.11</v>
      </c>
      <c r="DD25" s="228">
        <v>-2.11</v>
      </c>
      <c r="DE25" s="228">
        <v>35.409999999999997</v>
      </c>
      <c r="DF25" s="228">
        <v>35.36</v>
      </c>
      <c r="DG25" s="228">
        <v>-6.55</v>
      </c>
      <c r="DH25" s="228">
        <v>0.05</v>
      </c>
      <c r="DI25" s="228">
        <v>28.03</v>
      </c>
      <c r="DJ25" s="228">
        <v>30.24</v>
      </c>
      <c r="DK25" s="228">
        <v>-2.21</v>
      </c>
      <c r="DL25" s="228">
        <v>-2.21</v>
      </c>
      <c r="DM25" s="228">
        <v>30.48</v>
      </c>
      <c r="DN25" s="228">
        <v>31.95</v>
      </c>
      <c r="DO25" s="228">
        <v>-1.47</v>
      </c>
      <c r="DP25" s="228">
        <v>-1.47</v>
      </c>
      <c r="DQ25" s="228">
        <v>0.86</v>
      </c>
      <c r="DR25" s="228">
        <v>0.78</v>
      </c>
      <c r="DS25" s="228">
        <v>0.08</v>
      </c>
      <c r="DT25" s="229">
        <v>0.1026</v>
      </c>
      <c r="DU25" s="231">
        <v>1000</v>
      </c>
      <c r="DV25" s="228">
        <v>900</v>
      </c>
      <c r="DW25" s="228">
        <v>0.51</v>
      </c>
      <c r="DX25" s="228">
        <v>0.74</v>
      </c>
      <c r="DY25" s="228">
        <v>-0.23</v>
      </c>
      <c r="DZ25" s="229">
        <v>-0.31080000000000002</v>
      </c>
      <c r="EA25" s="229">
        <v>0.156</v>
      </c>
      <c r="EB25" s="230">
        <v>10850250</v>
      </c>
      <c r="EC25" s="229">
        <v>-2.0000000000000001E-4</v>
      </c>
      <c r="ED25" s="229">
        <v>0.156</v>
      </c>
      <c r="EE25" s="228">
        <v>-0.11</v>
      </c>
      <c r="EF25" s="229">
        <v>-1E-4</v>
      </c>
      <c r="EG25" s="230">
        <v>3754997</v>
      </c>
      <c r="EH25" s="230">
        <v>2529825</v>
      </c>
      <c r="EI25" s="229">
        <v>0.48430000000000001</v>
      </c>
      <c r="EJ25" s="229">
        <v>0.46839999999999998</v>
      </c>
      <c r="EK25" s="231">
        <v>4015.3</v>
      </c>
      <c r="EL25" s="231">
        <v>1925.08</v>
      </c>
      <c r="EM25" s="228">
        <v>905.1</v>
      </c>
      <c r="EN25" s="228">
        <v>183.85</v>
      </c>
      <c r="EO25" s="231">
        <v>6845.48</v>
      </c>
      <c r="EP25" s="231">
        <v>4150.8500000000004</v>
      </c>
      <c r="EQ25" s="231">
        <v>2694.63</v>
      </c>
      <c r="ER25" s="229">
        <v>0.6492</v>
      </c>
      <c r="ES25" s="231">
        <v>1563.23</v>
      </c>
      <c r="ET25" s="231">
        <v>1268.24</v>
      </c>
      <c r="EU25" s="231">
        <v>6880.86</v>
      </c>
      <c r="EV25" s="231">
        <v>387962395</v>
      </c>
      <c r="EW25" s="231">
        <v>9712.33</v>
      </c>
      <c r="EX25" s="231">
        <v>9582.77</v>
      </c>
      <c r="EY25" s="228">
        <v>129.56</v>
      </c>
      <c r="EZ25" s="229">
        <v>1.35E-2</v>
      </c>
      <c r="FA25" s="229">
        <v>0.25690000000000002</v>
      </c>
      <c r="FB25" s="227" t="s">
        <v>691</v>
      </c>
      <c r="FC25">
        <f t="shared" si="0"/>
        <v>1073</v>
      </c>
    </row>
    <row r="26" spans="1:159" ht="17.25" thickBot="1" x14ac:dyDescent="0.3">
      <c r="A26" s="226">
        <v>46148</v>
      </c>
      <c r="B26" s="227" t="s">
        <v>172</v>
      </c>
      <c r="C26" s="227" t="s">
        <v>179</v>
      </c>
      <c r="D26" s="228">
        <v>3600</v>
      </c>
      <c r="E26" s="228">
        <v>20</v>
      </c>
      <c r="F26" s="228">
        <v>210.34</v>
      </c>
      <c r="G26" s="228">
        <v>207.7</v>
      </c>
      <c r="H26" s="228">
        <v>2.64</v>
      </c>
      <c r="I26" s="229">
        <v>1.2699999999999999E-2</v>
      </c>
      <c r="J26" s="228">
        <v>208.88</v>
      </c>
      <c r="K26" s="228">
        <v>206.44</v>
      </c>
      <c r="L26" s="228">
        <v>2.44</v>
      </c>
      <c r="M26" s="229">
        <v>1.18E-2</v>
      </c>
      <c r="N26" s="228">
        <v>210.34</v>
      </c>
      <c r="O26" s="228">
        <v>207.7</v>
      </c>
      <c r="P26" s="228">
        <v>2.64</v>
      </c>
      <c r="Q26" s="229">
        <v>1.2699999999999999E-2</v>
      </c>
      <c r="R26" s="228">
        <v>211.77</v>
      </c>
      <c r="S26" s="228">
        <v>208.88</v>
      </c>
      <c r="T26" s="228">
        <v>2.89</v>
      </c>
      <c r="U26" s="229">
        <v>1.38E-2</v>
      </c>
      <c r="V26" s="228">
        <v>212.62</v>
      </c>
      <c r="W26" s="228">
        <v>209.44</v>
      </c>
      <c r="X26" s="228">
        <v>3.18</v>
      </c>
      <c r="Y26" s="229">
        <v>1.52E-2</v>
      </c>
      <c r="Z26" s="228">
        <v>1.46</v>
      </c>
      <c r="AA26" s="228">
        <v>1.26</v>
      </c>
      <c r="AB26" s="228">
        <v>0.2</v>
      </c>
      <c r="AC26" s="229">
        <v>7.0000000000000001E-3</v>
      </c>
      <c r="AD26" s="228">
        <v>1.46</v>
      </c>
      <c r="AE26" s="228">
        <v>1.26</v>
      </c>
      <c r="AF26" s="228">
        <v>0.2</v>
      </c>
      <c r="AG26" s="229">
        <v>7.0000000000000001E-3</v>
      </c>
      <c r="AH26" s="228">
        <v>2.89</v>
      </c>
      <c r="AI26" s="228">
        <v>2.44</v>
      </c>
      <c r="AJ26" s="228">
        <v>0.45</v>
      </c>
      <c r="AK26" s="229">
        <v>1.38E-2</v>
      </c>
      <c r="AL26" s="228">
        <v>3.74</v>
      </c>
      <c r="AM26" s="228">
        <v>3</v>
      </c>
      <c r="AN26" s="228">
        <v>0.74</v>
      </c>
      <c r="AO26" s="229">
        <v>1.7899999999999999E-2</v>
      </c>
      <c r="AP26" s="228">
        <v>209.55</v>
      </c>
      <c r="AQ26" s="228">
        <v>210.52</v>
      </c>
      <c r="AR26" s="228">
        <v>0</v>
      </c>
      <c r="AS26" s="228">
        <v>317</v>
      </c>
      <c r="AT26" s="228">
        <v>307</v>
      </c>
      <c r="AU26" s="228">
        <v>9</v>
      </c>
      <c r="AV26" s="229">
        <v>3.0800000000000001E-2</v>
      </c>
      <c r="AW26" s="228">
        <v>301</v>
      </c>
      <c r="AX26" s="228">
        <v>295</v>
      </c>
      <c r="AY26" s="228">
        <v>6</v>
      </c>
      <c r="AZ26" s="229">
        <v>2.0299999999999999E-2</v>
      </c>
      <c r="BA26" s="228">
        <v>14</v>
      </c>
      <c r="BB26" s="228">
        <v>12</v>
      </c>
      <c r="BC26" s="228">
        <v>2</v>
      </c>
      <c r="BD26" s="229">
        <v>0.1258</v>
      </c>
      <c r="BE26" s="228">
        <v>3</v>
      </c>
      <c r="BF26" s="228">
        <v>1</v>
      </c>
      <c r="BG26" s="228">
        <v>2</v>
      </c>
      <c r="BH26" s="229">
        <v>2.8889</v>
      </c>
      <c r="BI26" s="228">
        <v>879</v>
      </c>
      <c r="BJ26" s="228">
        <v>849</v>
      </c>
      <c r="BK26" s="228">
        <v>29</v>
      </c>
      <c r="BL26" s="229">
        <v>3.4299999999999997E-2</v>
      </c>
      <c r="BM26" s="228">
        <v>558</v>
      </c>
      <c r="BN26" s="228">
        <v>686</v>
      </c>
      <c r="BO26" s="228">
        <v>-129</v>
      </c>
      <c r="BP26" s="229">
        <v>-0.18779999999999999</v>
      </c>
      <c r="BQ26" s="230">
        <v>1753</v>
      </c>
      <c r="BR26" s="230">
        <v>1843</v>
      </c>
      <c r="BS26" s="228">
        <v>-90</v>
      </c>
      <c r="BT26" s="229">
        <v>-4.9000000000000002E-2</v>
      </c>
      <c r="BU26" s="230">
        <v>15299029</v>
      </c>
      <c r="BV26" s="230">
        <v>14670719</v>
      </c>
      <c r="BW26" s="230">
        <v>628310</v>
      </c>
      <c r="BX26" s="229">
        <v>4.2799999999999998E-2</v>
      </c>
      <c r="BY26" s="230">
        <v>2075</v>
      </c>
      <c r="BZ26" s="230">
        <v>2040</v>
      </c>
      <c r="CA26" s="228">
        <v>35</v>
      </c>
      <c r="CB26" s="229">
        <v>1.7299999999999999E-2</v>
      </c>
      <c r="CC26" s="230">
        <v>2024</v>
      </c>
      <c r="CD26" s="230">
        <v>1993</v>
      </c>
      <c r="CE26" s="228">
        <v>31</v>
      </c>
      <c r="CF26" s="229">
        <v>1.55E-2</v>
      </c>
      <c r="CG26" s="228">
        <v>46</v>
      </c>
      <c r="CH26" s="228">
        <v>42</v>
      </c>
      <c r="CI26" s="228">
        <v>4</v>
      </c>
      <c r="CJ26" s="229">
        <v>9.2100000000000001E-2</v>
      </c>
      <c r="CK26" s="228">
        <v>5</v>
      </c>
      <c r="CL26" s="228">
        <v>5</v>
      </c>
      <c r="CM26" s="228">
        <v>1</v>
      </c>
      <c r="CN26" s="229">
        <v>0.1077</v>
      </c>
      <c r="CO26" s="228">
        <v>907</v>
      </c>
      <c r="CP26" s="228">
        <v>947</v>
      </c>
      <c r="CQ26" s="228">
        <v>-40</v>
      </c>
      <c r="CR26" s="229">
        <v>-4.2500000000000003E-2</v>
      </c>
      <c r="CS26" s="228">
        <v>686</v>
      </c>
      <c r="CT26" s="228">
        <v>719</v>
      </c>
      <c r="CU26" s="228">
        <v>-33</v>
      </c>
      <c r="CV26" s="229">
        <v>-4.6100000000000002E-2</v>
      </c>
      <c r="CW26" s="230">
        <v>3668</v>
      </c>
      <c r="CX26" s="230">
        <v>3706</v>
      </c>
      <c r="CY26" s="228">
        <v>-38</v>
      </c>
      <c r="CZ26" s="229">
        <v>-1.03E-2</v>
      </c>
      <c r="DA26" s="228">
        <v>40.46</v>
      </c>
      <c r="DB26" s="228">
        <v>41.68</v>
      </c>
      <c r="DC26" s="228">
        <v>-1.22</v>
      </c>
      <c r="DD26" s="228">
        <v>-1.22</v>
      </c>
      <c r="DE26" s="228">
        <v>47.48</v>
      </c>
      <c r="DF26" s="228">
        <v>47.57</v>
      </c>
      <c r="DG26" s="228">
        <v>-7.02</v>
      </c>
      <c r="DH26" s="228">
        <v>-0.09</v>
      </c>
      <c r="DI26" s="228">
        <v>40.15</v>
      </c>
      <c r="DJ26" s="228">
        <v>41.29</v>
      </c>
      <c r="DK26" s="228">
        <v>-1.1399999999999999</v>
      </c>
      <c r="DL26" s="228">
        <v>-1.1399999999999999</v>
      </c>
      <c r="DM26" s="228">
        <v>40.96</v>
      </c>
      <c r="DN26" s="228">
        <v>42.16</v>
      </c>
      <c r="DO26" s="228">
        <v>-1.2</v>
      </c>
      <c r="DP26" s="228">
        <v>-1.2</v>
      </c>
      <c r="DQ26" s="228">
        <v>0.76</v>
      </c>
      <c r="DR26" s="228">
        <v>0.76</v>
      </c>
      <c r="DS26" s="228">
        <v>0</v>
      </c>
      <c r="DT26" s="229">
        <v>0</v>
      </c>
      <c r="DU26" s="228">
        <v>210</v>
      </c>
      <c r="DV26" s="228">
        <v>200</v>
      </c>
      <c r="DW26" s="228">
        <v>0.63</v>
      </c>
      <c r="DX26" s="228">
        <v>0.81</v>
      </c>
      <c r="DY26" s="228">
        <v>-0.18</v>
      </c>
      <c r="DZ26" s="229">
        <v>-0.22220000000000001</v>
      </c>
      <c r="EA26" s="229">
        <v>2.47E-2</v>
      </c>
      <c r="EB26" s="230">
        <v>2228400</v>
      </c>
      <c r="EC26" s="229">
        <v>6.7999999999999996E-3</v>
      </c>
      <c r="ED26" s="229">
        <v>2.47E-2</v>
      </c>
      <c r="EE26" s="228">
        <v>0.97</v>
      </c>
      <c r="EF26" s="229">
        <v>4.5999999999999999E-3</v>
      </c>
      <c r="EG26" s="230">
        <v>6205053</v>
      </c>
      <c r="EH26" s="230">
        <v>5474592</v>
      </c>
      <c r="EI26" s="229">
        <v>0.13339999999999999</v>
      </c>
      <c r="EJ26" s="229">
        <v>0.40560000000000002</v>
      </c>
      <c r="EK26" s="228">
        <v>923.13</v>
      </c>
      <c r="EL26" s="228">
        <v>535.35</v>
      </c>
      <c r="EM26" s="228">
        <v>315.79000000000002</v>
      </c>
      <c r="EN26" s="228">
        <v>129.05000000000001</v>
      </c>
      <c r="EO26" s="231">
        <v>1774.27</v>
      </c>
      <c r="EP26" s="231">
        <v>1846.4</v>
      </c>
      <c r="EQ26" s="228">
        <v>-72.13</v>
      </c>
      <c r="ER26" s="229">
        <v>-3.9100000000000003E-2</v>
      </c>
      <c r="ES26" s="228">
        <v>875.31</v>
      </c>
      <c r="ET26" s="228">
        <v>619.75</v>
      </c>
      <c r="EU26" s="231">
        <v>2075.69</v>
      </c>
      <c r="EV26" s="231">
        <v>145616308</v>
      </c>
      <c r="EW26" s="231">
        <v>3570.75</v>
      </c>
      <c r="EX26" s="231">
        <v>3578.62</v>
      </c>
      <c r="EY26" s="228">
        <v>-7.87</v>
      </c>
      <c r="EZ26" s="229">
        <v>-2.2000000000000001E-3</v>
      </c>
      <c r="FA26" s="229">
        <v>1.1976</v>
      </c>
      <c r="FB26" s="227" t="s">
        <v>555</v>
      </c>
      <c r="FC26">
        <f t="shared" si="0"/>
        <v>51</v>
      </c>
    </row>
    <row r="27" spans="1:159" ht="17.25" thickBot="1" x14ac:dyDescent="0.3">
      <c r="A27" s="226">
        <v>46148</v>
      </c>
      <c r="B27" s="227" t="s">
        <v>172</v>
      </c>
      <c r="C27" s="227" t="s">
        <v>180</v>
      </c>
      <c r="D27" s="228">
        <v>2925</v>
      </c>
      <c r="E27" s="228">
        <v>20</v>
      </c>
      <c r="F27" s="228">
        <v>272.39999999999998</v>
      </c>
      <c r="G27" s="228">
        <v>264.75</v>
      </c>
      <c r="H27" s="228">
        <v>7.65</v>
      </c>
      <c r="I27" s="229">
        <v>2.8899999999999999E-2</v>
      </c>
      <c r="J27" s="228">
        <v>270.3</v>
      </c>
      <c r="K27" s="228">
        <v>263.39999999999998</v>
      </c>
      <c r="L27" s="228">
        <v>6.9</v>
      </c>
      <c r="M27" s="229">
        <v>2.6200000000000001E-2</v>
      </c>
      <c r="N27" s="228">
        <v>272.39999999999998</v>
      </c>
      <c r="O27" s="228">
        <v>264.75</v>
      </c>
      <c r="P27" s="228">
        <v>7.65</v>
      </c>
      <c r="Q27" s="229">
        <v>2.8899999999999999E-2</v>
      </c>
      <c r="R27" s="228">
        <v>274</v>
      </c>
      <c r="S27" s="228">
        <v>266.5</v>
      </c>
      <c r="T27" s="228">
        <v>7.5</v>
      </c>
      <c r="U27" s="229">
        <v>2.81E-2</v>
      </c>
      <c r="V27" s="228">
        <v>275.45</v>
      </c>
      <c r="W27" s="228">
        <v>267.5</v>
      </c>
      <c r="X27" s="228">
        <v>7.95</v>
      </c>
      <c r="Y27" s="229">
        <v>2.9700000000000001E-2</v>
      </c>
      <c r="Z27" s="228">
        <v>2.1</v>
      </c>
      <c r="AA27" s="228">
        <v>1.35</v>
      </c>
      <c r="AB27" s="228">
        <v>0.75</v>
      </c>
      <c r="AC27" s="229">
        <v>7.7999999999999996E-3</v>
      </c>
      <c r="AD27" s="228">
        <v>2.1</v>
      </c>
      <c r="AE27" s="228">
        <v>1.35</v>
      </c>
      <c r="AF27" s="228">
        <v>0.75</v>
      </c>
      <c r="AG27" s="229">
        <v>7.7999999999999996E-3</v>
      </c>
      <c r="AH27" s="228">
        <v>3.7</v>
      </c>
      <c r="AI27" s="228">
        <v>3.1</v>
      </c>
      <c r="AJ27" s="228">
        <v>0.6</v>
      </c>
      <c r="AK27" s="229">
        <v>1.37E-2</v>
      </c>
      <c r="AL27" s="228">
        <v>5.15</v>
      </c>
      <c r="AM27" s="228">
        <v>4.0999999999999996</v>
      </c>
      <c r="AN27" s="228">
        <v>1.05</v>
      </c>
      <c r="AO27" s="229">
        <v>1.9099999999999999E-2</v>
      </c>
      <c r="AP27" s="228">
        <v>270.27</v>
      </c>
      <c r="AQ27" s="228">
        <v>270.52</v>
      </c>
      <c r="AR27" s="228">
        <v>0</v>
      </c>
      <c r="AS27" s="228">
        <v>620</v>
      </c>
      <c r="AT27" s="228">
        <v>247</v>
      </c>
      <c r="AU27" s="228">
        <v>373</v>
      </c>
      <c r="AV27" s="229">
        <v>1.5102</v>
      </c>
      <c r="AW27" s="228">
        <v>575</v>
      </c>
      <c r="AX27" s="228">
        <v>215</v>
      </c>
      <c r="AY27" s="228">
        <v>359</v>
      </c>
      <c r="AZ27" s="229">
        <v>1.6677999999999999</v>
      </c>
      <c r="BA27" s="228">
        <v>42</v>
      </c>
      <c r="BB27" s="228">
        <v>30</v>
      </c>
      <c r="BC27" s="228">
        <v>13</v>
      </c>
      <c r="BD27" s="229">
        <v>0.41760000000000003</v>
      </c>
      <c r="BE27" s="228">
        <v>3</v>
      </c>
      <c r="BF27" s="228">
        <v>2</v>
      </c>
      <c r="BG27" s="228">
        <v>1</v>
      </c>
      <c r="BH27" s="229">
        <v>0.75</v>
      </c>
      <c r="BI27" s="230">
        <v>1348</v>
      </c>
      <c r="BJ27" s="228">
        <v>493</v>
      </c>
      <c r="BK27" s="228">
        <v>855</v>
      </c>
      <c r="BL27" s="229">
        <v>1.7323999999999999</v>
      </c>
      <c r="BM27" s="228">
        <v>477</v>
      </c>
      <c r="BN27" s="228">
        <v>185</v>
      </c>
      <c r="BO27" s="228">
        <v>292</v>
      </c>
      <c r="BP27" s="229">
        <v>1.5757000000000001</v>
      </c>
      <c r="BQ27" s="230">
        <v>2445</v>
      </c>
      <c r="BR27" s="228">
        <v>926</v>
      </c>
      <c r="BS27" s="230">
        <v>1519</v>
      </c>
      <c r="BT27" s="229">
        <v>1.6416999999999999</v>
      </c>
      <c r="BU27" s="230">
        <v>18000691</v>
      </c>
      <c r="BV27" s="230">
        <v>6573355</v>
      </c>
      <c r="BW27" s="230">
        <v>11427336</v>
      </c>
      <c r="BX27" s="229">
        <v>1.7383999999999999</v>
      </c>
      <c r="BY27" s="230">
        <v>3159</v>
      </c>
      <c r="BZ27" s="230">
        <v>3140</v>
      </c>
      <c r="CA27" s="228">
        <v>18</v>
      </c>
      <c r="CB27" s="229">
        <v>5.8999999999999999E-3</v>
      </c>
      <c r="CC27" s="230">
        <v>2874</v>
      </c>
      <c r="CD27" s="230">
        <v>2870</v>
      </c>
      <c r="CE27" s="228">
        <v>5</v>
      </c>
      <c r="CF27" s="229">
        <v>1.6000000000000001E-3</v>
      </c>
      <c r="CG27" s="228">
        <v>281</v>
      </c>
      <c r="CH27" s="228">
        <v>268</v>
      </c>
      <c r="CI27" s="228">
        <v>14</v>
      </c>
      <c r="CJ27" s="229">
        <v>5.0900000000000001E-2</v>
      </c>
      <c r="CK27" s="228">
        <v>3</v>
      </c>
      <c r="CL27" s="228">
        <v>3</v>
      </c>
      <c r="CM27" s="228">
        <v>0</v>
      </c>
      <c r="CN27" s="229">
        <v>5.5599999999999997E-2</v>
      </c>
      <c r="CO27" s="228">
        <v>918</v>
      </c>
      <c r="CP27" s="228">
        <v>913</v>
      </c>
      <c r="CQ27" s="228">
        <v>5</v>
      </c>
      <c r="CR27" s="229">
        <v>5.1999999999999998E-3</v>
      </c>
      <c r="CS27" s="228">
        <v>727</v>
      </c>
      <c r="CT27" s="228">
        <v>710</v>
      </c>
      <c r="CU27" s="228">
        <v>18</v>
      </c>
      <c r="CV27" s="229">
        <v>2.47E-2</v>
      </c>
      <c r="CW27" s="230">
        <v>4803</v>
      </c>
      <c r="CX27" s="230">
        <v>4763</v>
      </c>
      <c r="CY27" s="228">
        <v>41</v>
      </c>
      <c r="CZ27" s="229">
        <v>8.5000000000000006E-3</v>
      </c>
      <c r="DA27" s="228">
        <v>36.090000000000003</v>
      </c>
      <c r="DB27" s="228">
        <v>36.020000000000003</v>
      </c>
      <c r="DC27" s="228">
        <v>7.0000000000000007E-2</v>
      </c>
      <c r="DD27" s="228">
        <v>7.0000000000000007E-2</v>
      </c>
      <c r="DE27" s="228">
        <v>36.49</v>
      </c>
      <c r="DF27" s="228">
        <v>36.380000000000003</v>
      </c>
      <c r="DG27" s="228">
        <v>-0.4</v>
      </c>
      <c r="DH27" s="228">
        <v>0.11</v>
      </c>
      <c r="DI27" s="228">
        <v>35.9</v>
      </c>
      <c r="DJ27" s="228">
        <v>36.06</v>
      </c>
      <c r="DK27" s="228">
        <v>-0.16</v>
      </c>
      <c r="DL27" s="228">
        <v>-0.16</v>
      </c>
      <c r="DM27" s="228">
        <v>36.65</v>
      </c>
      <c r="DN27" s="228">
        <v>35.93</v>
      </c>
      <c r="DO27" s="228">
        <v>0.72</v>
      </c>
      <c r="DP27" s="228">
        <v>0.72</v>
      </c>
      <c r="DQ27" s="228">
        <v>0.79</v>
      </c>
      <c r="DR27" s="228">
        <v>0.78</v>
      </c>
      <c r="DS27" s="228">
        <v>0.01</v>
      </c>
      <c r="DT27" s="229">
        <v>1.2800000000000001E-2</v>
      </c>
      <c r="DU27" s="228">
        <v>300</v>
      </c>
      <c r="DV27" s="228">
        <v>270</v>
      </c>
      <c r="DW27" s="228">
        <v>0.35</v>
      </c>
      <c r="DX27" s="228">
        <v>0.38</v>
      </c>
      <c r="DY27" s="228">
        <v>-0.03</v>
      </c>
      <c r="DZ27" s="229">
        <v>-7.8899999999999998E-2</v>
      </c>
      <c r="EA27" s="229">
        <v>0.09</v>
      </c>
      <c r="EB27" s="230">
        <v>9933300</v>
      </c>
      <c r="EC27" s="229">
        <v>5.8999999999999999E-3</v>
      </c>
      <c r="ED27" s="229">
        <v>0.09</v>
      </c>
      <c r="EE27" s="228">
        <v>0.25</v>
      </c>
      <c r="EF27" s="229">
        <v>8.9999999999999998E-4</v>
      </c>
      <c r="EG27" s="230">
        <v>9388709</v>
      </c>
      <c r="EH27" s="230">
        <v>3187724</v>
      </c>
      <c r="EI27" s="229">
        <v>1.9453</v>
      </c>
      <c r="EJ27" s="229">
        <v>0.52159999999999995</v>
      </c>
      <c r="EK27" s="231">
        <v>1418.76</v>
      </c>
      <c r="EL27" s="228">
        <v>471.78</v>
      </c>
      <c r="EM27" s="228">
        <v>615.03</v>
      </c>
      <c r="EN27" s="228">
        <v>44.42</v>
      </c>
      <c r="EO27" s="231">
        <v>2505.5700000000002</v>
      </c>
      <c r="EP27" s="228">
        <v>937.19</v>
      </c>
      <c r="EQ27" s="231">
        <v>1568.38</v>
      </c>
      <c r="ER27" s="229">
        <v>1.6735</v>
      </c>
      <c r="ES27" s="228">
        <v>955.57</v>
      </c>
      <c r="ET27" s="228">
        <v>734.17</v>
      </c>
      <c r="EU27" s="231">
        <v>3160.32</v>
      </c>
      <c r="EV27" s="231">
        <v>279476623</v>
      </c>
      <c r="EW27" s="231">
        <v>4850.0600000000004</v>
      </c>
      <c r="EX27" s="231">
        <v>4717.34</v>
      </c>
      <c r="EY27" s="228">
        <v>132.72</v>
      </c>
      <c r="EZ27" s="229">
        <v>2.81E-2</v>
      </c>
      <c r="FA27" s="229">
        <v>0.63090000000000002</v>
      </c>
      <c r="FB27" s="227" t="s">
        <v>555</v>
      </c>
      <c r="FC27">
        <f t="shared" si="0"/>
        <v>285</v>
      </c>
    </row>
    <row r="28" spans="1:159" ht="17.25" thickBot="1" x14ac:dyDescent="0.3">
      <c r="A28" s="226">
        <v>46148</v>
      </c>
      <c r="B28" s="227" t="s">
        <v>172</v>
      </c>
      <c r="C28" s="227" t="s">
        <v>601</v>
      </c>
      <c r="D28" s="228">
        <v>5200</v>
      </c>
      <c r="E28" s="228">
        <v>20</v>
      </c>
      <c r="F28" s="228">
        <v>143.44</v>
      </c>
      <c r="G28" s="228">
        <v>139.34</v>
      </c>
      <c r="H28" s="228">
        <v>4.0999999999999996</v>
      </c>
      <c r="I28" s="229">
        <v>2.9399999999999999E-2</v>
      </c>
      <c r="J28" s="228">
        <v>142.34</v>
      </c>
      <c r="K28" s="228">
        <v>138.58000000000001</v>
      </c>
      <c r="L28" s="228">
        <v>3.76</v>
      </c>
      <c r="M28" s="229">
        <v>2.7099999999999999E-2</v>
      </c>
      <c r="N28" s="228">
        <v>143.44</v>
      </c>
      <c r="O28" s="228">
        <v>139.34</v>
      </c>
      <c r="P28" s="228">
        <v>4.0999999999999996</v>
      </c>
      <c r="Q28" s="229">
        <v>2.9399999999999999E-2</v>
      </c>
      <c r="R28" s="228">
        <v>144.51</v>
      </c>
      <c r="S28" s="228">
        <v>140.4</v>
      </c>
      <c r="T28" s="228">
        <v>4.1100000000000003</v>
      </c>
      <c r="U28" s="229">
        <v>2.93E-2</v>
      </c>
      <c r="V28" s="228">
        <v>144.96</v>
      </c>
      <c r="W28" s="228">
        <v>141.28</v>
      </c>
      <c r="X28" s="228">
        <v>3.68</v>
      </c>
      <c r="Y28" s="229">
        <v>2.5999999999999999E-2</v>
      </c>
      <c r="Z28" s="228">
        <v>1.1000000000000001</v>
      </c>
      <c r="AA28" s="228">
        <v>0.76</v>
      </c>
      <c r="AB28" s="228">
        <v>0.34</v>
      </c>
      <c r="AC28" s="229">
        <v>7.7000000000000002E-3</v>
      </c>
      <c r="AD28" s="228">
        <v>1.1000000000000001</v>
      </c>
      <c r="AE28" s="228">
        <v>0.76</v>
      </c>
      <c r="AF28" s="228">
        <v>0.34</v>
      </c>
      <c r="AG28" s="229">
        <v>7.7000000000000002E-3</v>
      </c>
      <c r="AH28" s="228">
        <v>2.17</v>
      </c>
      <c r="AI28" s="228">
        <v>1.82</v>
      </c>
      <c r="AJ28" s="228">
        <v>0.35</v>
      </c>
      <c r="AK28" s="229">
        <v>1.52E-2</v>
      </c>
      <c r="AL28" s="228">
        <v>2.62</v>
      </c>
      <c r="AM28" s="228">
        <v>2.7</v>
      </c>
      <c r="AN28" s="228">
        <v>-0.08</v>
      </c>
      <c r="AO28" s="229">
        <v>1.84E-2</v>
      </c>
      <c r="AP28" s="228">
        <v>142.52000000000001</v>
      </c>
      <c r="AQ28" s="228">
        <v>143.24</v>
      </c>
      <c r="AR28" s="228">
        <v>0</v>
      </c>
      <c r="AS28" s="228">
        <v>314</v>
      </c>
      <c r="AT28" s="228">
        <v>125</v>
      </c>
      <c r="AU28" s="228">
        <v>189</v>
      </c>
      <c r="AV28" s="229">
        <v>1.5065</v>
      </c>
      <c r="AW28" s="228">
        <v>301</v>
      </c>
      <c r="AX28" s="228">
        <v>120</v>
      </c>
      <c r="AY28" s="228">
        <v>181</v>
      </c>
      <c r="AZ28" s="229">
        <v>1.5127999999999999</v>
      </c>
      <c r="BA28" s="228">
        <v>11</v>
      </c>
      <c r="BB28" s="228">
        <v>4</v>
      </c>
      <c r="BC28" s="228">
        <v>7</v>
      </c>
      <c r="BD28" s="229">
        <v>1.7037</v>
      </c>
      <c r="BE28" s="228">
        <v>2</v>
      </c>
      <c r="BF28" s="228">
        <v>2</v>
      </c>
      <c r="BG28" s="228">
        <v>1</v>
      </c>
      <c r="BH28" s="229">
        <v>0.52380000000000004</v>
      </c>
      <c r="BI28" s="228">
        <v>380</v>
      </c>
      <c r="BJ28" s="228">
        <v>218</v>
      </c>
      <c r="BK28" s="228">
        <v>162</v>
      </c>
      <c r="BL28" s="229">
        <v>0.74639999999999995</v>
      </c>
      <c r="BM28" s="228">
        <v>177</v>
      </c>
      <c r="BN28" s="228">
        <v>88</v>
      </c>
      <c r="BO28" s="228">
        <v>90</v>
      </c>
      <c r="BP28" s="229">
        <v>1.0229999999999999</v>
      </c>
      <c r="BQ28" s="228">
        <v>871</v>
      </c>
      <c r="BR28" s="228">
        <v>431</v>
      </c>
      <c r="BS28" s="228">
        <v>441</v>
      </c>
      <c r="BT28" s="229">
        <v>1.0239</v>
      </c>
      <c r="BU28" s="230">
        <v>22380667</v>
      </c>
      <c r="BV28" s="230">
        <v>9421948</v>
      </c>
      <c r="BW28" s="230">
        <v>12958719</v>
      </c>
      <c r="BX28" s="229">
        <v>1.3754</v>
      </c>
      <c r="BY28" s="228">
        <v>863</v>
      </c>
      <c r="BZ28" s="228">
        <v>813</v>
      </c>
      <c r="CA28" s="228">
        <v>50</v>
      </c>
      <c r="CB28" s="229">
        <v>6.13E-2</v>
      </c>
      <c r="CC28" s="228">
        <v>832</v>
      </c>
      <c r="CD28" s="228">
        <v>785</v>
      </c>
      <c r="CE28" s="228">
        <v>48</v>
      </c>
      <c r="CF28" s="229">
        <v>6.0699999999999997E-2</v>
      </c>
      <c r="CG28" s="228">
        <v>26</v>
      </c>
      <c r="CH28" s="228">
        <v>25</v>
      </c>
      <c r="CI28" s="228">
        <v>1</v>
      </c>
      <c r="CJ28" s="229">
        <v>4.1200000000000001E-2</v>
      </c>
      <c r="CK28" s="228">
        <v>4</v>
      </c>
      <c r="CL28" s="228">
        <v>3</v>
      </c>
      <c r="CM28" s="228">
        <v>1</v>
      </c>
      <c r="CN28" s="229">
        <v>0.35709999999999997</v>
      </c>
      <c r="CO28" s="228">
        <v>301</v>
      </c>
      <c r="CP28" s="228">
        <v>273</v>
      </c>
      <c r="CQ28" s="228">
        <v>29</v>
      </c>
      <c r="CR28" s="229">
        <v>0.1056</v>
      </c>
      <c r="CS28" s="228">
        <v>213</v>
      </c>
      <c r="CT28" s="228">
        <v>213</v>
      </c>
      <c r="CU28" s="228">
        <v>0</v>
      </c>
      <c r="CV28" s="229">
        <v>2.0999999999999999E-3</v>
      </c>
      <c r="CW28" s="230">
        <v>1378</v>
      </c>
      <c r="CX28" s="230">
        <v>1299</v>
      </c>
      <c r="CY28" s="228">
        <v>79</v>
      </c>
      <c r="CZ28" s="229">
        <v>6.0900000000000003E-2</v>
      </c>
      <c r="DA28" s="228">
        <v>42.72</v>
      </c>
      <c r="DB28" s="228">
        <v>42.89</v>
      </c>
      <c r="DC28" s="228">
        <v>-0.17</v>
      </c>
      <c r="DD28" s="228">
        <v>-0.17</v>
      </c>
      <c r="DE28" s="228">
        <v>42.4</v>
      </c>
      <c r="DF28" s="228">
        <v>42.33</v>
      </c>
      <c r="DG28" s="228">
        <v>0.32</v>
      </c>
      <c r="DH28" s="228">
        <v>7.0000000000000007E-2</v>
      </c>
      <c r="DI28" s="228">
        <v>42.64</v>
      </c>
      <c r="DJ28" s="228">
        <v>42.86</v>
      </c>
      <c r="DK28" s="228">
        <v>-0.22</v>
      </c>
      <c r="DL28" s="228">
        <v>-0.22</v>
      </c>
      <c r="DM28" s="228">
        <v>42.88</v>
      </c>
      <c r="DN28" s="228">
        <v>42.97</v>
      </c>
      <c r="DO28" s="228">
        <v>-0.09</v>
      </c>
      <c r="DP28" s="228">
        <v>-0.09</v>
      </c>
      <c r="DQ28" s="228">
        <v>0.71</v>
      </c>
      <c r="DR28" s="228">
        <v>0.78</v>
      </c>
      <c r="DS28" s="228">
        <v>-7.0000000000000007E-2</v>
      </c>
      <c r="DT28" s="229">
        <v>-8.9700000000000002E-2</v>
      </c>
      <c r="DU28" s="228">
        <v>150</v>
      </c>
      <c r="DV28" s="228">
        <v>150</v>
      </c>
      <c r="DW28" s="228">
        <v>0.47</v>
      </c>
      <c r="DX28" s="228">
        <v>0.4</v>
      </c>
      <c r="DY28" s="228">
        <v>7.0000000000000007E-2</v>
      </c>
      <c r="DZ28" s="229">
        <v>0.17499999999999999</v>
      </c>
      <c r="EA28" s="229">
        <v>3.5499999999999997E-2</v>
      </c>
      <c r="EB28" s="230">
        <v>1986400</v>
      </c>
      <c r="EC28" s="229">
        <v>7.4999999999999997E-3</v>
      </c>
      <c r="ED28" s="229">
        <v>3.5499999999999997E-2</v>
      </c>
      <c r="EE28" s="228">
        <v>0.72</v>
      </c>
      <c r="EF28" s="229">
        <v>5.1000000000000004E-3</v>
      </c>
      <c r="EG28" s="230">
        <v>11318375</v>
      </c>
      <c r="EH28" s="230">
        <v>3559228</v>
      </c>
      <c r="EI28" s="229">
        <v>2.1800000000000002</v>
      </c>
      <c r="EJ28" s="229">
        <v>0.50570000000000004</v>
      </c>
      <c r="EK28" s="228">
        <v>403.42</v>
      </c>
      <c r="EL28" s="228">
        <v>173.26</v>
      </c>
      <c r="EM28" s="228">
        <v>312.14999999999998</v>
      </c>
      <c r="EN28" s="228">
        <v>19.190000000000001</v>
      </c>
      <c r="EO28" s="228">
        <v>888.83</v>
      </c>
      <c r="EP28" s="228">
        <v>433.94</v>
      </c>
      <c r="EQ28" s="228">
        <v>454.9</v>
      </c>
      <c r="ER28" s="229">
        <v>1.0483</v>
      </c>
      <c r="ES28" s="228">
        <v>315.38</v>
      </c>
      <c r="ET28" s="228">
        <v>212.87</v>
      </c>
      <c r="EU28" s="228">
        <v>863.31</v>
      </c>
      <c r="EV28" s="231">
        <v>181770921</v>
      </c>
      <c r="EW28" s="231">
        <v>1391.56</v>
      </c>
      <c r="EX28" s="231">
        <v>1287.3900000000001</v>
      </c>
      <c r="EY28" s="228">
        <v>104.17</v>
      </c>
      <c r="EZ28" s="229">
        <v>8.09E-2</v>
      </c>
      <c r="FA28" s="229">
        <v>0.52839999999999998</v>
      </c>
      <c r="FB28" s="227" t="s">
        <v>555</v>
      </c>
      <c r="FC28">
        <f t="shared" si="0"/>
        <v>31</v>
      </c>
    </row>
    <row r="29" spans="1:159" s="195" customFormat="1" ht="17.25" thickBot="1" x14ac:dyDescent="0.3">
      <c r="A29" s="226">
        <v>46148</v>
      </c>
      <c r="B29" s="227" t="s">
        <v>181</v>
      </c>
      <c r="C29" s="227" t="s">
        <v>182</v>
      </c>
      <c r="D29" s="228">
        <v>30</v>
      </c>
      <c r="E29" s="228">
        <v>20</v>
      </c>
      <c r="F29" s="231">
        <v>56348.6</v>
      </c>
      <c r="G29" s="231">
        <v>54808</v>
      </c>
      <c r="H29" s="231">
        <v>1540.6</v>
      </c>
      <c r="I29" s="229">
        <v>2.81E-2</v>
      </c>
      <c r="J29" s="231">
        <v>55981.05</v>
      </c>
      <c r="K29" s="231">
        <v>54547.05</v>
      </c>
      <c r="L29" s="231">
        <v>1434</v>
      </c>
      <c r="M29" s="229">
        <v>2.63E-2</v>
      </c>
      <c r="N29" s="231">
        <v>56348.6</v>
      </c>
      <c r="O29" s="231">
        <v>54808</v>
      </c>
      <c r="P29" s="231">
        <v>1540.6</v>
      </c>
      <c r="Q29" s="229">
        <v>2.81E-2</v>
      </c>
      <c r="R29" s="231">
        <v>56532.4</v>
      </c>
      <c r="S29" s="231">
        <v>55005</v>
      </c>
      <c r="T29" s="231">
        <v>1527.4</v>
      </c>
      <c r="U29" s="229">
        <v>2.7799999999999998E-2</v>
      </c>
      <c r="V29" s="231">
        <v>56893.2</v>
      </c>
      <c r="W29" s="231">
        <v>55307.199999999997</v>
      </c>
      <c r="X29" s="231">
        <v>1586</v>
      </c>
      <c r="Y29" s="229">
        <v>2.87E-2</v>
      </c>
      <c r="Z29" s="228">
        <v>367.55</v>
      </c>
      <c r="AA29" s="228">
        <v>260.95</v>
      </c>
      <c r="AB29" s="228">
        <v>106.6</v>
      </c>
      <c r="AC29" s="229">
        <v>6.6E-3</v>
      </c>
      <c r="AD29" s="228">
        <v>367.55</v>
      </c>
      <c r="AE29" s="228">
        <v>260.95</v>
      </c>
      <c r="AF29" s="228">
        <v>106.6</v>
      </c>
      <c r="AG29" s="229">
        <v>6.6E-3</v>
      </c>
      <c r="AH29" s="228">
        <v>551.35</v>
      </c>
      <c r="AI29" s="228">
        <v>457.95</v>
      </c>
      <c r="AJ29" s="228">
        <v>93.4</v>
      </c>
      <c r="AK29" s="229">
        <v>9.7999999999999997E-3</v>
      </c>
      <c r="AL29" s="228">
        <v>912.15</v>
      </c>
      <c r="AM29" s="228">
        <v>760.15</v>
      </c>
      <c r="AN29" s="228">
        <v>152</v>
      </c>
      <c r="AO29" s="229">
        <v>1.6299999999999999E-2</v>
      </c>
      <c r="AP29" s="231">
        <v>55712.56</v>
      </c>
      <c r="AQ29" s="231">
        <v>55878.19</v>
      </c>
      <c r="AR29" s="228">
        <v>0</v>
      </c>
      <c r="AS29" s="230">
        <v>9162</v>
      </c>
      <c r="AT29" s="230">
        <v>5266</v>
      </c>
      <c r="AU29" s="230">
        <v>3895</v>
      </c>
      <c r="AV29" s="229">
        <v>0.73970000000000002</v>
      </c>
      <c r="AW29" s="230">
        <v>8234</v>
      </c>
      <c r="AX29" s="230">
        <v>4740</v>
      </c>
      <c r="AY29" s="230">
        <v>3494</v>
      </c>
      <c r="AZ29" s="229">
        <v>0.73709999999999998</v>
      </c>
      <c r="BA29" s="228">
        <v>664</v>
      </c>
      <c r="BB29" s="228">
        <v>407</v>
      </c>
      <c r="BC29" s="228">
        <v>257</v>
      </c>
      <c r="BD29" s="229">
        <v>0.62990000000000002</v>
      </c>
      <c r="BE29" s="228">
        <v>263</v>
      </c>
      <c r="BF29" s="228">
        <v>119</v>
      </c>
      <c r="BG29" s="228">
        <v>145</v>
      </c>
      <c r="BH29" s="229">
        <v>1.2211000000000001</v>
      </c>
      <c r="BI29" s="230">
        <v>265398</v>
      </c>
      <c r="BJ29" s="230">
        <v>160187</v>
      </c>
      <c r="BK29" s="230">
        <v>105212</v>
      </c>
      <c r="BL29" s="229">
        <v>0.65680000000000005</v>
      </c>
      <c r="BM29" s="230">
        <v>226416</v>
      </c>
      <c r="BN29" s="230">
        <v>134228</v>
      </c>
      <c r="BO29" s="230">
        <v>92188</v>
      </c>
      <c r="BP29" s="229">
        <v>0.68679999999999997</v>
      </c>
      <c r="BQ29" s="230">
        <v>500976</v>
      </c>
      <c r="BR29" s="230">
        <v>299681</v>
      </c>
      <c r="BS29" s="230">
        <v>201295</v>
      </c>
      <c r="BT29" s="229">
        <v>0.67169999999999996</v>
      </c>
      <c r="BU29" s="228">
        <v>0</v>
      </c>
      <c r="BV29" s="228">
        <v>0</v>
      </c>
      <c r="BW29" s="228">
        <v>0</v>
      </c>
      <c r="BX29" s="229">
        <v>0</v>
      </c>
      <c r="BY29" s="230">
        <v>13966</v>
      </c>
      <c r="BZ29" s="230">
        <v>13858</v>
      </c>
      <c r="CA29" s="228">
        <v>108</v>
      </c>
      <c r="CB29" s="229">
        <v>7.7999999999999996E-3</v>
      </c>
      <c r="CC29" s="230">
        <v>12270</v>
      </c>
      <c r="CD29" s="230">
        <v>12339</v>
      </c>
      <c r="CE29" s="228">
        <v>-69</v>
      </c>
      <c r="CF29" s="229">
        <v>-5.5999999999999999E-3</v>
      </c>
      <c r="CG29" s="230">
        <v>1505</v>
      </c>
      <c r="CH29" s="230">
        <v>1390</v>
      </c>
      <c r="CI29" s="228">
        <v>115</v>
      </c>
      <c r="CJ29" s="229">
        <v>8.2600000000000007E-2</v>
      </c>
      <c r="CK29" s="228">
        <v>191</v>
      </c>
      <c r="CL29" s="228">
        <v>129</v>
      </c>
      <c r="CM29" s="228">
        <v>62</v>
      </c>
      <c r="CN29" s="229">
        <v>0.47710000000000002</v>
      </c>
      <c r="CO29" s="230">
        <v>77676</v>
      </c>
      <c r="CP29" s="230">
        <v>81362</v>
      </c>
      <c r="CQ29" s="230">
        <v>-3686</v>
      </c>
      <c r="CR29" s="229">
        <v>-4.53E-2</v>
      </c>
      <c r="CS29" s="230">
        <v>73784</v>
      </c>
      <c r="CT29" s="230">
        <v>69014</v>
      </c>
      <c r="CU29" s="230">
        <v>4770</v>
      </c>
      <c r="CV29" s="229">
        <v>6.9099999999999995E-2</v>
      </c>
      <c r="CW29" s="230">
        <v>165425</v>
      </c>
      <c r="CX29" s="230">
        <v>164234</v>
      </c>
      <c r="CY29" s="230">
        <v>1191</v>
      </c>
      <c r="CZ29" s="229">
        <v>7.3000000000000001E-3</v>
      </c>
      <c r="DA29" s="228">
        <v>19.32</v>
      </c>
      <c r="DB29" s="228">
        <v>20.57</v>
      </c>
      <c r="DC29" s="228">
        <v>-1.25</v>
      </c>
      <c r="DD29" s="228">
        <v>-1.25</v>
      </c>
      <c r="DE29" s="228">
        <v>21.37</v>
      </c>
      <c r="DF29" s="228">
        <v>21.14</v>
      </c>
      <c r="DG29" s="228">
        <v>-2.0499999999999998</v>
      </c>
      <c r="DH29" s="228">
        <v>0.23</v>
      </c>
      <c r="DI29" s="228">
        <v>17.89</v>
      </c>
      <c r="DJ29" s="228">
        <v>19.829999999999998</v>
      </c>
      <c r="DK29" s="228">
        <v>-1.94</v>
      </c>
      <c r="DL29" s="228">
        <v>-1.94</v>
      </c>
      <c r="DM29" s="228">
        <v>20.99</v>
      </c>
      <c r="DN29" s="228">
        <v>21.45</v>
      </c>
      <c r="DO29" s="228">
        <v>-0.46</v>
      </c>
      <c r="DP29" s="228">
        <v>-0.46</v>
      </c>
      <c r="DQ29" s="228">
        <v>0.95</v>
      </c>
      <c r="DR29" s="228">
        <v>0.85</v>
      </c>
      <c r="DS29" s="228">
        <v>0.1</v>
      </c>
      <c r="DT29" s="229">
        <v>0.1176</v>
      </c>
      <c r="DU29" s="231">
        <v>60000</v>
      </c>
      <c r="DV29" s="231">
        <v>60000</v>
      </c>
      <c r="DW29" s="228">
        <v>0.85</v>
      </c>
      <c r="DX29" s="228">
        <v>0.84</v>
      </c>
      <c r="DY29" s="228">
        <v>0.01</v>
      </c>
      <c r="DZ29" s="229">
        <v>1.1900000000000001E-2</v>
      </c>
      <c r="EA29" s="229">
        <v>0.12139999999999999</v>
      </c>
      <c r="EB29" s="230">
        <v>269580</v>
      </c>
      <c r="EC29" s="229">
        <v>3.3E-3</v>
      </c>
      <c r="ED29" s="229">
        <v>0.12139999999999999</v>
      </c>
      <c r="EE29" s="228">
        <v>165.63</v>
      </c>
      <c r="EF29" s="229">
        <v>3.0000000000000001E-3</v>
      </c>
      <c r="EG29" s="228">
        <v>0</v>
      </c>
      <c r="EH29" s="228">
        <v>0</v>
      </c>
      <c r="EI29" s="229">
        <v>0</v>
      </c>
      <c r="EJ29" s="229">
        <v>0</v>
      </c>
      <c r="EK29" s="231">
        <v>272330.75</v>
      </c>
      <c r="EL29" s="231">
        <v>217160.52</v>
      </c>
      <c r="EM29" s="231">
        <v>9063.14</v>
      </c>
      <c r="EN29" s="228">
        <v>0</v>
      </c>
      <c r="EO29" s="231">
        <v>498554.41</v>
      </c>
      <c r="EP29" s="231">
        <v>297125.61</v>
      </c>
      <c r="EQ29" s="231">
        <v>201428.8</v>
      </c>
      <c r="ER29" s="229">
        <v>0.67789999999999995</v>
      </c>
      <c r="ES29" s="231">
        <v>80349.14</v>
      </c>
      <c r="ET29" s="231">
        <v>71051.009999999995</v>
      </c>
      <c r="EU29" s="231">
        <v>13972.3</v>
      </c>
      <c r="EV29" s="228">
        <v>0</v>
      </c>
      <c r="EW29" s="231">
        <v>165372.45000000001</v>
      </c>
      <c r="EX29" s="231">
        <v>163811.59</v>
      </c>
      <c r="EY29" s="231">
        <v>1560.86</v>
      </c>
      <c r="EZ29" s="229">
        <v>9.4999999999999998E-3</v>
      </c>
      <c r="FA29" s="229">
        <v>0</v>
      </c>
      <c r="FB29" s="227" t="s">
        <v>555</v>
      </c>
      <c r="FC29" s="195">
        <f t="shared" si="0"/>
        <v>1696</v>
      </c>
    </row>
    <row r="30" spans="1:159" ht="17.25" thickBot="1" x14ac:dyDescent="0.3">
      <c r="A30" s="226">
        <v>46148</v>
      </c>
      <c r="B30" s="227" t="s">
        <v>184</v>
      </c>
      <c r="C30" s="227" t="s">
        <v>668</v>
      </c>
      <c r="D30" s="228">
        <v>350</v>
      </c>
      <c r="E30" s="228">
        <v>20</v>
      </c>
      <c r="F30" s="231">
        <v>1402.2</v>
      </c>
      <c r="G30" s="231">
        <v>1399.4</v>
      </c>
      <c r="H30" s="228">
        <v>2.8</v>
      </c>
      <c r="I30" s="229">
        <v>2E-3</v>
      </c>
      <c r="J30" s="231">
        <v>1401.5</v>
      </c>
      <c r="K30" s="231">
        <v>1398.6</v>
      </c>
      <c r="L30" s="228">
        <v>2.9</v>
      </c>
      <c r="M30" s="229">
        <v>2.0999999999999999E-3</v>
      </c>
      <c r="N30" s="231">
        <v>1402.2</v>
      </c>
      <c r="O30" s="231">
        <v>1399.4</v>
      </c>
      <c r="P30" s="228">
        <v>2.8</v>
      </c>
      <c r="Q30" s="229">
        <v>2E-3</v>
      </c>
      <c r="R30" s="231">
        <v>1395.8</v>
      </c>
      <c r="S30" s="231">
        <v>1390</v>
      </c>
      <c r="T30" s="228">
        <v>5.8</v>
      </c>
      <c r="U30" s="229">
        <v>4.1999999999999997E-3</v>
      </c>
      <c r="V30" s="231">
        <v>1393</v>
      </c>
      <c r="W30" s="231">
        <v>1384.9</v>
      </c>
      <c r="X30" s="228">
        <v>8.1</v>
      </c>
      <c r="Y30" s="229">
        <v>5.7999999999999996E-3</v>
      </c>
      <c r="Z30" s="228">
        <v>0.7</v>
      </c>
      <c r="AA30" s="228">
        <v>0.8</v>
      </c>
      <c r="AB30" s="228">
        <v>-0.1</v>
      </c>
      <c r="AC30" s="229">
        <v>5.0000000000000001E-4</v>
      </c>
      <c r="AD30" s="228">
        <v>0.7</v>
      </c>
      <c r="AE30" s="228">
        <v>0.8</v>
      </c>
      <c r="AF30" s="228">
        <v>-0.1</v>
      </c>
      <c r="AG30" s="229">
        <v>5.0000000000000001E-4</v>
      </c>
      <c r="AH30" s="228">
        <v>-5.7</v>
      </c>
      <c r="AI30" s="228">
        <v>-8.6</v>
      </c>
      <c r="AJ30" s="228">
        <v>2.9</v>
      </c>
      <c r="AK30" s="229">
        <v>-4.1000000000000003E-3</v>
      </c>
      <c r="AL30" s="228">
        <v>-8.5</v>
      </c>
      <c r="AM30" s="228">
        <v>-13.7</v>
      </c>
      <c r="AN30" s="228">
        <v>5.2</v>
      </c>
      <c r="AO30" s="229">
        <v>-6.1000000000000004E-3</v>
      </c>
      <c r="AP30" s="231">
        <v>1405.94</v>
      </c>
      <c r="AQ30" s="231">
        <v>1394.48</v>
      </c>
      <c r="AR30" s="228">
        <v>0</v>
      </c>
      <c r="AS30" s="228">
        <v>133</v>
      </c>
      <c r="AT30" s="228">
        <v>97</v>
      </c>
      <c r="AU30" s="228">
        <v>36</v>
      </c>
      <c r="AV30" s="229">
        <v>0.36730000000000002</v>
      </c>
      <c r="AW30" s="228">
        <v>116</v>
      </c>
      <c r="AX30" s="228">
        <v>89</v>
      </c>
      <c r="AY30" s="228">
        <v>27</v>
      </c>
      <c r="AZ30" s="229">
        <v>0.30680000000000002</v>
      </c>
      <c r="BA30" s="228">
        <v>16</v>
      </c>
      <c r="BB30" s="228">
        <v>8</v>
      </c>
      <c r="BC30" s="228">
        <v>8</v>
      </c>
      <c r="BD30" s="229">
        <v>0.9758</v>
      </c>
      <c r="BE30" s="228">
        <v>1</v>
      </c>
      <c r="BF30" s="228">
        <v>1</v>
      </c>
      <c r="BG30" s="228">
        <v>1</v>
      </c>
      <c r="BH30" s="229">
        <v>1.1818</v>
      </c>
      <c r="BI30" s="228">
        <v>420</v>
      </c>
      <c r="BJ30" s="228">
        <v>396</v>
      </c>
      <c r="BK30" s="228">
        <v>24</v>
      </c>
      <c r="BL30" s="229">
        <v>6.0400000000000002E-2</v>
      </c>
      <c r="BM30" s="228">
        <v>107</v>
      </c>
      <c r="BN30" s="228">
        <v>119</v>
      </c>
      <c r="BO30" s="228">
        <v>-12</v>
      </c>
      <c r="BP30" s="229">
        <v>-0.1046</v>
      </c>
      <c r="BQ30" s="228">
        <v>659</v>
      </c>
      <c r="BR30" s="228">
        <v>612</v>
      </c>
      <c r="BS30" s="228">
        <v>47</v>
      </c>
      <c r="BT30" s="229">
        <v>7.7100000000000002E-2</v>
      </c>
      <c r="BU30" s="230">
        <v>1163167</v>
      </c>
      <c r="BV30" s="230">
        <v>1019891</v>
      </c>
      <c r="BW30" s="230">
        <v>143276</v>
      </c>
      <c r="BX30" s="229">
        <v>0.14050000000000001</v>
      </c>
      <c r="BY30" s="228">
        <v>489</v>
      </c>
      <c r="BZ30" s="228">
        <v>475</v>
      </c>
      <c r="CA30" s="228">
        <v>14</v>
      </c>
      <c r="CB30" s="229">
        <v>2.93E-2</v>
      </c>
      <c r="CC30" s="228">
        <v>447</v>
      </c>
      <c r="CD30" s="228">
        <v>439</v>
      </c>
      <c r="CE30" s="228">
        <v>8</v>
      </c>
      <c r="CF30" s="229">
        <v>1.84E-2</v>
      </c>
      <c r="CG30" s="228">
        <v>38</v>
      </c>
      <c r="CH30" s="228">
        <v>34</v>
      </c>
      <c r="CI30" s="228">
        <v>5</v>
      </c>
      <c r="CJ30" s="229">
        <v>0.1449</v>
      </c>
      <c r="CK30" s="228">
        <v>3</v>
      </c>
      <c r="CL30" s="228">
        <v>2</v>
      </c>
      <c r="CM30" s="228">
        <v>1</v>
      </c>
      <c r="CN30" s="229">
        <v>0.4</v>
      </c>
      <c r="CO30" s="228">
        <v>346</v>
      </c>
      <c r="CP30" s="228">
        <v>294</v>
      </c>
      <c r="CQ30" s="228">
        <v>51</v>
      </c>
      <c r="CR30" s="229">
        <v>0.17460000000000001</v>
      </c>
      <c r="CS30" s="228">
        <v>184</v>
      </c>
      <c r="CT30" s="228">
        <v>173</v>
      </c>
      <c r="CU30" s="228">
        <v>11</v>
      </c>
      <c r="CV30" s="229">
        <v>6.0499999999999998E-2</v>
      </c>
      <c r="CW30" s="230">
        <v>1019</v>
      </c>
      <c r="CX30" s="228">
        <v>943</v>
      </c>
      <c r="CY30" s="228">
        <v>76</v>
      </c>
      <c r="CZ30" s="229">
        <v>8.0399999999999999E-2</v>
      </c>
      <c r="DA30" s="228">
        <v>42.78</v>
      </c>
      <c r="DB30" s="228">
        <v>44.27</v>
      </c>
      <c r="DC30" s="228">
        <v>-1.49</v>
      </c>
      <c r="DD30" s="228">
        <v>-1.49</v>
      </c>
      <c r="DE30" s="228">
        <v>52.25</v>
      </c>
      <c r="DF30" s="228">
        <v>52.38</v>
      </c>
      <c r="DG30" s="228">
        <v>-9.4700000000000006</v>
      </c>
      <c r="DH30" s="228">
        <v>-0.13</v>
      </c>
      <c r="DI30" s="228">
        <v>42.7</v>
      </c>
      <c r="DJ30" s="228">
        <v>43.91</v>
      </c>
      <c r="DK30" s="228">
        <v>-1.21</v>
      </c>
      <c r="DL30" s="228">
        <v>-1.21</v>
      </c>
      <c r="DM30" s="228">
        <v>43.08</v>
      </c>
      <c r="DN30" s="228">
        <v>45.48</v>
      </c>
      <c r="DO30" s="228">
        <v>-2.4</v>
      </c>
      <c r="DP30" s="228">
        <v>-2.4</v>
      </c>
      <c r="DQ30" s="228">
        <v>0.53</v>
      </c>
      <c r="DR30" s="228">
        <v>0.59</v>
      </c>
      <c r="DS30" s="228">
        <v>-0.06</v>
      </c>
      <c r="DT30" s="229">
        <v>-0.1017</v>
      </c>
      <c r="DU30" s="231">
        <v>1400</v>
      </c>
      <c r="DV30" s="231">
        <v>1400</v>
      </c>
      <c r="DW30" s="228">
        <v>0.25</v>
      </c>
      <c r="DX30" s="228">
        <v>0.3</v>
      </c>
      <c r="DY30" s="228">
        <v>-0.05</v>
      </c>
      <c r="DZ30" s="229">
        <v>-0.16669999999999999</v>
      </c>
      <c r="EA30" s="229">
        <v>8.5300000000000001E-2</v>
      </c>
      <c r="EB30" s="230">
        <v>256050</v>
      </c>
      <c r="EC30" s="229">
        <v>-4.5999999999999999E-3</v>
      </c>
      <c r="ED30" s="229">
        <v>8.5300000000000001E-2</v>
      </c>
      <c r="EE30" s="228">
        <v>-11.46</v>
      </c>
      <c r="EF30" s="229">
        <v>-8.2000000000000007E-3</v>
      </c>
      <c r="EG30" s="230">
        <v>357837</v>
      </c>
      <c r="EH30" s="230">
        <v>291564</v>
      </c>
      <c r="EI30" s="229">
        <v>0.2273</v>
      </c>
      <c r="EJ30" s="229">
        <v>0.30759999999999998</v>
      </c>
      <c r="EK30" s="228">
        <v>450.17</v>
      </c>
      <c r="EL30" s="228">
        <v>105.05</v>
      </c>
      <c r="EM30" s="228">
        <v>133.66999999999999</v>
      </c>
      <c r="EN30" s="228">
        <v>32.06</v>
      </c>
      <c r="EO30" s="228">
        <v>688.89</v>
      </c>
      <c r="EP30" s="228">
        <v>631.48</v>
      </c>
      <c r="EQ30" s="228">
        <v>57.4</v>
      </c>
      <c r="ER30" s="229">
        <v>9.0899999999999995E-2</v>
      </c>
      <c r="ES30" s="228">
        <v>360.7</v>
      </c>
      <c r="ET30" s="228">
        <v>178.55</v>
      </c>
      <c r="EU30" s="228">
        <v>489</v>
      </c>
      <c r="EV30" s="231">
        <v>13786716</v>
      </c>
      <c r="EW30" s="231">
        <v>1028.25</v>
      </c>
      <c r="EX30" s="228">
        <v>948.32</v>
      </c>
      <c r="EY30" s="228">
        <v>79.930000000000007</v>
      </c>
      <c r="EZ30" s="229">
        <v>8.43E-2</v>
      </c>
      <c r="FA30" s="229">
        <v>0.52700000000000002</v>
      </c>
      <c r="FB30" s="227" t="s">
        <v>555</v>
      </c>
      <c r="FC30">
        <f t="shared" si="0"/>
        <v>42</v>
      </c>
    </row>
    <row r="31" spans="1:159" ht="17.25" thickBot="1" x14ac:dyDescent="0.3">
      <c r="A31" s="226">
        <v>46148</v>
      </c>
      <c r="B31" s="227" t="s">
        <v>184</v>
      </c>
      <c r="C31" s="227" t="s">
        <v>185</v>
      </c>
      <c r="D31" s="228">
        <v>1425</v>
      </c>
      <c r="E31" s="228">
        <v>20</v>
      </c>
      <c r="F31" s="228">
        <v>439.95</v>
      </c>
      <c r="G31" s="228">
        <v>436.6</v>
      </c>
      <c r="H31" s="228">
        <v>3.35</v>
      </c>
      <c r="I31" s="229">
        <v>7.7000000000000002E-3</v>
      </c>
      <c r="J31" s="228">
        <v>438.2</v>
      </c>
      <c r="K31" s="228">
        <v>433.35</v>
      </c>
      <c r="L31" s="228">
        <v>4.8499999999999996</v>
      </c>
      <c r="M31" s="229">
        <v>1.12E-2</v>
      </c>
      <c r="N31" s="228">
        <v>439.95</v>
      </c>
      <c r="O31" s="228">
        <v>436.6</v>
      </c>
      <c r="P31" s="228">
        <v>3.35</v>
      </c>
      <c r="Q31" s="229">
        <v>7.7000000000000002E-3</v>
      </c>
      <c r="R31" s="228">
        <v>442.7</v>
      </c>
      <c r="S31" s="228">
        <v>438.75</v>
      </c>
      <c r="T31" s="228">
        <v>3.95</v>
      </c>
      <c r="U31" s="229">
        <v>8.9999999999999993E-3</v>
      </c>
      <c r="V31" s="228">
        <v>445.3</v>
      </c>
      <c r="W31" s="228">
        <v>441.85</v>
      </c>
      <c r="X31" s="228">
        <v>3.45</v>
      </c>
      <c r="Y31" s="229">
        <v>7.7999999999999996E-3</v>
      </c>
      <c r="Z31" s="228">
        <v>1.75</v>
      </c>
      <c r="AA31" s="228">
        <v>3.25</v>
      </c>
      <c r="AB31" s="228">
        <v>-1.5</v>
      </c>
      <c r="AC31" s="229">
        <v>4.0000000000000001E-3</v>
      </c>
      <c r="AD31" s="228">
        <v>1.75</v>
      </c>
      <c r="AE31" s="228">
        <v>3.25</v>
      </c>
      <c r="AF31" s="228">
        <v>-1.5</v>
      </c>
      <c r="AG31" s="229">
        <v>4.0000000000000001E-3</v>
      </c>
      <c r="AH31" s="228">
        <v>4.5</v>
      </c>
      <c r="AI31" s="228">
        <v>5.4</v>
      </c>
      <c r="AJ31" s="228">
        <v>-0.9</v>
      </c>
      <c r="AK31" s="229">
        <v>1.03E-2</v>
      </c>
      <c r="AL31" s="228">
        <v>7.1</v>
      </c>
      <c r="AM31" s="228">
        <v>8.5</v>
      </c>
      <c r="AN31" s="228">
        <v>-1.4</v>
      </c>
      <c r="AO31" s="229">
        <v>1.6199999999999999E-2</v>
      </c>
      <c r="AP31" s="228">
        <v>439.09</v>
      </c>
      <c r="AQ31" s="228">
        <v>442.04</v>
      </c>
      <c r="AR31" s="228">
        <v>0</v>
      </c>
      <c r="AS31" s="228">
        <v>585</v>
      </c>
      <c r="AT31" s="228">
        <v>474</v>
      </c>
      <c r="AU31" s="228">
        <v>111</v>
      </c>
      <c r="AV31" s="229">
        <v>0.2334</v>
      </c>
      <c r="AW31" s="228">
        <v>534</v>
      </c>
      <c r="AX31" s="228">
        <v>411</v>
      </c>
      <c r="AY31" s="228">
        <v>123</v>
      </c>
      <c r="AZ31" s="229">
        <v>0.2989</v>
      </c>
      <c r="BA31" s="228">
        <v>43</v>
      </c>
      <c r="BB31" s="228">
        <v>57</v>
      </c>
      <c r="BC31" s="228">
        <v>-14</v>
      </c>
      <c r="BD31" s="229">
        <v>-0.24779999999999999</v>
      </c>
      <c r="BE31" s="228">
        <v>8</v>
      </c>
      <c r="BF31" s="228">
        <v>6</v>
      </c>
      <c r="BG31" s="228">
        <v>2</v>
      </c>
      <c r="BH31" s="229">
        <v>0.30690000000000001</v>
      </c>
      <c r="BI31" s="230">
        <v>1710</v>
      </c>
      <c r="BJ31" s="230">
        <v>1464</v>
      </c>
      <c r="BK31" s="228">
        <v>247</v>
      </c>
      <c r="BL31" s="229">
        <v>0.16850000000000001</v>
      </c>
      <c r="BM31" s="228">
        <v>738</v>
      </c>
      <c r="BN31" s="228">
        <v>497</v>
      </c>
      <c r="BO31" s="228">
        <v>241</v>
      </c>
      <c r="BP31" s="229">
        <v>0.48420000000000002</v>
      </c>
      <c r="BQ31" s="230">
        <v>3033</v>
      </c>
      <c r="BR31" s="230">
        <v>2435</v>
      </c>
      <c r="BS31" s="228">
        <v>598</v>
      </c>
      <c r="BT31" s="229">
        <v>0.24560000000000001</v>
      </c>
      <c r="BU31" s="230">
        <v>10546832</v>
      </c>
      <c r="BV31" s="230">
        <v>12415807</v>
      </c>
      <c r="BW31" s="230">
        <v>-1868975</v>
      </c>
      <c r="BX31" s="229">
        <v>-0.15049999999999999</v>
      </c>
      <c r="BY31" s="230">
        <v>5169</v>
      </c>
      <c r="BZ31" s="230">
        <v>5152</v>
      </c>
      <c r="CA31" s="228">
        <v>17</v>
      </c>
      <c r="CB31" s="229">
        <v>3.3E-3</v>
      </c>
      <c r="CC31" s="230">
        <v>4507</v>
      </c>
      <c r="CD31" s="230">
        <v>4504</v>
      </c>
      <c r="CE31" s="228">
        <v>3</v>
      </c>
      <c r="CF31" s="229">
        <v>6.9999999999999999E-4</v>
      </c>
      <c r="CG31" s="228">
        <v>646</v>
      </c>
      <c r="CH31" s="228">
        <v>636</v>
      </c>
      <c r="CI31" s="228">
        <v>10</v>
      </c>
      <c r="CJ31" s="229">
        <v>1.5900000000000001E-2</v>
      </c>
      <c r="CK31" s="228">
        <v>16</v>
      </c>
      <c r="CL31" s="228">
        <v>12</v>
      </c>
      <c r="CM31" s="228">
        <v>4</v>
      </c>
      <c r="CN31" s="229">
        <v>0.32450000000000001</v>
      </c>
      <c r="CO31" s="230">
        <v>1939</v>
      </c>
      <c r="CP31" s="230">
        <v>1788</v>
      </c>
      <c r="CQ31" s="228">
        <v>151</v>
      </c>
      <c r="CR31" s="229">
        <v>8.4199999999999997E-2</v>
      </c>
      <c r="CS31" s="230">
        <v>1115</v>
      </c>
      <c r="CT31" s="230">
        <v>1121</v>
      </c>
      <c r="CU31" s="228">
        <v>-5</v>
      </c>
      <c r="CV31" s="229">
        <v>-4.8999999999999998E-3</v>
      </c>
      <c r="CW31" s="230">
        <v>8223</v>
      </c>
      <c r="CX31" s="230">
        <v>8061</v>
      </c>
      <c r="CY31" s="228">
        <v>162</v>
      </c>
      <c r="CZ31" s="229">
        <v>2.01E-2</v>
      </c>
      <c r="DA31" s="228">
        <v>33.409999999999997</v>
      </c>
      <c r="DB31" s="228">
        <v>34.46</v>
      </c>
      <c r="DC31" s="228">
        <v>-1.05</v>
      </c>
      <c r="DD31" s="228">
        <v>-1.05</v>
      </c>
      <c r="DE31" s="228">
        <v>36.43</v>
      </c>
      <c r="DF31" s="228">
        <v>36.51</v>
      </c>
      <c r="DG31" s="228">
        <v>-3.02</v>
      </c>
      <c r="DH31" s="228">
        <v>-0.08</v>
      </c>
      <c r="DI31" s="228">
        <v>33.659999999999997</v>
      </c>
      <c r="DJ31" s="228">
        <v>34.4</v>
      </c>
      <c r="DK31" s="228">
        <v>-0.74</v>
      </c>
      <c r="DL31" s="228">
        <v>-0.74</v>
      </c>
      <c r="DM31" s="228">
        <v>32.83</v>
      </c>
      <c r="DN31" s="228">
        <v>34.64</v>
      </c>
      <c r="DO31" s="228">
        <v>-1.81</v>
      </c>
      <c r="DP31" s="228">
        <v>-1.81</v>
      </c>
      <c r="DQ31" s="228">
        <v>0.57999999999999996</v>
      </c>
      <c r="DR31" s="228">
        <v>0.63</v>
      </c>
      <c r="DS31" s="228">
        <v>-0.05</v>
      </c>
      <c r="DT31" s="229">
        <v>-7.9399999999999998E-2</v>
      </c>
      <c r="DU31" s="228">
        <v>450</v>
      </c>
      <c r="DV31" s="228">
        <v>430</v>
      </c>
      <c r="DW31" s="228">
        <v>0.43</v>
      </c>
      <c r="DX31" s="228">
        <v>0.34</v>
      </c>
      <c r="DY31" s="228">
        <v>0.09</v>
      </c>
      <c r="DZ31" s="229">
        <v>0.26469999999999999</v>
      </c>
      <c r="EA31" s="229">
        <v>0.12809999999999999</v>
      </c>
      <c r="EB31" s="230">
        <v>14728800</v>
      </c>
      <c r="EC31" s="229">
        <v>6.3E-3</v>
      </c>
      <c r="ED31" s="229">
        <v>0.12809999999999999</v>
      </c>
      <c r="EE31" s="228">
        <v>2.95</v>
      </c>
      <c r="EF31" s="229">
        <v>6.7000000000000002E-3</v>
      </c>
      <c r="EG31" s="230">
        <v>4976126</v>
      </c>
      <c r="EH31" s="230">
        <v>5748800</v>
      </c>
      <c r="EI31" s="229">
        <v>-0.13439999999999999</v>
      </c>
      <c r="EJ31" s="229">
        <v>0.4718</v>
      </c>
      <c r="EK31" s="231">
        <v>1806.55</v>
      </c>
      <c r="EL31" s="228">
        <v>724.41</v>
      </c>
      <c r="EM31" s="228">
        <v>584.29999999999995</v>
      </c>
      <c r="EN31" s="228">
        <v>85.67</v>
      </c>
      <c r="EO31" s="231">
        <v>3115.26</v>
      </c>
      <c r="EP31" s="231">
        <v>2499.41</v>
      </c>
      <c r="EQ31" s="228">
        <v>615.86</v>
      </c>
      <c r="ER31" s="229">
        <v>0.24640000000000001</v>
      </c>
      <c r="ES31" s="231">
        <v>2043.85</v>
      </c>
      <c r="ET31" s="231">
        <v>1078.48</v>
      </c>
      <c r="EU31" s="231">
        <v>5172.76</v>
      </c>
      <c r="EV31" s="231">
        <v>535778534</v>
      </c>
      <c r="EW31" s="231">
        <v>8295.09</v>
      </c>
      <c r="EX31" s="231">
        <v>8081.12</v>
      </c>
      <c r="EY31" s="228">
        <v>213.97</v>
      </c>
      <c r="EZ31" s="229">
        <v>2.6499999999999999E-2</v>
      </c>
      <c r="FA31" s="229">
        <v>0.3488</v>
      </c>
      <c r="FB31" s="227" t="s">
        <v>555</v>
      </c>
      <c r="FC31">
        <f t="shared" si="0"/>
        <v>662</v>
      </c>
    </row>
    <row r="32" spans="1:159" ht="17.25" thickBot="1" x14ac:dyDescent="0.3">
      <c r="A32" s="226">
        <v>46148</v>
      </c>
      <c r="B32" s="227" t="s">
        <v>162</v>
      </c>
      <c r="C32" s="227" t="s">
        <v>187</v>
      </c>
      <c r="D32" s="228">
        <v>500</v>
      </c>
      <c r="E32" s="228">
        <v>20</v>
      </c>
      <c r="F32" s="231">
        <v>1883.8</v>
      </c>
      <c r="G32" s="231">
        <v>1876.3</v>
      </c>
      <c r="H32" s="228">
        <v>7.5</v>
      </c>
      <c r="I32" s="229">
        <v>4.0000000000000001E-3</v>
      </c>
      <c r="J32" s="231">
        <v>1873.8</v>
      </c>
      <c r="K32" s="231">
        <v>1866.6</v>
      </c>
      <c r="L32" s="228">
        <v>7.2</v>
      </c>
      <c r="M32" s="229">
        <v>3.8999999999999998E-3</v>
      </c>
      <c r="N32" s="231">
        <v>1883.8</v>
      </c>
      <c r="O32" s="231">
        <v>1876.3</v>
      </c>
      <c r="P32" s="228">
        <v>7.5</v>
      </c>
      <c r="Q32" s="229">
        <v>4.0000000000000001E-3</v>
      </c>
      <c r="R32" s="231">
        <v>1885.6</v>
      </c>
      <c r="S32" s="231">
        <v>1879.5</v>
      </c>
      <c r="T32" s="228">
        <v>6.1</v>
      </c>
      <c r="U32" s="229">
        <v>3.2000000000000002E-3</v>
      </c>
      <c r="V32" s="231">
        <v>1885.4</v>
      </c>
      <c r="W32" s="231">
        <v>1887.1</v>
      </c>
      <c r="X32" s="228">
        <v>-1.7</v>
      </c>
      <c r="Y32" s="229">
        <v>-8.9999999999999998E-4</v>
      </c>
      <c r="Z32" s="228">
        <v>10</v>
      </c>
      <c r="AA32" s="228">
        <v>9.6999999999999993</v>
      </c>
      <c r="AB32" s="228">
        <v>0.3</v>
      </c>
      <c r="AC32" s="229">
        <v>5.3E-3</v>
      </c>
      <c r="AD32" s="228">
        <v>10</v>
      </c>
      <c r="AE32" s="228">
        <v>9.6999999999999993</v>
      </c>
      <c r="AF32" s="228">
        <v>0.3</v>
      </c>
      <c r="AG32" s="229">
        <v>5.3E-3</v>
      </c>
      <c r="AH32" s="228">
        <v>11.8</v>
      </c>
      <c r="AI32" s="228">
        <v>12.9</v>
      </c>
      <c r="AJ32" s="228">
        <v>-1.1000000000000001</v>
      </c>
      <c r="AK32" s="229">
        <v>6.3E-3</v>
      </c>
      <c r="AL32" s="228">
        <v>11.6</v>
      </c>
      <c r="AM32" s="228">
        <v>20.5</v>
      </c>
      <c r="AN32" s="228">
        <v>-8.9</v>
      </c>
      <c r="AO32" s="229">
        <v>6.1999999999999998E-3</v>
      </c>
      <c r="AP32" s="231">
        <v>1872.64</v>
      </c>
      <c r="AQ32" s="231">
        <v>1874.45</v>
      </c>
      <c r="AR32" s="228">
        <v>0</v>
      </c>
      <c r="AS32" s="228">
        <v>667</v>
      </c>
      <c r="AT32" s="228">
        <v>376</v>
      </c>
      <c r="AU32" s="228">
        <v>292</v>
      </c>
      <c r="AV32" s="229">
        <v>0.77659999999999996</v>
      </c>
      <c r="AW32" s="228">
        <v>645</v>
      </c>
      <c r="AX32" s="228">
        <v>366</v>
      </c>
      <c r="AY32" s="228">
        <v>278</v>
      </c>
      <c r="AZ32" s="229">
        <v>0.75980000000000003</v>
      </c>
      <c r="BA32" s="228">
        <v>21</v>
      </c>
      <c r="BB32" s="228">
        <v>8</v>
      </c>
      <c r="BC32" s="228">
        <v>13</v>
      </c>
      <c r="BD32" s="229">
        <v>1.4778</v>
      </c>
      <c r="BE32" s="228">
        <v>2</v>
      </c>
      <c r="BF32" s="228">
        <v>1</v>
      </c>
      <c r="BG32" s="228">
        <v>1</v>
      </c>
      <c r="BH32" s="229">
        <v>1</v>
      </c>
      <c r="BI32" s="230">
        <v>1278</v>
      </c>
      <c r="BJ32" s="228">
        <v>888</v>
      </c>
      <c r="BK32" s="228">
        <v>391</v>
      </c>
      <c r="BL32" s="229">
        <v>0.43980000000000002</v>
      </c>
      <c r="BM32" s="228">
        <v>775</v>
      </c>
      <c r="BN32" s="228">
        <v>541</v>
      </c>
      <c r="BO32" s="228">
        <v>235</v>
      </c>
      <c r="BP32" s="229">
        <v>0.43459999999999999</v>
      </c>
      <c r="BQ32" s="230">
        <v>2721</v>
      </c>
      <c r="BR32" s="230">
        <v>1804</v>
      </c>
      <c r="BS32" s="228">
        <v>917</v>
      </c>
      <c r="BT32" s="229">
        <v>0.50839999999999996</v>
      </c>
      <c r="BU32" s="230">
        <v>1433449</v>
      </c>
      <c r="BV32" s="230">
        <v>1059112</v>
      </c>
      <c r="BW32" s="230">
        <v>374337</v>
      </c>
      <c r="BX32" s="229">
        <v>0.35339999999999999</v>
      </c>
      <c r="BY32" s="230">
        <v>1435</v>
      </c>
      <c r="BZ32" s="230">
        <v>1408</v>
      </c>
      <c r="CA32" s="228">
        <v>27</v>
      </c>
      <c r="CB32" s="229">
        <v>1.89E-2</v>
      </c>
      <c r="CC32" s="230">
        <v>1414</v>
      </c>
      <c r="CD32" s="230">
        <v>1392</v>
      </c>
      <c r="CE32" s="228">
        <v>22</v>
      </c>
      <c r="CF32" s="229">
        <v>1.5800000000000002E-2</v>
      </c>
      <c r="CG32" s="228">
        <v>19</v>
      </c>
      <c r="CH32" s="228">
        <v>15</v>
      </c>
      <c r="CI32" s="228">
        <v>4</v>
      </c>
      <c r="CJ32" s="229">
        <v>0.28129999999999999</v>
      </c>
      <c r="CK32" s="228">
        <v>2</v>
      </c>
      <c r="CL32" s="228">
        <v>1</v>
      </c>
      <c r="CM32" s="228">
        <v>0</v>
      </c>
      <c r="CN32" s="229">
        <v>0.28570000000000001</v>
      </c>
      <c r="CO32" s="228">
        <v>602</v>
      </c>
      <c r="CP32" s="228">
        <v>498</v>
      </c>
      <c r="CQ32" s="228">
        <v>105</v>
      </c>
      <c r="CR32" s="229">
        <v>0.21029999999999999</v>
      </c>
      <c r="CS32" s="228">
        <v>330</v>
      </c>
      <c r="CT32" s="228">
        <v>297</v>
      </c>
      <c r="CU32" s="228">
        <v>32</v>
      </c>
      <c r="CV32" s="229">
        <v>0.1086</v>
      </c>
      <c r="CW32" s="230">
        <v>2367</v>
      </c>
      <c r="CX32" s="230">
        <v>2203</v>
      </c>
      <c r="CY32" s="228">
        <v>164</v>
      </c>
      <c r="CZ32" s="229">
        <v>7.4300000000000005E-2</v>
      </c>
      <c r="DA32" s="228">
        <v>41.46</v>
      </c>
      <c r="DB32" s="228">
        <v>42.06</v>
      </c>
      <c r="DC32" s="228">
        <v>-0.6</v>
      </c>
      <c r="DD32" s="228">
        <v>-0.6</v>
      </c>
      <c r="DE32" s="228">
        <v>39.15</v>
      </c>
      <c r="DF32" s="228">
        <v>39.25</v>
      </c>
      <c r="DG32" s="228">
        <v>2.31</v>
      </c>
      <c r="DH32" s="228">
        <v>-0.1</v>
      </c>
      <c r="DI32" s="228">
        <v>41.34</v>
      </c>
      <c r="DJ32" s="228">
        <v>41.97</v>
      </c>
      <c r="DK32" s="228">
        <v>-0.63</v>
      </c>
      <c r="DL32" s="228">
        <v>-0.63</v>
      </c>
      <c r="DM32" s="228">
        <v>41.67</v>
      </c>
      <c r="DN32" s="228">
        <v>42.2</v>
      </c>
      <c r="DO32" s="228">
        <v>-0.53</v>
      </c>
      <c r="DP32" s="228">
        <v>-0.53</v>
      </c>
      <c r="DQ32" s="228">
        <v>0.55000000000000004</v>
      </c>
      <c r="DR32" s="228">
        <v>0.6</v>
      </c>
      <c r="DS32" s="228">
        <v>-0.05</v>
      </c>
      <c r="DT32" s="229">
        <v>-8.3299999999999999E-2</v>
      </c>
      <c r="DU32" s="231">
        <v>1900</v>
      </c>
      <c r="DV32" s="231">
        <v>1800</v>
      </c>
      <c r="DW32" s="228">
        <v>0.61</v>
      </c>
      <c r="DX32" s="228">
        <v>0.61</v>
      </c>
      <c r="DY32" s="228">
        <v>0</v>
      </c>
      <c r="DZ32" s="229">
        <v>0</v>
      </c>
      <c r="EA32" s="229">
        <v>1.46E-2</v>
      </c>
      <c r="EB32" s="230">
        <v>87000</v>
      </c>
      <c r="EC32" s="229">
        <v>1E-3</v>
      </c>
      <c r="ED32" s="229">
        <v>1.46E-2</v>
      </c>
      <c r="EE32" s="228">
        <v>1.81</v>
      </c>
      <c r="EF32" s="229">
        <v>1E-3</v>
      </c>
      <c r="EG32" s="230">
        <v>575048</v>
      </c>
      <c r="EH32" s="230">
        <v>381195</v>
      </c>
      <c r="EI32" s="229">
        <v>0.50849999999999995</v>
      </c>
      <c r="EJ32" s="229">
        <v>0.4012</v>
      </c>
      <c r="EK32" s="231">
        <v>1351.59</v>
      </c>
      <c r="EL32" s="228">
        <v>776.83</v>
      </c>
      <c r="EM32" s="228">
        <v>663.41</v>
      </c>
      <c r="EN32" s="228">
        <v>38.32</v>
      </c>
      <c r="EO32" s="231">
        <v>2791.84</v>
      </c>
      <c r="EP32" s="231">
        <v>1837.22</v>
      </c>
      <c r="EQ32" s="228">
        <v>954.61</v>
      </c>
      <c r="ER32" s="229">
        <v>0.51959999999999995</v>
      </c>
      <c r="ES32" s="228">
        <v>618.09</v>
      </c>
      <c r="ET32" s="228">
        <v>316.35000000000002</v>
      </c>
      <c r="EU32" s="231">
        <v>1434.63</v>
      </c>
      <c r="EV32" s="231">
        <v>40107751</v>
      </c>
      <c r="EW32" s="231">
        <v>2369.0700000000002</v>
      </c>
      <c r="EX32" s="231">
        <v>2196.0500000000002</v>
      </c>
      <c r="EY32" s="228">
        <v>173.02</v>
      </c>
      <c r="EZ32" s="229">
        <v>7.8799999999999995E-2</v>
      </c>
      <c r="FA32" s="229">
        <v>0.31319999999999998</v>
      </c>
      <c r="FB32" s="227" t="s">
        <v>555</v>
      </c>
      <c r="FC32">
        <f t="shared" si="0"/>
        <v>21</v>
      </c>
    </row>
    <row r="33" spans="1:159" ht="17.25" thickBot="1" x14ac:dyDescent="0.3">
      <c r="A33" s="226">
        <v>46148</v>
      </c>
      <c r="B33" s="227" t="s">
        <v>188</v>
      </c>
      <c r="C33" s="227" t="s">
        <v>189</v>
      </c>
      <c r="D33" s="228">
        <v>475</v>
      </c>
      <c r="E33" s="228">
        <v>20</v>
      </c>
      <c r="F33" s="231">
        <v>1844</v>
      </c>
      <c r="G33" s="231">
        <v>1816.4</v>
      </c>
      <c r="H33" s="228">
        <v>27.6</v>
      </c>
      <c r="I33" s="229">
        <v>1.52E-2</v>
      </c>
      <c r="J33" s="231">
        <v>1833.7</v>
      </c>
      <c r="K33" s="231">
        <v>1806.1</v>
      </c>
      <c r="L33" s="228">
        <v>27.6</v>
      </c>
      <c r="M33" s="229">
        <v>1.5299999999999999E-2</v>
      </c>
      <c r="N33" s="231">
        <v>1844</v>
      </c>
      <c r="O33" s="231">
        <v>1816.4</v>
      </c>
      <c r="P33" s="228">
        <v>27.6</v>
      </c>
      <c r="Q33" s="229">
        <v>1.52E-2</v>
      </c>
      <c r="R33" s="231">
        <v>1855</v>
      </c>
      <c r="S33" s="231">
        <v>1826.2</v>
      </c>
      <c r="T33" s="228">
        <v>28.8</v>
      </c>
      <c r="U33" s="229">
        <v>1.5800000000000002E-2</v>
      </c>
      <c r="V33" s="231">
        <v>1864</v>
      </c>
      <c r="W33" s="231">
        <v>1835.4</v>
      </c>
      <c r="X33" s="228">
        <v>28.6</v>
      </c>
      <c r="Y33" s="229">
        <v>1.5599999999999999E-2</v>
      </c>
      <c r="Z33" s="228">
        <v>10.3</v>
      </c>
      <c r="AA33" s="228">
        <v>10.3</v>
      </c>
      <c r="AB33" s="228">
        <v>0</v>
      </c>
      <c r="AC33" s="229">
        <v>5.5999999999999999E-3</v>
      </c>
      <c r="AD33" s="228">
        <v>10.3</v>
      </c>
      <c r="AE33" s="228">
        <v>10.3</v>
      </c>
      <c r="AF33" s="228">
        <v>0</v>
      </c>
      <c r="AG33" s="229">
        <v>5.5999999999999999E-3</v>
      </c>
      <c r="AH33" s="228">
        <v>21.3</v>
      </c>
      <c r="AI33" s="228">
        <v>20.100000000000001</v>
      </c>
      <c r="AJ33" s="228">
        <v>1.2</v>
      </c>
      <c r="AK33" s="229">
        <v>1.1599999999999999E-2</v>
      </c>
      <c r="AL33" s="228">
        <v>30.3</v>
      </c>
      <c r="AM33" s="228">
        <v>29.3</v>
      </c>
      <c r="AN33" s="228">
        <v>1</v>
      </c>
      <c r="AO33" s="229">
        <v>1.6500000000000001E-2</v>
      </c>
      <c r="AP33" s="231">
        <v>1841.29</v>
      </c>
      <c r="AQ33" s="231">
        <v>1850.97</v>
      </c>
      <c r="AR33" s="228">
        <v>0</v>
      </c>
      <c r="AS33" s="228">
        <v>749</v>
      </c>
      <c r="AT33" s="230">
        <v>1003</v>
      </c>
      <c r="AU33" s="228">
        <v>-254</v>
      </c>
      <c r="AV33" s="229">
        <v>-0.25330000000000003</v>
      </c>
      <c r="AW33" s="228">
        <v>679</v>
      </c>
      <c r="AX33" s="228">
        <v>872</v>
      </c>
      <c r="AY33" s="228">
        <v>-193</v>
      </c>
      <c r="AZ33" s="229">
        <v>-0.22120000000000001</v>
      </c>
      <c r="BA33" s="228">
        <v>59</v>
      </c>
      <c r="BB33" s="228">
        <v>123</v>
      </c>
      <c r="BC33" s="228">
        <v>-63</v>
      </c>
      <c r="BD33" s="229">
        <v>-0.51529999999999998</v>
      </c>
      <c r="BE33" s="228">
        <v>11</v>
      </c>
      <c r="BF33" s="228">
        <v>9</v>
      </c>
      <c r="BG33" s="228">
        <v>2</v>
      </c>
      <c r="BH33" s="229">
        <v>0.2059</v>
      </c>
      <c r="BI33" s="230">
        <v>3334</v>
      </c>
      <c r="BJ33" s="230">
        <v>4615</v>
      </c>
      <c r="BK33" s="230">
        <v>-1282</v>
      </c>
      <c r="BL33" s="229">
        <v>-0.2777</v>
      </c>
      <c r="BM33" s="230">
        <v>1779</v>
      </c>
      <c r="BN33" s="230">
        <v>1982</v>
      </c>
      <c r="BO33" s="228">
        <v>-203</v>
      </c>
      <c r="BP33" s="229">
        <v>-0.1022</v>
      </c>
      <c r="BQ33" s="230">
        <v>5862</v>
      </c>
      <c r="BR33" s="230">
        <v>7600</v>
      </c>
      <c r="BS33" s="230">
        <v>-1739</v>
      </c>
      <c r="BT33" s="229">
        <v>-0.2288</v>
      </c>
      <c r="BU33" s="230">
        <v>5744111</v>
      </c>
      <c r="BV33" s="230">
        <v>11623069</v>
      </c>
      <c r="BW33" s="230">
        <v>-5878958</v>
      </c>
      <c r="BX33" s="229">
        <v>-0.50580000000000003</v>
      </c>
      <c r="BY33" s="230">
        <v>11442</v>
      </c>
      <c r="BZ33" s="230">
        <v>11347</v>
      </c>
      <c r="CA33" s="228">
        <v>95</v>
      </c>
      <c r="CB33" s="229">
        <v>8.3999999999999995E-3</v>
      </c>
      <c r="CC33" s="230">
        <v>9460</v>
      </c>
      <c r="CD33" s="230">
        <v>9397</v>
      </c>
      <c r="CE33" s="228">
        <v>63</v>
      </c>
      <c r="CF33" s="229">
        <v>6.7000000000000002E-3</v>
      </c>
      <c r="CG33" s="230">
        <v>1950</v>
      </c>
      <c r="CH33" s="230">
        <v>1922</v>
      </c>
      <c r="CI33" s="228">
        <v>28</v>
      </c>
      <c r="CJ33" s="229">
        <v>1.47E-2</v>
      </c>
      <c r="CK33" s="228">
        <v>32</v>
      </c>
      <c r="CL33" s="228">
        <v>28</v>
      </c>
      <c r="CM33" s="228">
        <v>4</v>
      </c>
      <c r="CN33" s="229">
        <v>0.15090000000000001</v>
      </c>
      <c r="CO33" s="230">
        <v>2321</v>
      </c>
      <c r="CP33" s="230">
        <v>2366</v>
      </c>
      <c r="CQ33" s="228">
        <v>-45</v>
      </c>
      <c r="CR33" s="229">
        <v>-1.9199999999999998E-2</v>
      </c>
      <c r="CS33" s="230">
        <v>1316</v>
      </c>
      <c r="CT33" s="230">
        <v>1319</v>
      </c>
      <c r="CU33" s="228">
        <v>-3</v>
      </c>
      <c r="CV33" s="229">
        <v>-2.0999999999999999E-3</v>
      </c>
      <c r="CW33" s="230">
        <v>15079</v>
      </c>
      <c r="CX33" s="230">
        <v>15032</v>
      </c>
      <c r="CY33" s="228">
        <v>47</v>
      </c>
      <c r="CZ33" s="229">
        <v>3.0999999999999999E-3</v>
      </c>
      <c r="DA33" s="228">
        <v>22.15</v>
      </c>
      <c r="DB33" s="228">
        <v>24.56</v>
      </c>
      <c r="DC33" s="228">
        <v>-2.41</v>
      </c>
      <c r="DD33" s="228">
        <v>-2.41</v>
      </c>
      <c r="DE33" s="228">
        <v>24.47</v>
      </c>
      <c r="DF33" s="228">
        <v>24.45</v>
      </c>
      <c r="DG33" s="228">
        <v>-2.3199999999999998</v>
      </c>
      <c r="DH33" s="228">
        <v>0.02</v>
      </c>
      <c r="DI33" s="228">
        <v>22.53</v>
      </c>
      <c r="DJ33" s="228">
        <v>24.67</v>
      </c>
      <c r="DK33" s="228">
        <v>-2.14</v>
      </c>
      <c r="DL33" s="228">
        <v>-2.14</v>
      </c>
      <c r="DM33" s="228">
        <v>21.43</v>
      </c>
      <c r="DN33" s="228">
        <v>24.32</v>
      </c>
      <c r="DO33" s="228">
        <v>-2.89</v>
      </c>
      <c r="DP33" s="228">
        <v>-2.89</v>
      </c>
      <c r="DQ33" s="228">
        <v>0.56999999999999995</v>
      </c>
      <c r="DR33" s="228">
        <v>0.56000000000000005</v>
      </c>
      <c r="DS33" s="228">
        <v>0.01</v>
      </c>
      <c r="DT33" s="229">
        <v>1.7899999999999999E-2</v>
      </c>
      <c r="DU33" s="231">
        <v>1900</v>
      </c>
      <c r="DV33" s="231">
        <v>1840</v>
      </c>
      <c r="DW33" s="228">
        <v>0.53</v>
      </c>
      <c r="DX33" s="228">
        <v>0.43</v>
      </c>
      <c r="DY33" s="228">
        <v>0.1</v>
      </c>
      <c r="DZ33" s="229">
        <v>0.2326</v>
      </c>
      <c r="EA33" s="229">
        <v>0.17319999999999999</v>
      </c>
      <c r="EB33" s="230">
        <v>10573025</v>
      </c>
      <c r="EC33" s="229">
        <v>6.0000000000000001E-3</v>
      </c>
      <c r="ED33" s="229">
        <v>0.17319999999999999</v>
      </c>
      <c r="EE33" s="228">
        <v>9.68</v>
      </c>
      <c r="EF33" s="229">
        <v>5.3E-3</v>
      </c>
      <c r="EG33" s="230">
        <v>3366232</v>
      </c>
      <c r="EH33" s="230">
        <v>5012788</v>
      </c>
      <c r="EI33" s="229">
        <v>-0.32850000000000001</v>
      </c>
      <c r="EJ33" s="229">
        <v>0.58599999999999997</v>
      </c>
      <c r="EK33" s="231">
        <v>3453.53</v>
      </c>
      <c r="EL33" s="231">
        <v>1759.47</v>
      </c>
      <c r="EM33" s="228">
        <v>748.48</v>
      </c>
      <c r="EN33" s="228">
        <v>140.24</v>
      </c>
      <c r="EO33" s="231">
        <v>5961.47</v>
      </c>
      <c r="EP33" s="231">
        <v>7733.87</v>
      </c>
      <c r="EQ33" s="231">
        <v>-1772.39</v>
      </c>
      <c r="ER33" s="229">
        <v>-0.22919999999999999</v>
      </c>
      <c r="ES33" s="231">
        <v>2405.36</v>
      </c>
      <c r="ET33" s="231">
        <v>1306.33</v>
      </c>
      <c r="EU33" s="231">
        <v>11454.04</v>
      </c>
      <c r="EV33" s="231">
        <v>342859930</v>
      </c>
      <c r="EW33" s="231">
        <v>15165.73</v>
      </c>
      <c r="EX33" s="231">
        <v>14945.22</v>
      </c>
      <c r="EY33" s="228">
        <v>220.51</v>
      </c>
      <c r="EZ33" s="229">
        <v>1.4800000000000001E-2</v>
      </c>
      <c r="FA33" s="229">
        <v>0.23849999999999999</v>
      </c>
      <c r="FB33" s="227" t="s">
        <v>555</v>
      </c>
      <c r="FC33">
        <f t="shared" si="0"/>
        <v>1982</v>
      </c>
    </row>
    <row r="34" spans="1:159" ht="17.25" thickBot="1" x14ac:dyDescent="0.3">
      <c r="A34" s="226">
        <v>46148</v>
      </c>
      <c r="B34" s="227" t="s">
        <v>184</v>
      </c>
      <c r="C34" s="227" t="s">
        <v>190</v>
      </c>
      <c r="D34" s="228">
        <v>2625</v>
      </c>
      <c r="E34" s="228">
        <v>20</v>
      </c>
      <c r="F34" s="228">
        <v>387.65</v>
      </c>
      <c r="G34" s="228">
        <v>376.4</v>
      </c>
      <c r="H34" s="228">
        <v>11.25</v>
      </c>
      <c r="I34" s="229">
        <v>2.9899999999999999E-2</v>
      </c>
      <c r="J34" s="228">
        <v>385.95</v>
      </c>
      <c r="K34" s="228">
        <v>374.95</v>
      </c>
      <c r="L34" s="228">
        <v>11</v>
      </c>
      <c r="M34" s="229">
        <v>2.93E-2</v>
      </c>
      <c r="N34" s="228">
        <v>387.65</v>
      </c>
      <c r="O34" s="228">
        <v>376.4</v>
      </c>
      <c r="P34" s="228">
        <v>11.25</v>
      </c>
      <c r="Q34" s="229">
        <v>2.9899999999999999E-2</v>
      </c>
      <c r="R34" s="228">
        <v>389.85</v>
      </c>
      <c r="S34" s="228">
        <v>378.8</v>
      </c>
      <c r="T34" s="228">
        <v>11.05</v>
      </c>
      <c r="U34" s="229">
        <v>2.92E-2</v>
      </c>
      <c r="V34" s="228">
        <v>391.1</v>
      </c>
      <c r="W34" s="228">
        <v>380.55</v>
      </c>
      <c r="X34" s="228">
        <v>10.55</v>
      </c>
      <c r="Y34" s="229">
        <v>2.7699999999999999E-2</v>
      </c>
      <c r="Z34" s="228">
        <v>1.7</v>
      </c>
      <c r="AA34" s="228">
        <v>1.45</v>
      </c>
      <c r="AB34" s="228">
        <v>0.25</v>
      </c>
      <c r="AC34" s="229">
        <v>4.4000000000000003E-3</v>
      </c>
      <c r="AD34" s="228">
        <v>1.7</v>
      </c>
      <c r="AE34" s="228">
        <v>1.45</v>
      </c>
      <c r="AF34" s="228">
        <v>0.25</v>
      </c>
      <c r="AG34" s="229">
        <v>4.4000000000000003E-3</v>
      </c>
      <c r="AH34" s="228">
        <v>3.9</v>
      </c>
      <c r="AI34" s="228">
        <v>3.85</v>
      </c>
      <c r="AJ34" s="228">
        <v>0.05</v>
      </c>
      <c r="AK34" s="229">
        <v>1.01E-2</v>
      </c>
      <c r="AL34" s="228">
        <v>5.15</v>
      </c>
      <c r="AM34" s="228">
        <v>5.6</v>
      </c>
      <c r="AN34" s="228">
        <v>-0.45</v>
      </c>
      <c r="AO34" s="229">
        <v>1.3299999999999999E-2</v>
      </c>
      <c r="AP34" s="228">
        <v>381.73</v>
      </c>
      <c r="AQ34" s="228">
        <v>383.7</v>
      </c>
      <c r="AR34" s="228">
        <v>0</v>
      </c>
      <c r="AS34" s="230">
        <v>1062</v>
      </c>
      <c r="AT34" s="230">
        <v>1303</v>
      </c>
      <c r="AU34" s="228">
        <v>-242</v>
      </c>
      <c r="AV34" s="229">
        <v>-0.18540000000000001</v>
      </c>
      <c r="AW34" s="228">
        <v>991</v>
      </c>
      <c r="AX34" s="230">
        <v>1233</v>
      </c>
      <c r="AY34" s="228">
        <v>-242</v>
      </c>
      <c r="AZ34" s="229">
        <v>-0.19600000000000001</v>
      </c>
      <c r="BA34" s="228">
        <v>62</v>
      </c>
      <c r="BB34" s="228">
        <v>61</v>
      </c>
      <c r="BC34" s="228">
        <v>1</v>
      </c>
      <c r="BD34" s="229">
        <v>0.01</v>
      </c>
      <c r="BE34" s="228">
        <v>9</v>
      </c>
      <c r="BF34" s="228">
        <v>9</v>
      </c>
      <c r="BG34" s="228">
        <v>-1</v>
      </c>
      <c r="BH34" s="229">
        <v>-5.5599999999999997E-2</v>
      </c>
      <c r="BI34" s="230">
        <v>4036</v>
      </c>
      <c r="BJ34" s="230">
        <v>5077</v>
      </c>
      <c r="BK34" s="230">
        <v>-1041</v>
      </c>
      <c r="BL34" s="229">
        <v>-0.20499999999999999</v>
      </c>
      <c r="BM34" s="230">
        <v>2527</v>
      </c>
      <c r="BN34" s="230">
        <v>2883</v>
      </c>
      <c r="BO34" s="228">
        <v>-356</v>
      </c>
      <c r="BP34" s="229">
        <v>-0.1236</v>
      </c>
      <c r="BQ34" s="230">
        <v>7624</v>
      </c>
      <c r="BR34" s="230">
        <v>9263</v>
      </c>
      <c r="BS34" s="230">
        <v>-1639</v>
      </c>
      <c r="BT34" s="229">
        <v>-0.1769</v>
      </c>
      <c r="BU34" s="230">
        <v>22002942</v>
      </c>
      <c r="BV34" s="230">
        <v>34885951</v>
      </c>
      <c r="BW34" s="230">
        <v>-12883009</v>
      </c>
      <c r="BX34" s="229">
        <v>-0.36930000000000002</v>
      </c>
      <c r="BY34" s="230">
        <v>5225</v>
      </c>
      <c r="BZ34" s="230">
        <v>5224</v>
      </c>
      <c r="CA34" s="228">
        <v>2</v>
      </c>
      <c r="CB34" s="229">
        <v>2.9999999999999997E-4</v>
      </c>
      <c r="CC34" s="230">
        <v>5051</v>
      </c>
      <c r="CD34" s="230">
        <v>5048</v>
      </c>
      <c r="CE34" s="228">
        <v>2</v>
      </c>
      <c r="CF34" s="229">
        <v>4.0000000000000002E-4</v>
      </c>
      <c r="CG34" s="228">
        <v>164</v>
      </c>
      <c r="CH34" s="228">
        <v>164</v>
      </c>
      <c r="CI34" s="228">
        <v>0</v>
      </c>
      <c r="CJ34" s="229">
        <v>-5.9999999999999995E-4</v>
      </c>
      <c r="CK34" s="228">
        <v>11</v>
      </c>
      <c r="CL34" s="228">
        <v>11</v>
      </c>
      <c r="CM34" s="228">
        <v>0</v>
      </c>
      <c r="CN34" s="229">
        <v>-3.6400000000000002E-2</v>
      </c>
      <c r="CO34" s="230">
        <v>2005</v>
      </c>
      <c r="CP34" s="230">
        <v>2122</v>
      </c>
      <c r="CQ34" s="228">
        <v>-117</v>
      </c>
      <c r="CR34" s="229">
        <v>-5.5E-2</v>
      </c>
      <c r="CS34" s="230">
        <v>1815</v>
      </c>
      <c r="CT34" s="230">
        <v>1600</v>
      </c>
      <c r="CU34" s="228">
        <v>215</v>
      </c>
      <c r="CV34" s="229">
        <v>0.13420000000000001</v>
      </c>
      <c r="CW34" s="230">
        <v>9045</v>
      </c>
      <c r="CX34" s="230">
        <v>8945</v>
      </c>
      <c r="CY34" s="228">
        <v>100</v>
      </c>
      <c r="CZ34" s="229">
        <v>1.11E-2</v>
      </c>
      <c r="DA34" s="228">
        <v>39.880000000000003</v>
      </c>
      <c r="DB34" s="228">
        <v>39.07</v>
      </c>
      <c r="DC34" s="228">
        <v>0.81</v>
      </c>
      <c r="DD34" s="228">
        <v>0.81</v>
      </c>
      <c r="DE34" s="228">
        <v>47.77</v>
      </c>
      <c r="DF34" s="228">
        <v>47.72</v>
      </c>
      <c r="DG34" s="228">
        <v>-7.89</v>
      </c>
      <c r="DH34" s="228">
        <v>0.05</v>
      </c>
      <c r="DI34" s="228">
        <v>38.57</v>
      </c>
      <c r="DJ34" s="228">
        <v>38.25</v>
      </c>
      <c r="DK34" s="228">
        <v>0.32</v>
      </c>
      <c r="DL34" s="228">
        <v>0.32</v>
      </c>
      <c r="DM34" s="228">
        <v>41.97</v>
      </c>
      <c r="DN34" s="228">
        <v>40.53</v>
      </c>
      <c r="DO34" s="228">
        <v>1.44</v>
      </c>
      <c r="DP34" s="228">
        <v>1.44</v>
      </c>
      <c r="DQ34" s="228">
        <v>0.9</v>
      </c>
      <c r="DR34" s="228">
        <v>0.75</v>
      </c>
      <c r="DS34" s="228">
        <v>0.15</v>
      </c>
      <c r="DT34" s="229">
        <v>0.2</v>
      </c>
      <c r="DU34" s="228">
        <v>400</v>
      </c>
      <c r="DV34" s="228">
        <v>300</v>
      </c>
      <c r="DW34" s="228">
        <v>0.63</v>
      </c>
      <c r="DX34" s="228">
        <v>0.56999999999999995</v>
      </c>
      <c r="DY34" s="228">
        <v>0.06</v>
      </c>
      <c r="DZ34" s="229">
        <v>0.1053</v>
      </c>
      <c r="EA34" s="229">
        <v>3.3399999999999999E-2</v>
      </c>
      <c r="EB34" s="230">
        <v>4520250</v>
      </c>
      <c r="EC34" s="229">
        <v>5.7000000000000002E-3</v>
      </c>
      <c r="ED34" s="229">
        <v>3.3399999999999999E-2</v>
      </c>
      <c r="EE34" s="228">
        <v>1.97</v>
      </c>
      <c r="EF34" s="229">
        <v>5.1999999999999998E-3</v>
      </c>
      <c r="EG34" s="230">
        <v>7154028</v>
      </c>
      <c r="EH34" s="230">
        <v>9752320</v>
      </c>
      <c r="EI34" s="229">
        <v>-0.26640000000000003</v>
      </c>
      <c r="EJ34" s="229">
        <v>0.3251</v>
      </c>
      <c r="EK34" s="231">
        <v>4223.99</v>
      </c>
      <c r="EL34" s="231">
        <v>2400.6</v>
      </c>
      <c r="EM34" s="231">
        <v>1045.95</v>
      </c>
      <c r="EN34" s="228">
        <v>183.47</v>
      </c>
      <c r="EO34" s="231">
        <v>7670.55</v>
      </c>
      <c r="EP34" s="231">
        <v>9369.81</v>
      </c>
      <c r="EQ34" s="231">
        <v>-1699.26</v>
      </c>
      <c r="ER34" s="229">
        <v>-0.18140000000000001</v>
      </c>
      <c r="ES34" s="231">
        <v>1987.67</v>
      </c>
      <c r="ET34" s="231">
        <v>1604.21</v>
      </c>
      <c r="EU34" s="231">
        <v>5226.41</v>
      </c>
      <c r="EV34" s="231">
        <v>192361942</v>
      </c>
      <c r="EW34" s="231">
        <v>8818.2900000000009</v>
      </c>
      <c r="EX34" s="231">
        <v>8578.65</v>
      </c>
      <c r="EY34" s="228">
        <v>239.64</v>
      </c>
      <c r="EZ34" s="229">
        <v>2.7900000000000001E-2</v>
      </c>
      <c r="FA34" s="229">
        <v>1.2130000000000001</v>
      </c>
      <c r="FB34" s="227" t="s">
        <v>555</v>
      </c>
      <c r="FC34">
        <f t="shared" si="0"/>
        <v>174</v>
      </c>
    </row>
    <row r="35" spans="1:159" ht="17.25" thickBot="1" x14ac:dyDescent="0.3">
      <c r="A35" s="226">
        <v>46148</v>
      </c>
      <c r="B35" s="227" t="s">
        <v>170</v>
      </c>
      <c r="C35" s="227" t="s">
        <v>191</v>
      </c>
      <c r="D35" s="228">
        <v>2500</v>
      </c>
      <c r="E35" s="228">
        <v>20</v>
      </c>
      <c r="F35" s="228">
        <v>382.15</v>
      </c>
      <c r="G35" s="228">
        <v>370.55</v>
      </c>
      <c r="H35" s="228">
        <v>11.6</v>
      </c>
      <c r="I35" s="229">
        <v>3.1300000000000001E-2</v>
      </c>
      <c r="J35" s="228">
        <v>380.6</v>
      </c>
      <c r="K35" s="228">
        <v>368.25</v>
      </c>
      <c r="L35" s="228">
        <v>12.35</v>
      </c>
      <c r="M35" s="229">
        <v>3.3500000000000002E-2</v>
      </c>
      <c r="N35" s="228">
        <v>382.15</v>
      </c>
      <c r="O35" s="228">
        <v>370.55</v>
      </c>
      <c r="P35" s="228">
        <v>11.6</v>
      </c>
      <c r="Q35" s="229">
        <v>3.1300000000000001E-2</v>
      </c>
      <c r="R35" s="228">
        <v>384.3</v>
      </c>
      <c r="S35" s="228">
        <v>372.45</v>
      </c>
      <c r="T35" s="228">
        <v>11.85</v>
      </c>
      <c r="U35" s="229">
        <v>3.1800000000000002E-2</v>
      </c>
      <c r="V35" s="228">
        <v>385.5</v>
      </c>
      <c r="W35" s="228">
        <v>374.7</v>
      </c>
      <c r="X35" s="228">
        <v>10.8</v>
      </c>
      <c r="Y35" s="229">
        <v>2.8799999999999999E-2</v>
      </c>
      <c r="Z35" s="228">
        <v>1.55</v>
      </c>
      <c r="AA35" s="228">
        <v>2.2999999999999998</v>
      </c>
      <c r="AB35" s="228">
        <v>-0.75</v>
      </c>
      <c r="AC35" s="229">
        <v>4.1000000000000003E-3</v>
      </c>
      <c r="AD35" s="228">
        <v>1.55</v>
      </c>
      <c r="AE35" s="228">
        <v>2.2999999999999998</v>
      </c>
      <c r="AF35" s="228">
        <v>-0.75</v>
      </c>
      <c r="AG35" s="229">
        <v>4.1000000000000003E-3</v>
      </c>
      <c r="AH35" s="228">
        <v>3.7</v>
      </c>
      <c r="AI35" s="228">
        <v>4.2</v>
      </c>
      <c r="AJ35" s="228">
        <v>-0.5</v>
      </c>
      <c r="AK35" s="229">
        <v>9.7000000000000003E-3</v>
      </c>
      <c r="AL35" s="228">
        <v>4.9000000000000004</v>
      </c>
      <c r="AM35" s="228">
        <v>6.45</v>
      </c>
      <c r="AN35" s="228">
        <v>-1.55</v>
      </c>
      <c r="AO35" s="229">
        <v>1.29E-2</v>
      </c>
      <c r="AP35" s="228">
        <v>380.43</v>
      </c>
      <c r="AQ35" s="228">
        <v>383.63</v>
      </c>
      <c r="AR35" s="228">
        <v>0</v>
      </c>
      <c r="AS35" s="228">
        <v>488</v>
      </c>
      <c r="AT35" s="228">
        <v>257</v>
      </c>
      <c r="AU35" s="228">
        <v>231</v>
      </c>
      <c r="AV35" s="229">
        <v>0.89710000000000001</v>
      </c>
      <c r="AW35" s="228">
        <v>463</v>
      </c>
      <c r="AX35" s="228">
        <v>247</v>
      </c>
      <c r="AY35" s="228">
        <v>216</v>
      </c>
      <c r="AZ35" s="229">
        <v>0.87649999999999995</v>
      </c>
      <c r="BA35" s="228">
        <v>23</v>
      </c>
      <c r="BB35" s="228">
        <v>9</v>
      </c>
      <c r="BC35" s="228">
        <v>13</v>
      </c>
      <c r="BD35" s="229">
        <v>1.4842</v>
      </c>
      <c r="BE35" s="228">
        <v>2</v>
      </c>
      <c r="BF35" s="228">
        <v>1</v>
      </c>
      <c r="BG35" s="228">
        <v>1</v>
      </c>
      <c r="BH35" s="229">
        <v>0.73329999999999995</v>
      </c>
      <c r="BI35" s="230">
        <v>2190</v>
      </c>
      <c r="BJ35" s="228">
        <v>995</v>
      </c>
      <c r="BK35" s="230">
        <v>1195</v>
      </c>
      <c r="BL35" s="229">
        <v>1.2013</v>
      </c>
      <c r="BM35" s="228">
        <v>848</v>
      </c>
      <c r="BN35" s="228">
        <v>368</v>
      </c>
      <c r="BO35" s="228">
        <v>480</v>
      </c>
      <c r="BP35" s="229">
        <v>1.3021</v>
      </c>
      <c r="BQ35" s="230">
        <v>3526</v>
      </c>
      <c r="BR35" s="230">
        <v>1621</v>
      </c>
      <c r="BS35" s="230">
        <v>1906</v>
      </c>
      <c r="BT35" s="229">
        <v>1.1759999999999999</v>
      </c>
      <c r="BU35" s="230">
        <v>6515668</v>
      </c>
      <c r="BV35" s="230">
        <v>2875047</v>
      </c>
      <c r="BW35" s="230">
        <v>3640621</v>
      </c>
      <c r="BX35" s="229">
        <v>1.2663</v>
      </c>
      <c r="BY35" s="230">
        <v>1172</v>
      </c>
      <c r="BZ35" s="230">
        <v>1210</v>
      </c>
      <c r="CA35" s="228">
        <v>-38</v>
      </c>
      <c r="CB35" s="229">
        <v>-3.1699999999999999E-2</v>
      </c>
      <c r="CC35" s="230">
        <v>1143</v>
      </c>
      <c r="CD35" s="230">
        <v>1181</v>
      </c>
      <c r="CE35" s="228">
        <v>-38</v>
      </c>
      <c r="CF35" s="229">
        <v>-3.2199999999999999E-2</v>
      </c>
      <c r="CG35" s="228">
        <v>26</v>
      </c>
      <c r="CH35" s="228">
        <v>28</v>
      </c>
      <c r="CI35" s="228">
        <v>-1</v>
      </c>
      <c r="CJ35" s="229">
        <v>-4.1700000000000001E-2</v>
      </c>
      <c r="CK35" s="228">
        <v>2</v>
      </c>
      <c r="CL35" s="228">
        <v>2</v>
      </c>
      <c r="CM35" s="228">
        <v>1</v>
      </c>
      <c r="CN35" s="229">
        <v>0.52939999999999998</v>
      </c>
      <c r="CO35" s="228">
        <v>648</v>
      </c>
      <c r="CP35" s="228">
        <v>856</v>
      </c>
      <c r="CQ35" s="228">
        <v>-208</v>
      </c>
      <c r="CR35" s="229">
        <v>-0.24310000000000001</v>
      </c>
      <c r="CS35" s="228">
        <v>432</v>
      </c>
      <c r="CT35" s="228">
        <v>426</v>
      </c>
      <c r="CU35" s="228">
        <v>6</v>
      </c>
      <c r="CV35" s="229">
        <v>1.41E-2</v>
      </c>
      <c r="CW35" s="230">
        <v>2252</v>
      </c>
      <c r="CX35" s="230">
        <v>2492</v>
      </c>
      <c r="CY35" s="228">
        <v>-240</v>
      </c>
      <c r="CZ35" s="229">
        <v>-9.64E-2</v>
      </c>
      <c r="DA35" s="228">
        <v>33.6</v>
      </c>
      <c r="DB35" s="228">
        <v>36.020000000000003</v>
      </c>
      <c r="DC35" s="228">
        <v>-2.42</v>
      </c>
      <c r="DD35" s="228">
        <v>-2.42</v>
      </c>
      <c r="DE35" s="228">
        <v>36.11</v>
      </c>
      <c r="DF35" s="228">
        <v>35.96</v>
      </c>
      <c r="DG35" s="228">
        <v>-2.5099999999999998</v>
      </c>
      <c r="DH35" s="228">
        <v>0.15</v>
      </c>
      <c r="DI35" s="228">
        <v>33.15</v>
      </c>
      <c r="DJ35" s="228">
        <v>35.549999999999997</v>
      </c>
      <c r="DK35" s="228">
        <v>-2.4</v>
      </c>
      <c r="DL35" s="228">
        <v>-2.4</v>
      </c>
      <c r="DM35" s="228">
        <v>34.770000000000003</v>
      </c>
      <c r="DN35" s="228">
        <v>37.28</v>
      </c>
      <c r="DO35" s="228">
        <v>-2.5099999999999998</v>
      </c>
      <c r="DP35" s="228">
        <v>-2.5099999999999998</v>
      </c>
      <c r="DQ35" s="228">
        <v>0.67</v>
      </c>
      <c r="DR35" s="228">
        <v>0.5</v>
      </c>
      <c r="DS35" s="228">
        <v>0.17</v>
      </c>
      <c r="DT35" s="229">
        <v>0.34</v>
      </c>
      <c r="DU35" s="228">
        <v>380</v>
      </c>
      <c r="DV35" s="228">
        <v>350</v>
      </c>
      <c r="DW35" s="228">
        <v>0.39</v>
      </c>
      <c r="DX35" s="228">
        <v>0.37</v>
      </c>
      <c r="DY35" s="228">
        <v>0.02</v>
      </c>
      <c r="DZ35" s="229">
        <v>5.4100000000000002E-2</v>
      </c>
      <c r="EA35" s="229">
        <v>2.46E-2</v>
      </c>
      <c r="EB35" s="230">
        <v>762500</v>
      </c>
      <c r="EC35" s="229">
        <v>5.5999999999999999E-3</v>
      </c>
      <c r="ED35" s="229">
        <v>2.46E-2</v>
      </c>
      <c r="EE35" s="228">
        <v>3.2</v>
      </c>
      <c r="EF35" s="229">
        <v>8.3999999999999995E-3</v>
      </c>
      <c r="EG35" s="230">
        <v>3088667</v>
      </c>
      <c r="EH35" s="230">
        <v>1257505</v>
      </c>
      <c r="EI35" s="229">
        <v>1.4561999999999999</v>
      </c>
      <c r="EJ35" s="229">
        <v>0.47399999999999998</v>
      </c>
      <c r="EK35" s="231">
        <v>2297.2800000000002</v>
      </c>
      <c r="EL35" s="228">
        <v>823.59</v>
      </c>
      <c r="EM35" s="228">
        <v>485.93</v>
      </c>
      <c r="EN35" s="228">
        <v>19.63</v>
      </c>
      <c r="EO35" s="231">
        <v>3606.8</v>
      </c>
      <c r="EP35" s="231">
        <v>1610.32</v>
      </c>
      <c r="EQ35" s="231">
        <v>1996.48</v>
      </c>
      <c r="ER35" s="229">
        <v>1.2398</v>
      </c>
      <c r="ES35" s="228">
        <v>653.91</v>
      </c>
      <c r="ET35" s="228">
        <v>408.03</v>
      </c>
      <c r="EU35" s="231">
        <v>1172.03</v>
      </c>
      <c r="EV35" s="231">
        <v>108004143</v>
      </c>
      <c r="EW35" s="231">
        <v>2233.98</v>
      </c>
      <c r="EX35" s="231">
        <v>2435.11</v>
      </c>
      <c r="EY35" s="228">
        <v>-201.13</v>
      </c>
      <c r="EZ35" s="229">
        <v>-8.2600000000000007E-2</v>
      </c>
      <c r="FA35" s="229">
        <v>0.54559999999999997</v>
      </c>
      <c r="FB35" s="227" t="s">
        <v>691</v>
      </c>
      <c r="FC35">
        <f t="shared" si="0"/>
        <v>29</v>
      </c>
    </row>
    <row r="36" spans="1:159" ht="17.25" thickBot="1" x14ac:dyDescent="0.3">
      <c r="A36" s="226">
        <v>46148</v>
      </c>
      <c r="B36" s="227" t="s">
        <v>184</v>
      </c>
      <c r="C36" s="227" t="s">
        <v>675</v>
      </c>
      <c r="D36" s="228">
        <v>325</v>
      </c>
      <c r="E36" s="228">
        <v>20</v>
      </c>
      <c r="F36" s="231">
        <v>1812.3</v>
      </c>
      <c r="G36" s="231">
        <v>1805.4</v>
      </c>
      <c r="H36" s="228">
        <v>6.9</v>
      </c>
      <c r="I36" s="229">
        <v>3.8E-3</v>
      </c>
      <c r="J36" s="231">
        <v>1806.6</v>
      </c>
      <c r="K36" s="231">
        <v>1802.3</v>
      </c>
      <c r="L36" s="228">
        <v>4.3</v>
      </c>
      <c r="M36" s="229">
        <v>2.3999999999999998E-3</v>
      </c>
      <c r="N36" s="231">
        <v>1812.3</v>
      </c>
      <c r="O36" s="231">
        <v>1805.4</v>
      </c>
      <c r="P36" s="228">
        <v>6.9</v>
      </c>
      <c r="Q36" s="229">
        <v>3.8E-3</v>
      </c>
      <c r="R36" s="231">
        <v>1800.6</v>
      </c>
      <c r="S36" s="231">
        <v>1784.7</v>
      </c>
      <c r="T36" s="228">
        <v>15.9</v>
      </c>
      <c r="U36" s="229">
        <v>8.8999999999999999E-3</v>
      </c>
      <c r="V36" s="231">
        <v>1787.1</v>
      </c>
      <c r="W36" s="231">
        <v>1770.4</v>
      </c>
      <c r="X36" s="228">
        <v>16.7</v>
      </c>
      <c r="Y36" s="229">
        <v>9.4000000000000004E-3</v>
      </c>
      <c r="Z36" s="228">
        <v>5.7</v>
      </c>
      <c r="AA36" s="228">
        <v>3.1</v>
      </c>
      <c r="AB36" s="228">
        <v>2.6</v>
      </c>
      <c r="AC36" s="229">
        <v>3.2000000000000002E-3</v>
      </c>
      <c r="AD36" s="228">
        <v>5.7</v>
      </c>
      <c r="AE36" s="228">
        <v>3.1</v>
      </c>
      <c r="AF36" s="228">
        <v>2.6</v>
      </c>
      <c r="AG36" s="229">
        <v>3.2000000000000002E-3</v>
      </c>
      <c r="AH36" s="228">
        <v>-6</v>
      </c>
      <c r="AI36" s="228">
        <v>-17.600000000000001</v>
      </c>
      <c r="AJ36" s="228">
        <v>11.6</v>
      </c>
      <c r="AK36" s="229">
        <v>-3.3E-3</v>
      </c>
      <c r="AL36" s="228">
        <v>-19.5</v>
      </c>
      <c r="AM36" s="228">
        <v>-31.9</v>
      </c>
      <c r="AN36" s="228">
        <v>12.4</v>
      </c>
      <c r="AO36" s="229">
        <v>-1.0800000000000001E-2</v>
      </c>
      <c r="AP36" s="231">
        <v>1789.61</v>
      </c>
      <c r="AQ36" s="231">
        <v>1774.61</v>
      </c>
      <c r="AR36" s="228">
        <v>0</v>
      </c>
      <c r="AS36" s="228">
        <v>269</v>
      </c>
      <c r="AT36" s="228">
        <v>145</v>
      </c>
      <c r="AU36" s="228">
        <v>125</v>
      </c>
      <c r="AV36" s="229">
        <v>0.86240000000000006</v>
      </c>
      <c r="AW36" s="228">
        <v>235</v>
      </c>
      <c r="AX36" s="228">
        <v>141</v>
      </c>
      <c r="AY36" s="228">
        <v>94</v>
      </c>
      <c r="AZ36" s="229">
        <v>0.66790000000000005</v>
      </c>
      <c r="BA36" s="228">
        <v>34</v>
      </c>
      <c r="BB36" s="228">
        <v>4</v>
      </c>
      <c r="BC36" s="228">
        <v>31</v>
      </c>
      <c r="BD36" s="229">
        <v>8.6333000000000002</v>
      </c>
      <c r="BE36" s="228">
        <v>0</v>
      </c>
      <c r="BF36" s="228">
        <v>0</v>
      </c>
      <c r="BG36" s="228">
        <v>0</v>
      </c>
      <c r="BH36" s="229">
        <v>0.5</v>
      </c>
      <c r="BI36" s="228">
        <v>484</v>
      </c>
      <c r="BJ36" s="228">
        <v>153</v>
      </c>
      <c r="BK36" s="228">
        <v>331</v>
      </c>
      <c r="BL36" s="229">
        <v>2.161</v>
      </c>
      <c r="BM36" s="228">
        <v>164</v>
      </c>
      <c r="BN36" s="228">
        <v>61</v>
      </c>
      <c r="BO36" s="228">
        <v>103</v>
      </c>
      <c r="BP36" s="229">
        <v>1.6811</v>
      </c>
      <c r="BQ36" s="228">
        <v>918</v>
      </c>
      <c r="BR36" s="228">
        <v>359</v>
      </c>
      <c r="BS36" s="228">
        <v>559</v>
      </c>
      <c r="BT36" s="229">
        <v>1.5562</v>
      </c>
      <c r="BU36" s="230">
        <v>499408</v>
      </c>
      <c r="BV36" s="230">
        <v>500927</v>
      </c>
      <c r="BW36" s="230">
        <v>-1519</v>
      </c>
      <c r="BX36" s="229">
        <v>-3.0000000000000001E-3</v>
      </c>
      <c r="BY36" s="228">
        <v>544</v>
      </c>
      <c r="BZ36" s="228">
        <v>507</v>
      </c>
      <c r="CA36" s="228">
        <v>38</v>
      </c>
      <c r="CB36" s="229">
        <v>7.4300000000000005E-2</v>
      </c>
      <c r="CC36" s="228">
        <v>506</v>
      </c>
      <c r="CD36" s="228">
        <v>493</v>
      </c>
      <c r="CE36" s="228">
        <v>13</v>
      </c>
      <c r="CF36" s="229">
        <v>2.5499999999999998E-2</v>
      </c>
      <c r="CG36" s="228">
        <v>38</v>
      </c>
      <c r="CH36" s="228">
        <v>13</v>
      </c>
      <c r="CI36" s="228">
        <v>25</v>
      </c>
      <c r="CJ36" s="229">
        <v>1.8716999999999999</v>
      </c>
      <c r="CK36" s="228">
        <v>0</v>
      </c>
      <c r="CL36" s="228">
        <v>0</v>
      </c>
      <c r="CM36" s="228">
        <v>0</v>
      </c>
      <c r="CN36" s="229">
        <v>1</v>
      </c>
      <c r="CO36" s="228">
        <v>285</v>
      </c>
      <c r="CP36" s="228">
        <v>201</v>
      </c>
      <c r="CQ36" s="228">
        <v>83</v>
      </c>
      <c r="CR36" s="229">
        <v>0.41370000000000001</v>
      </c>
      <c r="CS36" s="228">
        <v>173</v>
      </c>
      <c r="CT36" s="228">
        <v>129</v>
      </c>
      <c r="CU36" s="228">
        <v>44</v>
      </c>
      <c r="CV36" s="229">
        <v>0.34389999999999998</v>
      </c>
      <c r="CW36" s="230">
        <v>1002</v>
      </c>
      <c r="CX36" s="228">
        <v>837</v>
      </c>
      <c r="CY36" s="228">
        <v>165</v>
      </c>
      <c r="CZ36" s="229">
        <v>0.19739999999999999</v>
      </c>
      <c r="DA36" s="228">
        <v>44.8</v>
      </c>
      <c r="DB36" s="228">
        <v>46.45</v>
      </c>
      <c r="DC36" s="228">
        <v>-1.65</v>
      </c>
      <c r="DD36" s="228">
        <v>-1.65</v>
      </c>
      <c r="DE36" s="228">
        <v>42.81</v>
      </c>
      <c r="DF36" s="228">
        <v>42.92</v>
      </c>
      <c r="DG36" s="228">
        <v>1.99</v>
      </c>
      <c r="DH36" s="228">
        <v>-0.11</v>
      </c>
      <c r="DI36" s="228">
        <v>44.52</v>
      </c>
      <c r="DJ36" s="228">
        <v>46.19</v>
      </c>
      <c r="DK36" s="228">
        <v>-1.67</v>
      </c>
      <c r="DL36" s="228">
        <v>-1.67</v>
      </c>
      <c r="DM36" s="228">
        <v>45.62</v>
      </c>
      <c r="DN36" s="228">
        <v>47.11</v>
      </c>
      <c r="DO36" s="228">
        <v>-1.49</v>
      </c>
      <c r="DP36" s="228">
        <v>-1.49</v>
      </c>
      <c r="DQ36" s="228">
        <v>0.61</v>
      </c>
      <c r="DR36" s="228">
        <v>0.64</v>
      </c>
      <c r="DS36" s="228">
        <v>-0.03</v>
      </c>
      <c r="DT36" s="229">
        <v>-4.6899999999999997E-2</v>
      </c>
      <c r="DU36" s="231">
        <v>1900</v>
      </c>
      <c r="DV36" s="231">
        <v>1800</v>
      </c>
      <c r="DW36" s="228">
        <v>0.34</v>
      </c>
      <c r="DX36" s="228">
        <v>0.4</v>
      </c>
      <c r="DY36" s="228">
        <v>-0.06</v>
      </c>
      <c r="DZ36" s="229">
        <v>-0.15</v>
      </c>
      <c r="EA36" s="229">
        <v>7.0599999999999996E-2</v>
      </c>
      <c r="EB36" s="230">
        <v>74100</v>
      </c>
      <c r="EC36" s="229">
        <v>-6.4999999999999997E-3</v>
      </c>
      <c r="ED36" s="229">
        <v>7.0599999999999996E-2</v>
      </c>
      <c r="EE36" s="228">
        <v>-15</v>
      </c>
      <c r="EF36" s="229">
        <v>-8.3999999999999995E-3</v>
      </c>
      <c r="EG36" s="230">
        <v>148049</v>
      </c>
      <c r="EH36" s="230">
        <v>215646</v>
      </c>
      <c r="EI36" s="229">
        <v>-0.3135</v>
      </c>
      <c r="EJ36" s="229">
        <v>0.2964</v>
      </c>
      <c r="EK36" s="228">
        <v>518.91</v>
      </c>
      <c r="EL36" s="228">
        <v>163.51</v>
      </c>
      <c r="EM36" s="228">
        <v>265.75</v>
      </c>
      <c r="EN36" s="228">
        <v>27.62</v>
      </c>
      <c r="EO36" s="228">
        <v>948.16</v>
      </c>
      <c r="EP36" s="228">
        <v>370.95</v>
      </c>
      <c r="EQ36" s="228">
        <v>577.21</v>
      </c>
      <c r="ER36" s="229">
        <v>1.5561</v>
      </c>
      <c r="ES36" s="228">
        <v>301.82</v>
      </c>
      <c r="ET36" s="228">
        <v>165.31</v>
      </c>
      <c r="EU36" s="228">
        <v>544.16</v>
      </c>
      <c r="EV36" s="231">
        <v>15745076</v>
      </c>
      <c r="EW36" s="231">
        <v>1011.29</v>
      </c>
      <c r="EX36" s="228">
        <v>842.56</v>
      </c>
      <c r="EY36" s="228">
        <v>168.73</v>
      </c>
      <c r="EZ36" s="229">
        <v>0.20030000000000001</v>
      </c>
      <c r="FA36" s="229">
        <v>0.35120000000000001</v>
      </c>
      <c r="FB36" s="227" t="s">
        <v>555</v>
      </c>
      <c r="FC36">
        <f t="shared" si="0"/>
        <v>38</v>
      </c>
    </row>
    <row r="37" spans="1:159" ht="17.25" thickBot="1" x14ac:dyDescent="0.3">
      <c r="A37" s="226">
        <v>46148</v>
      </c>
      <c r="B37" s="227" t="s">
        <v>162</v>
      </c>
      <c r="C37" s="227" t="s">
        <v>192</v>
      </c>
      <c r="D37" s="228">
        <v>25</v>
      </c>
      <c r="E37" s="228">
        <v>20</v>
      </c>
      <c r="F37" s="231">
        <v>36925</v>
      </c>
      <c r="G37" s="231">
        <v>36080</v>
      </c>
      <c r="H37" s="228">
        <v>845</v>
      </c>
      <c r="I37" s="229">
        <v>2.3400000000000001E-2</v>
      </c>
      <c r="J37" s="231">
        <v>36645</v>
      </c>
      <c r="K37" s="231">
        <v>35870</v>
      </c>
      <c r="L37" s="228">
        <v>775</v>
      </c>
      <c r="M37" s="229">
        <v>2.1600000000000001E-2</v>
      </c>
      <c r="N37" s="231">
        <v>36925</v>
      </c>
      <c r="O37" s="231">
        <v>36080</v>
      </c>
      <c r="P37" s="228">
        <v>845</v>
      </c>
      <c r="Q37" s="229">
        <v>2.3400000000000001E-2</v>
      </c>
      <c r="R37" s="231">
        <v>37120</v>
      </c>
      <c r="S37" s="231">
        <v>36285</v>
      </c>
      <c r="T37" s="228">
        <v>835</v>
      </c>
      <c r="U37" s="229">
        <v>2.3E-2</v>
      </c>
      <c r="V37" s="231">
        <v>36940</v>
      </c>
      <c r="W37" s="231">
        <v>36120</v>
      </c>
      <c r="X37" s="228">
        <v>820</v>
      </c>
      <c r="Y37" s="229">
        <v>2.2700000000000001E-2</v>
      </c>
      <c r="Z37" s="228">
        <v>280</v>
      </c>
      <c r="AA37" s="228">
        <v>210</v>
      </c>
      <c r="AB37" s="228">
        <v>70</v>
      </c>
      <c r="AC37" s="229">
        <v>7.6E-3</v>
      </c>
      <c r="AD37" s="228">
        <v>280</v>
      </c>
      <c r="AE37" s="228">
        <v>210</v>
      </c>
      <c r="AF37" s="228">
        <v>70</v>
      </c>
      <c r="AG37" s="229">
        <v>7.6E-3</v>
      </c>
      <c r="AH37" s="228">
        <v>475</v>
      </c>
      <c r="AI37" s="228">
        <v>415</v>
      </c>
      <c r="AJ37" s="228">
        <v>60</v>
      </c>
      <c r="AK37" s="229">
        <v>1.2999999999999999E-2</v>
      </c>
      <c r="AL37" s="228">
        <v>295</v>
      </c>
      <c r="AM37" s="228">
        <v>250</v>
      </c>
      <c r="AN37" s="228">
        <v>45</v>
      </c>
      <c r="AO37" s="229">
        <v>8.0999999999999996E-3</v>
      </c>
      <c r="AP37" s="231">
        <v>36560.120000000003</v>
      </c>
      <c r="AQ37" s="231">
        <v>36752</v>
      </c>
      <c r="AR37" s="228">
        <v>0</v>
      </c>
      <c r="AS37" s="228">
        <v>129</v>
      </c>
      <c r="AT37" s="228">
        <v>70</v>
      </c>
      <c r="AU37" s="228">
        <v>60</v>
      </c>
      <c r="AV37" s="229">
        <v>0.85540000000000005</v>
      </c>
      <c r="AW37" s="228">
        <v>125</v>
      </c>
      <c r="AX37" s="228">
        <v>66</v>
      </c>
      <c r="AY37" s="228">
        <v>59</v>
      </c>
      <c r="AZ37" s="229">
        <v>0.89639999999999997</v>
      </c>
      <c r="BA37" s="228">
        <v>4</v>
      </c>
      <c r="BB37" s="228">
        <v>3</v>
      </c>
      <c r="BC37" s="228">
        <v>1</v>
      </c>
      <c r="BD37" s="229">
        <v>0.33329999999999999</v>
      </c>
      <c r="BE37" s="228">
        <v>0</v>
      </c>
      <c r="BF37" s="228">
        <v>1</v>
      </c>
      <c r="BG37" s="228">
        <v>0</v>
      </c>
      <c r="BH37" s="229">
        <v>-0.5</v>
      </c>
      <c r="BI37" s="228">
        <v>153</v>
      </c>
      <c r="BJ37" s="228">
        <v>108</v>
      </c>
      <c r="BK37" s="228">
        <v>45</v>
      </c>
      <c r="BL37" s="229">
        <v>0.41749999999999998</v>
      </c>
      <c r="BM37" s="228">
        <v>55</v>
      </c>
      <c r="BN37" s="228">
        <v>59</v>
      </c>
      <c r="BO37" s="228">
        <v>-4</v>
      </c>
      <c r="BP37" s="229">
        <v>-6.1100000000000002E-2</v>
      </c>
      <c r="BQ37" s="228">
        <v>337</v>
      </c>
      <c r="BR37" s="228">
        <v>236</v>
      </c>
      <c r="BS37" s="228">
        <v>101</v>
      </c>
      <c r="BT37" s="229">
        <v>0.42720000000000002</v>
      </c>
      <c r="BU37" s="230">
        <v>42253</v>
      </c>
      <c r="BV37" s="230">
        <v>15541</v>
      </c>
      <c r="BW37" s="230">
        <v>26712</v>
      </c>
      <c r="BX37" s="229">
        <v>1.7188000000000001</v>
      </c>
      <c r="BY37" s="228">
        <v>936</v>
      </c>
      <c r="BZ37" s="228">
        <v>924</v>
      </c>
      <c r="CA37" s="228">
        <v>12</v>
      </c>
      <c r="CB37" s="229">
        <v>1.2699999999999999E-2</v>
      </c>
      <c r="CC37" s="228">
        <v>924</v>
      </c>
      <c r="CD37" s="228">
        <v>913</v>
      </c>
      <c r="CE37" s="228">
        <v>11</v>
      </c>
      <c r="CF37" s="229">
        <v>1.21E-2</v>
      </c>
      <c r="CG37" s="228">
        <v>10</v>
      </c>
      <c r="CH37" s="228">
        <v>9</v>
      </c>
      <c r="CI37" s="228">
        <v>1</v>
      </c>
      <c r="CJ37" s="229">
        <v>8.3299999999999999E-2</v>
      </c>
      <c r="CK37" s="228">
        <v>2</v>
      </c>
      <c r="CL37" s="228">
        <v>2</v>
      </c>
      <c r="CM37" s="228">
        <v>0</v>
      </c>
      <c r="CN37" s="229">
        <v>-0.04</v>
      </c>
      <c r="CO37" s="228">
        <v>202</v>
      </c>
      <c r="CP37" s="228">
        <v>179</v>
      </c>
      <c r="CQ37" s="228">
        <v>23</v>
      </c>
      <c r="CR37" s="229">
        <v>0.12820000000000001</v>
      </c>
      <c r="CS37" s="228">
        <v>145</v>
      </c>
      <c r="CT37" s="228">
        <v>142</v>
      </c>
      <c r="CU37" s="228">
        <v>3</v>
      </c>
      <c r="CV37" s="229">
        <v>1.8800000000000001E-2</v>
      </c>
      <c r="CW37" s="230">
        <v>1283</v>
      </c>
      <c r="CX37" s="230">
        <v>1246</v>
      </c>
      <c r="CY37" s="228">
        <v>37</v>
      </c>
      <c r="CZ37" s="229">
        <v>0.03</v>
      </c>
      <c r="DA37" s="228">
        <v>33.6</v>
      </c>
      <c r="DB37" s="228">
        <v>35.340000000000003</v>
      </c>
      <c r="DC37" s="228">
        <v>-1.74</v>
      </c>
      <c r="DD37" s="228">
        <v>-1.74</v>
      </c>
      <c r="DE37" s="228">
        <v>34.57</v>
      </c>
      <c r="DF37" s="228">
        <v>34.51</v>
      </c>
      <c r="DG37" s="228">
        <v>-0.97</v>
      </c>
      <c r="DH37" s="228">
        <v>0.06</v>
      </c>
      <c r="DI37" s="228">
        <v>33.520000000000003</v>
      </c>
      <c r="DJ37" s="228">
        <v>35.619999999999997</v>
      </c>
      <c r="DK37" s="228">
        <v>-2.1</v>
      </c>
      <c r="DL37" s="228">
        <v>-2.1</v>
      </c>
      <c r="DM37" s="228">
        <v>33.840000000000003</v>
      </c>
      <c r="DN37" s="228">
        <v>34.82</v>
      </c>
      <c r="DO37" s="228">
        <v>-0.98</v>
      </c>
      <c r="DP37" s="228">
        <v>-0.98</v>
      </c>
      <c r="DQ37" s="228">
        <v>0.72</v>
      </c>
      <c r="DR37" s="228">
        <v>0.79</v>
      </c>
      <c r="DS37" s="228">
        <v>-7.0000000000000007E-2</v>
      </c>
      <c r="DT37" s="229">
        <v>-8.8599999999999998E-2</v>
      </c>
      <c r="DU37" s="231">
        <v>40000</v>
      </c>
      <c r="DV37" s="231">
        <v>35750</v>
      </c>
      <c r="DW37" s="228">
        <v>0.36</v>
      </c>
      <c r="DX37" s="228">
        <v>0.55000000000000004</v>
      </c>
      <c r="DY37" s="228">
        <v>-0.19</v>
      </c>
      <c r="DZ37" s="229">
        <v>-0.34549999999999997</v>
      </c>
      <c r="EA37" s="229">
        <v>1.26E-2</v>
      </c>
      <c r="EB37" s="230">
        <v>3025</v>
      </c>
      <c r="EC37" s="229">
        <v>5.3E-3</v>
      </c>
      <c r="ED37" s="229">
        <v>1.26E-2</v>
      </c>
      <c r="EE37" s="228">
        <v>191.88</v>
      </c>
      <c r="EF37" s="229">
        <v>5.1999999999999998E-3</v>
      </c>
      <c r="EG37" s="230">
        <v>23814</v>
      </c>
      <c r="EH37" s="230">
        <v>6528</v>
      </c>
      <c r="EI37" s="229">
        <v>2.6480000000000001</v>
      </c>
      <c r="EJ37" s="229">
        <v>0.56359999999999999</v>
      </c>
      <c r="EK37" s="228">
        <v>162.96</v>
      </c>
      <c r="EL37" s="228">
        <v>52.89</v>
      </c>
      <c r="EM37" s="228">
        <v>127.89</v>
      </c>
      <c r="EN37" s="228">
        <v>11.24</v>
      </c>
      <c r="EO37" s="228">
        <v>343.74</v>
      </c>
      <c r="EP37" s="228">
        <v>238.84</v>
      </c>
      <c r="EQ37" s="228">
        <v>104.9</v>
      </c>
      <c r="ER37" s="229">
        <v>0.43919999999999998</v>
      </c>
      <c r="ES37" s="228">
        <v>211.53</v>
      </c>
      <c r="ET37" s="228">
        <v>138.24</v>
      </c>
      <c r="EU37" s="228">
        <v>936.01</v>
      </c>
      <c r="EV37" s="231">
        <v>868841</v>
      </c>
      <c r="EW37" s="231">
        <v>1285.78</v>
      </c>
      <c r="EX37" s="231">
        <v>1226.3</v>
      </c>
      <c r="EY37" s="228">
        <v>59.48</v>
      </c>
      <c r="EZ37" s="229">
        <v>4.8500000000000001E-2</v>
      </c>
      <c r="FA37" s="229">
        <v>0.39989999999999998</v>
      </c>
      <c r="FB37" s="227" t="s">
        <v>555</v>
      </c>
      <c r="FC37">
        <f t="shared" si="0"/>
        <v>12</v>
      </c>
    </row>
    <row r="38" spans="1:159" ht="17.25" thickBot="1" x14ac:dyDescent="0.3">
      <c r="A38" s="226">
        <v>46148</v>
      </c>
      <c r="B38" s="227" t="s">
        <v>193</v>
      </c>
      <c r="C38" s="227" t="s">
        <v>194</v>
      </c>
      <c r="D38" s="228">
        <v>1975</v>
      </c>
      <c r="E38" s="228">
        <v>20</v>
      </c>
      <c r="F38" s="228">
        <v>316.14999999999998</v>
      </c>
      <c r="G38" s="228">
        <v>300.25</v>
      </c>
      <c r="H38" s="228">
        <v>15.9</v>
      </c>
      <c r="I38" s="229">
        <v>5.2999999999999999E-2</v>
      </c>
      <c r="J38" s="228">
        <v>314.05</v>
      </c>
      <c r="K38" s="228">
        <v>298.5</v>
      </c>
      <c r="L38" s="228">
        <v>15.55</v>
      </c>
      <c r="M38" s="229">
        <v>5.21E-2</v>
      </c>
      <c r="N38" s="228">
        <v>316.14999999999998</v>
      </c>
      <c r="O38" s="228">
        <v>300.25</v>
      </c>
      <c r="P38" s="228">
        <v>15.9</v>
      </c>
      <c r="Q38" s="229">
        <v>5.2999999999999999E-2</v>
      </c>
      <c r="R38" s="228">
        <v>317.75</v>
      </c>
      <c r="S38" s="228">
        <v>302.10000000000002</v>
      </c>
      <c r="T38" s="228">
        <v>15.65</v>
      </c>
      <c r="U38" s="229">
        <v>5.1799999999999999E-2</v>
      </c>
      <c r="V38" s="228">
        <v>318.95</v>
      </c>
      <c r="W38" s="228">
        <v>303.10000000000002</v>
      </c>
      <c r="X38" s="228">
        <v>15.85</v>
      </c>
      <c r="Y38" s="229">
        <v>5.2299999999999999E-2</v>
      </c>
      <c r="Z38" s="228">
        <v>2.1</v>
      </c>
      <c r="AA38" s="228">
        <v>1.75</v>
      </c>
      <c r="AB38" s="228">
        <v>0.35</v>
      </c>
      <c r="AC38" s="229">
        <v>6.7000000000000002E-3</v>
      </c>
      <c r="AD38" s="228">
        <v>2.1</v>
      </c>
      <c r="AE38" s="228">
        <v>1.75</v>
      </c>
      <c r="AF38" s="228">
        <v>0.35</v>
      </c>
      <c r="AG38" s="229">
        <v>6.7000000000000002E-3</v>
      </c>
      <c r="AH38" s="228">
        <v>3.7</v>
      </c>
      <c r="AI38" s="228">
        <v>3.6</v>
      </c>
      <c r="AJ38" s="228">
        <v>0.1</v>
      </c>
      <c r="AK38" s="229">
        <v>1.18E-2</v>
      </c>
      <c r="AL38" s="228">
        <v>4.9000000000000004</v>
      </c>
      <c r="AM38" s="228">
        <v>4.5999999999999996</v>
      </c>
      <c r="AN38" s="228">
        <v>0.3</v>
      </c>
      <c r="AO38" s="229">
        <v>1.5599999999999999E-2</v>
      </c>
      <c r="AP38" s="228">
        <v>312.06</v>
      </c>
      <c r="AQ38" s="228">
        <v>313.64</v>
      </c>
      <c r="AR38" s="228">
        <v>0</v>
      </c>
      <c r="AS38" s="228">
        <v>399</v>
      </c>
      <c r="AT38" s="228">
        <v>219</v>
      </c>
      <c r="AU38" s="228">
        <v>181</v>
      </c>
      <c r="AV38" s="229">
        <v>0.8266</v>
      </c>
      <c r="AW38" s="228">
        <v>374</v>
      </c>
      <c r="AX38" s="228">
        <v>202</v>
      </c>
      <c r="AY38" s="228">
        <v>173</v>
      </c>
      <c r="AZ38" s="229">
        <v>0.85629999999999995</v>
      </c>
      <c r="BA38" s="228">
        <v>23</v>
      </c>
      <c r="BB38" s="228">
        <v>15</v>
      </c>
      <c r="BC38" s="228">
        <v>7</v>
      </c>
      <c r="BD38" s="229">
        <v>0.49790000000000001</v>
      </c>
      <c r="BE38" s="228">
        <v>3</v>
      </c>
      <c r="BF38" s="228">
        <v>2</v>
      </c>
      <c r="BG38" s="228">
        <v>1</v>
      </c>
      <c r="BH38" s="229">
        <v>0.3125</v>
      </c>
      <c r="BI38" s="230">
        <v>1758</v>
      </c>
      <c r="BJ38" s="228">
        <v>631</v>
      </c>
      <c r="BK38" s="230">
        <v>1127</v>
      </c>
      <c r="BL38" s="229">
        <v>1.7847999999999999</v>
      </c>
      <c r="BM38" s="228">
        <v>733</v>
      </c>
      <c r="BN38" s="228">
        <v>530</v>
      </c>
      <c r="BO38" s="228">
        <v>203</v>
      </c>
      <c r="BP38" s="229">
        <v>0.38229999999999997</v>
      </c>
      <c r="BQ38" s="230">
        <v>2890</v>
      </c>
      <c r="BR38" s="230">
        <v>1380</v>
      </c>
      <c r="BS38" s="230">
        <v>1510</v>
      </c>
      <c r="BT38" s="229">
        <v>1.0941000000000001</v>
      </c>
      <c r="BU38" s="230">
        <v>18114169</v>
      </c>
      <c r="BV38" s="230">
        <v>13144175</v>
      </c>
      <c r="BW38" s="230">
        <v>4969994</v>
      </c>
      <c r="BX38" s="229">
        <v>0.37809999999999999</v>
      </c>
      <c r="BY38" s="230">
        <v>1782</v>
      </c>
      <c r="BZ38" s="230">
        <v>1786</v>
      </c>
      <c r="CA38" s="228">
        <v>-3</v>
      </c>
      <c r="CB38" s="229">
        <v>-1.8E-3</v>
      </c>
      <c r="CC38" s="230">
        <v>1622</v>
      </c>
      <c r="CD38" s="230">
        <v>1625</v>
      </c>
      <c r="CE38" s="228">
        <v>-2</v>
      </c>
      <c r="CF38" s="229">
        <v>-1.5E-3</v>
      </c>
      <c r="CG38" s="228">
        <v>158</v>
      </c>
      <c r="CH38" s="228">
        <v>158</v>
      </c>
      <c r="CI38" s="228">
        <v>-1</v>
      </c>
      <c r="CJ38" s="229">
        <v>-5.1000000000000004E-3</v>
      </c>
      <c r="CK38" s="228">
        <v>3</v>
      </c>
      <c r="CL38" s="228">
        <v>3</v>
      </c>
      <c r="CM38" s="228">
        <v>0</v>
      </c>
      <c r="CN38" s="229">
        <v>0</v>
      </c>
      <c r="CO38" s="228">
        <v>729</v>
      </c>
      <c r="CP38" s="228">
        <v>681</v>
      </c>
      <c r="CQ38" s="228">
        <v>48</v>
      </c>
      <c r="CR38" s="229">
        <v>6.9800000000000001E-2</v>
      </c>
      <c r="CS38" s="228">
        <v>489</v>
      </c>
      <c r="CT38" s="228">
        <v>457</v>
      </c>
      <c r="CU38" s="228">
        <v>32</v>
      </c>
      <c r="CV38" s="229">
        <v>6.9800000000000001E-2</v>
      </c>
      <c r="CW38" s="230">
        <v>3000</v>
      </c>
      <c r="CX38" s="230">
        <v>2924</v>
      </c>
      <c r="CY38" s="228">
        <v>76</v>
      </c>
      <c r="CZ38" s="229">
        <v>2.6100000000000002E-2</v>
      </c>
      <c r="DA38" s="228">
        <v>42.24</v>
      </c>
      <c r="DB38" s="228">
        <v>42.69</v>
      </c>
      <c r="DC38" s="228">
        <v>-0.45</v>
      </c>
      <c r="DD38" s="228">
        <v>-0.45</v>
      </c>
      <c r="DE38" s="228">
        <v>37.229999999999997</v>
      </c>
      <c r="DF38" s="228">
        <v>36.67</v>
      </c>
      <c r="DG38" s="228">
        <v>5.01</v>
      </c>
      <c r="DH38" s="228">
        <v>0.56000000000000005</v>
      </c>
      <c r="DI38" s="228">
        <v>42.23</v>
      </c>
      <c r="DJ38" s="228">
        <v>42.79</v>
      </c>
      <c r="DK38" s="228">
        <v>-0.56000000000000005</v>
      </c>
      <c r="DL38" s="228">
        <v>-0.56000000000000005</v>
      </c>
      <c r="DM38" s="228">
        <v>42.26</v>
      </c>
      <c r="DN38" s="228">
        <v>42.57</v>
      </c>
      <c r="DO38" s="228">
        <v>-0.31</v>
      </c>
      <c r="DP38" s="228">
        <v>-0.31</v>
      </c>
      <c r="DQ38" s="228">
        <v>0.67</v>
      </c>
      <c r="DR38" s="228">
        <v>0.67</v>
      </c>
      <c r="DS38" s="228">
        <v>0</v>
      </c>
      <c r="DT38" s="229">
        <v>0</v>
      </c>
      <c r="DU38" s="228">
        <v>350</v>
      </c>
      <c r="DV38" s="228">
        <v>310</v>
      </c>
      <c r="DW38" s="228">
        <v>0.42</v>
      </c>
      <c r="DX38" s="228">
        <v>0.84</v>
      </c>
      <c r="DY38" s="228">
        <v>-0.42</v>
      </c>
      <c r="DZ38" s="229">
        <v>-0.5</v>
      </c>
      <c r="EA38" s="229">
        <v>0.09</v>
      </c>
      <c r="EB38" s="230">
        <v>5097475</v>
      </c>
      <c r="EC38" s="229">
        <v>5.1000000000000004E-3</v>
      </c>
      <c r="ED38" s="229">
        <v>0.09</v>
      </c>
      <c r="EE38" s="228">
        <v>1.58</v>
      </c>
      <c r="EF38" s="229">
        <v>5.1000000000000004E-3</v>
      </c>
      <c r="EG38" s="230">
        <v>8901228</v>
      </c>
      <c r="EH38" s="230">
        <v>6848497</v>
      </c>
      <c r="EI38" s="229">
        <v>0.29970000000000002</v>
      </c>
      <c r="EJ38" s="229">
        <v>0.4914</v>
      </c>
      <c r="EK38" s="231">
        <v>1853.02</v>
      </c>
      <c r="EL38" s="228">
        <v>717.31</v>
      </c>
      <c r="EM38" s="228">
        <v>394.27</v>
      </c>
      <c r="EN38" s="228">
        <v>45.6</v>
      </c>
      <c r="EO38" s="231">
        <v>2964.6</v>
      </c>
      <c r="EP38" s="231">
        <v>1356.86</v>
      </c>
      <c r="EQ38" s="231">
        <v>1607.74</v>
      </c>
      <c r="ER38" s="229">
        <v>1.1849000000000001</v>
      </c>
      <c r="ES38" s="228">
        <v>757.07</v>
      </c>
      <c r="ET38" s="228">
        <v>461.99</v>
      </c>
      <c r="EU38" s="231">
        <v>1783.29</v>
      </c>
      <c r="EV38" s="231">
        <v>306020745</v>
      </c>
      <c r="EW38" s="231">
        <v>3002.34</v>
      </c>
      <c r="EX38" s="231">
        <v>2823.1</v>
      </c>
      <c r="EY38" s="228">
        <v>179.24</v>
      </c>
      <c r="EZ38" s="229">
        <v>6.3500000000000001E-2</v>
      </c>
      <c r="FA38" s="229">
        <v>0.31009999999999999</v>
      </c>
      <c r="FB38" s="227" t="s">
        <v>691</v>
      </c>
      <c r="FC38">
        <f t="shared" si="0"/>
        <v>160</v>
      </c>
    </row>
    <row r="39" spans="1:159" ht="17.25" thickBot="1" x14ac:dyDescent="0.3">
      <c r="A39" s="226">
        <v>46148</v>
      </c>
      <c r="B39" s="227" t="s">
        <v>168</v>
      </c>
      <c r="C39" s="227" t="s">
        <v>195</v>
      </c>
      <c r="D39" s="228">
        <v>125</v>
      </c>
      <c r="E39" s="228">
        <v>20</v>
      </c>
      <c r="F39" s="231">
        <v>5795.5</v>
      </c>
      <c r="G39" s="231">
        <v>5843</v>
      </c>
      <c r="H39" s="228">
        <v>-47.5</v>
      </c>
      <c r="I39" s="229">
        <v>-8.0999999999999996E-3</v>
      </c>
      <c r="J39" s="231">
        <v>5783</v>
      </c>
      <c r="K39" s="231">
        <v>5834.5</v>
      </c>
      <c r="L39" s="228">
        <v>-51.5</v>
      </c>
      <c r="M39" s="229">
        <v>-8.8000000000000005E-3</v>
      </c>
      <c r="N39" s="231">
        <v>5795.5</v>
      </c>
      <c r="O39" s="231">
        <v>5843</v>
      </c>
      <c r="P39" s="228">
        <v>-47.5</v>
      </c>
      <c r="Q39" s="229">
        <v>-8.0999999999999996E-3</v>
      </c>
      <c r="R39" s="231">
        <v>5836.5</v>
      </c>
      <c r="S39" s="231">
        <v>5877</v>
      </c>
      <c r="T39" s="228">
        <v>-40.5</v>
      </c>
      <c r="U39" s="229">
        <v>-6.8999999999999999E-3</v>
      </c>
      <c r="V39" s="231">
        <v>5853</v>
      </c>
      <c r="W39" s="231">
        <v>5905.5</v>
      </c>
      <c r="X39" s="228">
        <v>-52.5</v>
      </c>
      <c r="Y39" s="229">
        <v>-8.8999999999999999E-3</v>
      </c>
      <c r="Z39" s="228">
        <v>12.5</v>
      </c>
      <c r="AA39" s="228">
        <v>8.5</v>
      </c>
      <c r="AB39" s="228">
        <v>4</v>
      </c>
      <c r="AC39" s="229">
        <v>2.2000000000000001E-3</v>
      </c>
      <c r="AD39" s="228">
        <v>12.5</v>
      </c>
      <c r="AE39" s="228">
        <v>8.5</v>
      </c>
      <c r="AF39" s="228">
        <v>4</v>
      </c>
      <c r="AG39" s="229">
        <v>2.2000000000000001E-3</v>
      </c>
      <c r="AH39" s="228">
        <v>53.5</v>
      </c>
      <c r="AI39" s="228">
        <v>42.5</v>
      </c>
      <c r="AJ39" s="228">
        <v>11</v>
      </c>
      <c r="AK39" s="229">
        <v>9.2999999999999992E-3</v>
      </c>
      <c r="AL39" s="228">
        <v>70</v>
      </c>
      <c r="AM39" s="228">
        <v>71</v>
      </c>
      <c r="AN39" s="228">
        <v>-1</v>
      </c>
      <c r="AO39" s="229">
        <v>1.21E-2</v>
      </c>
      <c r="AP39" s="231">
        <v>5811.62</v>
      </c>
      <c r="AQ39" s="231">
        <v>5854.94</v>
      </c>
      <c r="AR39" s="228">
        <v>0</v>
      </c>
      <c r="AS39" s="228">
        <v>354</v>
      </c>
      <c r="AT39" s="228">
        <v>419</v>
      </c>
      <c r="AU39" s="228">
        <v>-65</v>
      </c>
      <c r="AV39" s="229">
        <v>-0.1552</v>
      </c>
      <c r="AW39" s="228">
        <v>344</v>
      </c>
      <c r="AX39" s="228">
        <v>415</v>
      </c>
      <c r="AY39" s="228">
        <v>-71</v>
      </c>
      <c r="AZ39" s="229">
        <v>-0.17100000000000001</v>
      </c>
      <c r="BA39" s="228">
        <v>9</v>
      </c>
      <c r="BB39" s="228">
        <v>4</v>
      </c>
      <c r="BC39" s="228">
        <v>5</v>
      </c>
      <c r="BD39" s="229">
        <v>1.4694</v>
      </c>
      <c r="BE39" s="228">
        <v>1</v>
      </c>
      <c r="BF39" s="228">
        <v>0</v>
      </c>
      <c r="BG39" s="228">
        <v>1</v>
      </c>
      <c r="BH39" s="229">
        <v>2</v>
      </c>
      <c r="BI39" s="228">
        <v>689</v>
      </c>
      <c r="BJ39" s="228">
        <v>725</v>
      </c>
      <c r="BK39" s="228">
        <v>-36</v>
      </c>
      <c r="BL39" s="229">
        <v>-5.0200000000000002E-2</v>
      </c>
      <c r="BM39" s="228">
        <v>513</v>
      </c>
      <c r="BN39" s="228">
        <v>344</v>
      </c>
      <c r="BO39" s="228">
        <v>169</v>
      </c>
      <c r="BP39" s="229">
        <v>0.49009999999999998</v>
      </c>
      <c r="BQ39" s="230">
        <v>1555</v>
      </c>
      <c r="BR39" s="230">
        <v>1488</v>
      </c>
      <c r="BS39" s="228">
        <v>67</v>
      </c>
      <c r="BT39" s="229">
        <v>4.53E-2</v>
      </c>
      <c r="BU39" s="230">
        <v>460062</v>
      </c>
      <c r="BV39" s="230">
        <v>748729</v>
      </c>
      <c r="BW39" s="230">
        <v>-288667</v>
      </c>
      <c r="BX39" s="229">
        <v>-0.38550000000000001</v>
      </c>
      <c r="BY39" s="230">
        <v>1573</v>
      </c>
      <c r="BZ39" s="230">
        <v>1587</v>
      </c>
      <c r="CA39" s="228">
        <v>-15</v>
      </c>
      <c r="CB39" s="229">
        <v>-9.4000000000000004E-3</v>
      </c>
      <c r="CC39" s="230">
        <v>1372</v>
      </c>
      <c r="CD39" s="230">
        <v>1392</v>
      </c>
      <c r="CE39" s="228">
        <v>-20</v>
      </c>
      <c r="CF39" s="229">
        <v>-1.46E-2</v>
      </c>
      <c r="CG39" s="228">
        <v>200</v>
      </c>
      <c r="CH39" s="228">
        <v>195</v>
      </c>
      <c r="CI39" s="228">
        <v>5</v>
      </c>
      <c r="CJ39" s="229">
        <v>2.4899999999999999E-2</v>
      </c>
      <c r="CK39" s="228">
        <v>1</v>
      </c>
      <c r="CL39" s="228">
        <v>0</v>
      </c>
      <c r="CM39" s="228">
        <v>1</v>
      </c>
      <c r="CN39" s="229">
        <v>1.4</v>
      </c>
      <c r="CO39" s="228">
        <v>496</v>
      </c>
      <c r="CP39" s="228">
        <v>454</v>
      </c>
      <c r="CQ39" s="228">
        <v>42</v>
      </c>
      <c r="CR39" s="229">
        <v>9.3399999999999997E-2</v>
      </c>
      <c r="CS39" s="228">
        <v>387</v>
      </c>
      <c r="CT39" s="228">
        <v>290</v>
      </c>
      <c r="CU39" s="228">
        <v>97</v>
      </c>
      <c r="CV39" s="229">
        <v>0.3342</v>
      </c>
      <c r="CW39" s="230">
        <v>2455</v>
      </c>
      <c r="CX39" s="230">
        <v>2331</v>
      </c>
      <c r="CY39" s="228">
        <v>124</v>
      </c>
      <c r="CZ39" s="229">
        <v>5.33E-2</v>
      </c>
      <c r="DA39" s="228">
        <v>29.78</v>
      </c>
      <c r="DB39" s="228">
        <v>28.22</v>
      </c>
      <c r="DC39" s="228">
        <v>1.56</v>
      </c>
      <c r="DD39" s="228">
        <v>1.56</v>
      </c>
      <c r="DE39" s="228">
        <v>24.64</v>
      </c>
      <c r="DF39" s="228">
        <v>24.67</v>
      </c>
      <c r="DG39" s="228">
        <v>5.14</v>
      </c>
      <c r="DH39" s="228">
        <v>-0.03</v>
      </c>
      <c r="DI39" s="228">
        <v>29.28</v>
      </c>
      <c r="DJ39" s="228">
        <v>28.1</v>
      </c>
      <c r="DK39" s="228">
        <v>1.18</v>
      </c>
      <c r="DL39" s="228">
        <v>1.18</v>
      </c>
      <c r="DM39" s="228">
        <v>30.45</v>
      </c>
      <c r="DN39" s="228">
        <v>28.45</v>
      </c>
      <c r="DO39" s="228">
        <v>2</v>
      </c>
      <c r="DP39" s="228">
        <v>2</v>
      </c>
      <c r="DQ39" s="228">
        <v>0.78</v>
      </c>
      <c r="DR39" s="228">
        <v>0.64</v>
      </c>
      <c r="DS39" s="228">
        <v>0.14000000000000001</v>
      </c>
      <c r="DT39" s="229">
        <v>0.21879999999999999</v>
      </c>
      <c r="DU39" s="231">
        <v>6000</v>
      </c>
      <c r="DV39" s="231">
        <v>5500</v>
      </c>
      <c r="DW39" s="228">
        <v>0.75</v>
      </c>
      <c r="DX39" s="228">
        <v>0.47</v>
      </c>
      <c r="DY39" s="228">
        <v>0.28000000000000003</v>
      </c>
      <c r="DZ39" s="229">
        <v>0.59570000000000001</v>
      </c>
      <c r="EA39" s="229">
        <v>0.12770000000000001</v>
      </c>
      <c r="EB39" s="230">
        <v>337250</v>
      </c>
      <c r="EC39" s="229">
        <v>7.1000000000000004E-3</v>
      </c>
      <c r="ED39" s="229">
        <v>0.12770000000000001</v>
      </c>
      <c r="EE39" s="228">
        <v>43.32</v>
      </c>
      <c r="EF39" s="229">
        <v>7.4999999999999997E-3</v>
      </c>
      <c r="EG39" s="230">
        <v>277299</v>
      </c>
      <c r="EH39" s="230">
        <v>510165</v>
      </c>
      <c r="EI39" s="229">
        <v>-0.45650000000000002</v>
      </c>
      <c r="EJ39" s="229">
        <v>0.60270000000000001</v>
      </c>
      <c r="EK39" s="228">
        <v>722.39</v>
      </c>
      <c r="EL39" s="228">
        <v>501.3</v>
      </c>
      <c r="EM39" s="228">
        <v>354.66</v>
      </c>
      <c r="EN39" s="228">
        <v>36.78</v>
      </c>
      <c r="EO39" s="231">
        <v>1578.35</v>
      </c>
      <c r="EP39" s="231">
        <v>1521.39</v>
      </c>
      <c r="EQ39" s="228">
        <v>56.96</v>
      </c>
      <c r="ER39" s="229">
        <v>3.7400000000000003E-2</v>
      </c>
      <c r="ES39" s="228">
        <v>516.70000000000005</v>
      </c>
      <c r="ET39" s="228">
        <v>368.05</v>
      </c>
      <c r="EU39" s="231">
        <v>1573.96</v>
      </c>
      <c r="EV39" s="231">
        <v>14553559</v>
      </c>
      <c r="EW39" s="231">
        <v>2458.71</v>
      </c>
      <c r="EX39" s="231">
        <v>2348.62</v>
      </c>
      <c r="EY39" s="228">
        <v>110.09</v>
      </c>
      <c r="EZ39" s="229">
        <v>4.6899999999999997E-2</v>
      </c>
      <c r="FA39" s="229">
        <v>0.29110000000000003</v>
      </c>
      <c r="FB39" s="227" t="s">
        <v>567</v>
      </c>
      <c r="FC39">
        <f t="shared" si="0"/>
        <v>201</v>
      </c>
    </row>
    <row r="40" spans="1:159" ht="17.25" thickBot="1" x14ac:dyDescent="0.3">
      <c r="A40" s="226">
        <v>46148</v>
      </c>
      <c r="B40" s="227" t="s">
        <v>175</v>
      </c>
      <c r="C40" s="227" t="s">
        <v>583</v>
      </c>
      <c r="D40" s="228">
        <v>375</v>
      </c>
      <c r="E40" s="228">
        <v>20</v>
      </c>
      <c r="F40" s="231">
        <v>3860.5</v>
      </c>
      <c r="G40" s="231">
        <v>3744</v>
      </c>
      <c r="H40" s="228">
        <v>116.5</v>
      </c>
      <c r="I40" s="229">
        <v>3.1099999999999999E-2</v>
      </c>
      <c r="J40" s="231">
        <v>3852.1</v>
      </c>
      <c r="K40" s="231">
        <v>3726.2</v>
      </c>
      <c r="L40" s="228">
        <v>125.9</v>
      </c>
      <c r="M40" s="229">
        <v>3.3799999999999997E-2</v>
      </c>
      <c r="N40" s="231">
        <v>3860.5</v>
      </c>
      <c r="O40" s="231">
        <v>3744</v>
      </c>
      <c r="P40" s="228">
        <v>116.5</v>
      </c>
      <c r="Q40" s="229">
        <v>3.1099999999999999E-2</v>
      </c>
      <c r="R40" s="231">
        <v>3874.9</v>
      </c>
      <c r="S40" s="231">
        <v>3760.1</v>
      </c>
      <c r="T40" s="228">
        <v>114.8</v>
      </c>
      <c r="U40" s="229">
        <v>3.0499999999999999E-2</v>
      </c>
      <c r="V40" s="231">
        <v>3889.3</v>
      </c>
      <c r="W40" s="231">
        <v>3788</v>
      </c>
      <c r="X40" s="228">
        <v>101.3</v>
      </c>
      <c r="Y40" s="229">
        <v>2.6700000000000002E-2</v>
      </c>
      <c r="Z40" s="228">
        <v>8.4</v>
      </c>
      <c r="AA40" s="228">
        <v>17.8</v>
      </c>
      <c r="AB40" s="228">
        <v>-9.4</v>
      </c>
      <c r="AC40" s="229">
        <v>2.2000000000000001E-3</v>
      </c>
      <c r="AD40" s="228">
        <v>8.4</v>
      </c>
      <c r="AE40" s="228">
        <v>17.8</v>
      </c>
      <c r="AF40" s="228">
        <v>-9.4</v>
      </c>
      <c r="AG40" s="229">
        <v>2.2000000000000001E-3</v>
      </c>
      <c r="AH40" s="228">
        <v>22.8</v>
      </c>
      <c r="AI40" s="228">
        <v>33.9</v>
      </c>
      <c r="AJ40" s="228">
        <v>-11.1</v>
      </c>
      <c r="AK40" s="229">
        <v>5.8999999999999999E-3</v>
      </c>
      <c r="AL40" s="228">
        <v>37.200000000000003</v>
      </c>
      <c r="AM40" s="228">
        <v>61.8</v>
      </c>
      <c r="AN40" s="228">
        <v>-24.6</v>
      </c>
      <c r="AO40" s="229">
        <v>9.7000000000000003E-3</v>
      </c>
      <c r="AP40" s="231">
        <v>3822.62</v>
      </c>
      <c r="AQ40" s="231">
        <v>3833.58</v>
      </c>
      <c r="AR40" s="228">
        <v>0</v>
      </c>
      <c r="AS40" s="230">
        <v>1091</v>
      </c>
      <c r="AT40" s="228">
        <v>762</v>
      </c>
      <c r="AU40" s="228">
        <v>328</v>
      </c>
      <c r="AV40" s="229">
        <v>0.43080000000000002</v>
      </c>
      <c r="AW40" s="228">
        <v>962</v>
      </c>
      <c r="AX40" s="228">
        <v>693</v>
      </c>
      <c r="AY40" s="228">
        <v>269</v>
      </c>
      <c r="AZ40" s="229">
        <v>0.3876</v>
      </c>
      <c r="BA40" s="228">
        <v>103</v>
      </c>
      <c r="BB40" s="228">
        <v>54</v>
      </c>
      <c r="BC40" s="228">
        <v>48</v>
      </c>
      <c r="BD40" s="229">
        <v>0.89100000000000001</v>
      </c>
      <c r="BE40" s="228">
        <v>26</v>
      </c>
      <c r="BF40" s="228">
        <v>14</v>
      </c>
      <c r="BG40" s="228">
        <v>11</v>
      </c>
      <c r="BH40" s="229">
        <v>0.77</v>
      </c>
      <c r="BI40" s="230">
        <v>4781</v>
      </c>
      <c r="BJ40" s="230">
        <v>3201</v>
      </c>
      <c r="BK40" s="230">
        <v>1580</v>
      </c>
      <c r="BL40" s="229">
        <v>0.49349999999999999</v>
      </c>
      <c r="BM40" s="230">
        <v>3097</v>
      </c>
      <c r="BN40" s="230">
        <v>2086</v>
      </c>
      <c r="BO40" s="230">
        <v>1011</v>
      </c>
      <c r="BP40" s="229">
        <v>0.48470000000000002</v>
      </c>
      <c r="BQ40" s="230">
        <v>8968</v>
      </c>
      <c r="BR40" s="230">
        <v>6049</v>
      </c>
      <c r="BS40" s="230">
        <v>2919</v>
      </c>
      <c r="BT40" s="229">
        <v>0.48259999999999997</v>
      </c>
      <c r="BU40" s="230">
        <v>3772261</v>
      </c>
      <c r="BV40" s="230">
        <v>3120952</v>
      </c>
      <c r="BW40" s="230">
        <v>651309</v>
      </c>
      <c r="BX40" s="229">
        <v>0.2087</v>
      </c>
      <c r="BY40" s="230">
        <v>3065</v>
      </c>
      <c r="BZ40" s="230">
        <v>3017</v>
      </c>
      <c r="CA40" s="228">
        <v>48</v>
      </c>
      <c r="CB40" s="229">
        <v>1.5900000000000001E-2</v>
      </c>
      <c r="CC40" s="230">
        <v>2806</v>
      </c>
      <c r="CD40" s="230">
        <v>2769</v>
      </c>
      <c r="CE40" s="228">
        <v>38</v>
      </c>
      <c r="CF40" s="229">
        <v>1.3599999999999999E-2</v>
      </c>
      <c r="CG40" s="228">
        <v>248</v>
      </c>
      <c r="CH40" s="228">
        <v>235</v>
      </c>
      <c r="CI40" s="228">
        <v>13</v>
      </c>
      <c r="CJ40" s="229">
        <v>5.4199999999999998E-2</v>
      </c>
      <c r="CK40" s="228">
        <v>11</v>
      </c>
      <c r="CL40" s="228">
        <v>13</v>
      </c>
      <c r="CM40" s="228">
        <v>-3</v>
      </c>
      <c r="CN40" s="229">
        <v>-0.18970000000000001</v>
      </c>
      <c r="CO40" s="230">
        <v>2197</v>
      </c>
      <c r="CP40" s="230">
        <v>1976</v>
      </c>
      <c r="CQ40" s="228">
        <v>221</v>
      </c>
      <c r="CR40" s="229">
        <v>0.1118</v>
      </c>
      <c r="CS40" s="230">
        <v>2047</v>
      </c>
      <c r="CT40" s="230">
        <v>1679</v>
      </c>
      <c r="CU40" s="228">
        <v>368</v>
      </c>
      <c r="CV40" s="229">
        <v>0.21920000000000001</v>
      </c>
      <c r="CW40" s="230">
        <v>7309</v>
      </c>
      <c r="CX40" s="230">
        <v>6672</v>
      </c>
      <c r="CY40" s="228">
        <v>637</v>
      </c>
      <c r="CZ40" s="229">
        <v>9.5399999999999999E-2</v>
      </c>
      <c r="DA40" s="228">
        <v>42.99</v>
      </c>
      <c r="DB40" s="228">
        <v>43.48</v>
      </c>
      <c r="DC40" s="228">
        <v>-0.49</v>
      </c>
      <c r="DD40" s="228">
        <v>-0.49</v>
      </c>
      <c r="DE40" s="228">
        <v>57.99</v>
      </c>
      <c r="DF40" s="228">
        <v>57.97</v>
      </c>
      <c r="DG40" s="228">
        <v>-15</v>
      </c>
      <c r="DH40" s="228">
        <v>0.02</v>
      </c>
      <c r="DI40" s="228">
        <v>41.81</v>
      </c>
      <c r="DJ40" s="228">
        <v>42.6</v>
      </c>
      <c r="DK40" s="228">
        <v>-0.79</v>
      </c>
      <c r="DL40" s="228">
        <v>-0.79</v>
      </c>
      <c r="DM40" s="228">
        <v>44.81</v>
      </c>
      <c r="DN40" s="228">
        <v>44.83</v>
      </c>
      <c r="DO40" s="228">
        <v>-0.02</v>
      </c>
      <c r="DP40" s="228">
        <v>-0.02</v>
      </c>
      <c r="DQ40" s="228">
        <v>0.93</v>
      </c>
      <c r="DR40" s="228">
        <v>0.85</v>
      </c>
      <c r="DS40" s="228">
        <v>0.08</v>
      </c>
      <c r="DT40" s="229">
        <v>9.4100000000000003E-2</v>
      </c>
      <c r="DU40" s="231">
        <v>3600</v>
      </c>
      <c r="DV40" s="231">
        <v>3500</v>
      </c>
      <c r="DW40" s="228">
        <v>0.65</v>
      </c>
      <c r="DX40" s="228">
        <v>0.65</v>
      </c>
      <c r="DY40" s="228">
        <v>0</v>
      </c>
      <c r="DZ40" s="229">
        <v>0</v>
      </c>
      <c r="EA40" s="229">
        <v>8.4400000000000003E-2</v>
      </c>
      <c r="EB40" s="230">
        <v>643800</v>
      </c>
      <c r="EC40" s="229">
        <v>3.7000000000000002E-3</v>
      </c>
      <c r="ED40" s="229">
        <v>8.4400000000000003E-2</v>
      </c>
      <c r="EE40" s="228">
        <v>10.96</v>
      </c>
      <c r="EF40" s="229">
        <v>2.8999999999999998E-3</v>
      </c>
      <c r="EG40" s="230">
        <v>1181923</v>
      </c>
      <c r="EH40" s="230">
        <v>1028899</v>
      </c>
      <c r="EI40" s="229">
        <v>0.1487</v>
      </c>
      <c r="EJ40" s="229">
        <v>0.31330000000000002</v>
      </c>
      <c r="EK40" s="231">
        <v>4971.57</v>
      </c>
      <c r="EL40" s="231">
        <v>2936.58</v>
      </c>
      <c r="EM40" s="231">
        <v>1068.3699999999999</v>
      </c>
      <c r="EN40" s="228">
        <v>59.68</v>
      </c>
      <c r="EO40" s="231">
        <v>8976.52</v>
      </c>
      <c r="EP40" s="231">
        <v>5986.64</v>
      </c>
      <c r="EQ40" s="231">
        <v>2989.88</v>
      </c>
      <c r="ER40" s="229">
        <v>0.49940000000000001</v>
      </c>
      <c r="ES40" s="231">
        <v>2113.9899999999998</v>
      </c>
      <c r="ET40" s="231">
        <v>1804.42</v>
      </c>
      <c r="EU40" s="231">
        <v>3066.22</v>
      </c>
      <c r="EV40" s="231">
        <v>61182611</v>
      </c>
      <c r="EW40" s="231">
        <v>6984.63</v>
      </c>
      <c r="EX40" s="231">
        <v>6264.98</v>
      </c>
      <c r="EY40" s="228">
        <v>719.65</v>
      </c>
      <c r="EZ40" s="229">
        <v>0.1149</v>
      </c>
      <c r="FA40" s="229">
        <v>0.30940000000000001</v>
      </c>
      <c r="FB40" s="227" t="s">
        <v>555</v>
      </c>
      <c r="FC40">
        <f t="shared" si="0"/>
        <v>259</v>
      </c>
    </row>
    <row r="41" spans="1:159" ht="17.25" thickBot="1" x14ac:dyDescent="0.3">
      <c r="A41" s="226">
        <v>46148</v>
      </c>
      <c r="B41" s="227" t="s">
        <v>175</v>
      </c>
      <c r="C41" s="227" t="s">
        <v>610</v>
      </c>
      <c r="D41" s="228">
        <v>750</v>
      </c>
      <c r="E41" s="228">
        <v>20</v>
      </c>
      <c r="F41" s="228">
        <v>814.8</v>
      </c>
      <c r="G41" s="228">
        <v>801</v>
      </c>
      <c r="H41" s="228">
        <v>13.8</v>
      </c>
      <c r="I41" s="229">
        <v>1.72E-2</v>
      </c>
      <c r="J41" s="228">
        <v>815.85</v>
      </c>
      <c r="K41" s="228">
        <v>797.4</v>
      </c>
      <c r="L41" s="228">
        <v>18.45</v>
      </c>
      <c r="M41" s="229">
        <v>2.3099999999999999E-2</v>
      </c>
      <c r="N41" s="228">
        <v>814.8</v>
      </c>
      <c r="O41" s="228">
        <v>801</v>
      </c>
      <c r="P41" s="228">
        <v>13.8</v>
      </c>
      <c r="Q41" s="229">
        <v>1.72E-2</v>
      </c>
      <c r="R41" s="228">
        <v>810.6</v>
      </c>
      <c r="S41" s="228">
        <v>793.95</v>
      </c>
      <c r="T41" s="228">
        <v>16.649999999999999</v>
      </c>
      <c r="U41" s="229">
        <v>2.1000000000000001E-2</v>
      </c>
      <c r="V41" s="228">
        <v>807.2</v>
      </c>
      <c r="W41" s="228">
        <v>789.05</v>
      </c>
      <c r="X41" s="228">
        <v>18.149999999999999</v>
      </c>
      <c r="Y41" s="229">
        <v>2.3E-2</v>
      </c>
      <c r="Z41" s="228">
        <v>-1.05</v>
      </c>
      <c r="AA41" s="228">
        <v>3.6</v>
      </c>
      <c r="AB41" s="228">
        <v>-4.6500000000000004</v>
      </c>
      <c r="AC41" s="229">
        <v>-1.2999999999999999E-3</v>
      </c>
      <c r="AD41" s="228">
        <v>-1.05</v>
      </c>
      <c r="AE41" s="228">
        <v>3.6</v>
      </c>
      <c r="AF41" s="228">
        <v>-4.6500000000000004</v>
      </c>
      <c r="AG41" s="229">
        <v>-1.2999999999999999E-3</v>
      </c>
      <c r="AH41" s="228">
        <v>-5.25</v>
      </c>
      <c r="AI41" s="228">
        <v>-3.45</v>
      </c>
      <c r="AJ41" s="228">
        <v>-1.8</v>
      </c>
      <c r="AK41" s="229">
        <v>-6.4000000000000003E-3</v>
      </c>
      <c r="AL41" s="228">
        <v>-8.65</v>
      </c>
      <c r="AM41" s="228">
        <v>-8.35</v>
      </c>
      <c r="AN41" s="228">
        <v>-0.3</v>
      </c>
      <c r="AO41" s="229">
        <v>-1.06E-2</v>
      </c>
      <c r="AP41" s="228">
        <v>807.78</v>
      </c>
      <c r="AQ41" s="228">
        <v>802.99</v>
      </c>
      <c r="AR41" s="228">
        <v>0</v>
      </c>
      <c r="AS41" s="228">
        <v>267</v>
      </c>
      <c r="AT41" s="228">
        <v>686</v>
      </c>
      <c r="AU41" s="228">
        <v>-418</v>
      </c>
      <c r="AV41" s="229">
        <v>-0.61009999999999998</v>
      </c>
      <c r="AW41" s="228">
        <v>244</v>
      </c>
      <c r="AX41" s="228">
        <v>639</v>
      </c>
      <c r="AY41" s="228">
        <v>-394</v>
      </c>
      <c r="AZ41" s="229">
        <v>-0.61760000000000004</v>
      </c>
      <c r="BA41" s="228">
        <v>21</v>
      </c>
      <c r="BB41" s="228">
        <v>42</v>
      </c>
      <c r="BC41" s="228">
        <v>-22</v>
      </c>
      <c r="BD41" s="229">
        <v>-0.50719999999999998</v>
      </c>
      <c r="BE41" s="228">
        <v>2</v>
      </c>
      <c r="BF41" s="228">
        <v>5</v>
      </c>
      <c r="BG41" s="228">
        <v>-2</v>
      </c>
      <c r="BH41" s="229">
        <v>-0.51280000000000003</v>
      </c>
      <c r="BI41" s="230">
        <v>1302</v>
      </c>
      <c r="BJ41" s="230">
        <v>5917</v>
      </c>
      <c r="BK41" s="230">
        <v>-4615</v>
      </c>
      <c r="BL41" s="229">
        <v>-0.77990000000000004</v>
      </c>
      <c r="BM41" s="228">
        <v>725</v>
      </c>
      <c r="BN41" s="230">
        <v>2157</v>
      </c>
      <c r="BO41" s="230">
        <v>-1432</v>
      </c>
      <c r="BP41" s="229">
        <v>-0.66390000000000005</v>
      </c>
      <c r="BQ41" s="230">
        <v>2295</v>
      </c>
      <c r="BR41" s="230">
        <v>8761</v>
      </c>
      <c r="BS41" s="230">
        <v>-6466</v>
      </c>
      <c r="BT41" s="229">
        <v>-0.73799999999999999</v>
      </c>
      <c r="BU41" s="230">
        <v>3916752</v>
      </c>
      <c r="BV41" s="230">
        <v>16990413</v>
      </c>
      <c r="BW41" s="230">
        <v>-13073661</v>
      </c>
      <c r="BX41" s="229">
        <v>-0.76949999999999996</v>
      </c>
      <c r="BY41" s="228">
        <v>601</v>
      </c>
      <c r="BZ41" s="228">
        <v>585</v>
      </c>
      <c r="CA41" s="228">
        <v>16</v>
      </c>
      <c r="CB41" s="229">
        <v>2.69E-2</v>
      </c>
      <c r="CC41" s="228">
        <v>561</v>
      </c>
      <c r="CD41" s="228">
        <v>548</v>
      </c>
      <c r="CE41" s="228">
        <v>13</v>
      </c>
      <c r="CF41" s="229">
        <v>2.3E-2</v>
      </c>
      <c r="CG41" s="228">
        <v>36</v>
      </c>
      <c r="CH41" s="228">
        <v>33</v>
      </c>
      <c r="CI41" s="228">
        <v>3</v>
      </c>
      <c r="CJ41" s="229">
        <v>0.1002</v>
      </c>
      <c r="CK41" s="228">
        <v>4</v>
      </c>
      <c r="CL41" s="228">
        <v>4</v>
      </c>
      <c r="CM41" s="228">
        <v>0</v>
      </c>
      <c r="CN41" s="229">
        <v>-3.1699999999999999E-2</v>
      </c>
      <c r="CO41" s="228">
        <v>359</v>
      </c>
      <c r="CP41" s="228">
        <v>355</v>
      </c>
      <c r="CQ41" s="228">
        <v>4</v>
      </c>
      <c r="CR41" s="229">
        <v>1.1900000000000001E-2</v>
      </c>
      <c r="CS41" s="228">
        <v>342</v>
      </c>
      <c r="CT41" s="228">
        <v>368</v>
      </c>
      <c r="CU41" s="228">
        <v>-25</v>
      </c>
      <c r="CV41" s="229">
        <v>-6.8699999999999997E-2</v>
      </c>
      <c r="CW41" s="230">
        <v>1302</v>
      </c>
      <c r="CX41" s="230">
        <v>1308</v>
      </c>
      <c r="CY41" s="228">
        <v>-5</v>
      </c>
      <c r="CZ41" s="229">
        <v>-4.0000000000000001E-3</v>
      </c>
      <c r="DA41" s="228">
        <v>32.58</v>
      </c>
      <c r="DB41" s="228">
        <v>33.200000000000003</v>
      </c>
      <c r="DC41" s="228">
        <v>-0.62</v>
      </c>
      <c r="DD41" s="228">
        <v>-0.62</v>
      </c>
      <c r="DE41" s="228">
        <v>42.49</v>
      </c>
      <c r="DF41" s="228">
        <v>42.54</v>
      </c>
      <c r="DG41" s="228">
        <v>-9.91</v>
      </c>
      <c r="DH41" s="228">
        <v>-0.05</v>
      </c>
      <c r="DI41" s="228">
        <v>31.74</v>
      </c>
      <c r="DJ41" s="228">
        <v>32.380000000000003</v>
      </c>
      <c r="DK41" s="228">
        <v>-0.64</v>
      </c>
      <c r="DL41" s="228">
        <v>-0.64</v>
      </c>
      <c r="DM41" s="228">
        <v>34.090000000000003</v>
      </c>
      <c r="DN41" s="228">
        <v>35.44</v>
      </c>
      <c r="DO41" s="228">
        <v>-1.35</v>
      </c>
      <c r="DP41" s="228">
        <v>-1.35</v>
      </c>
      <c r="DQ41" s="228">
        <v>0.95</v>
      </c>
      <c r="DR41" s="228">
        <v>1.04</v>
      </c>
      <c r="DS41" s="228">
        <v>-0.09</v>
      </c>
      <c r="DT41" s="229">
        <v>-8.6499999999999994E-2</v>
      </c>
      <c r="DU41" s="228">
        <v>860</v>
      </c>
      <c r="DV41" s="228">
        <v>700</v>
      </c>
      <c r="DW41" s="228">
        <v>0.56000000000000005</v>
      </c>
      <c r="DX41" s="228">
        <v>0.36</v>
      </c>
      <c r="DY41" s="228">
        <v>0.2</v>
      </c>
      <c r="DZ41" s="229">
        <v>0.55559999999999998</v>
      </c>
      <c r="EA41" s="229">
        <v>6.7100000000000007E-2</v>
      </c>
      <c r="EB41" s="230">
        <v>456225</v>
      </c>
      <c r="EC41" s="229">
        <v>-5.1999999999999998E-3</v>
      </c>
      <c r="ED41" s="229">
        <v>6.7100000000000007E-2</v>
      </c>
      <c r="EE41" s="228">
        <v>-4.79</v>
      </c>
      <c r="EF41" s="229">
        <v>-5.8999999999999999E-3</v>
      </c>
      <c r="EG41" s="230">
        <v>1577755</v>
      </c>
      <c r="EH41" s="230">
        <v>3125569</v>
      </c>
      <c r="EI41" s="229">
        <v>-0.49519999999999997</v>
      </c>
      <c r="EJ41" s="229">
        <v>0.40279999999999999</v>
      </c>
      <c r="EK41" s="231">
        <v>1353.08</v>
      </c>
      <c r="EL41" s="228">
        <v>693.31</v>
      </c>
      <c r="EM41" s="228">
        <v>265.19</v>
      </c>
      <c r="EN41" s="228">
        <v>50.57</v>
      </c>
      <c r="EO41" s="231">
        <v>2311.58</v>
      </c>
      <c r="EP41" s="231">
        <v>8620.77</v>
      </c>
      <c r="EQ41" s="231">
        <v>-6309.19</v>
      </c>
      <c r="ER41" s="229">
        <v>-0.7319</v>
      </c>
      <c r="ES41" s="228">
        <v>361.02</v>
      </c>
      <c r="ET41" s="228">
        <v>312.11</v>
      </c>
      <c r="EU41" s="228">
        <v>600.67999999999995</v>
      </c>
      <c r="EV41" s="231">
        <v>37147595</v>
      </c>
      <c r="EW41" s="231">
        <v>1273.81</v>
      </c>
      <c r="EX41" s="231">
        <v>1261.72</v>
      </c>
      <c r="EY41" s="228">
        <v>12.09</v>
      </c>
      <c r="EZ41" s="229">
        <v>9.5999999999999992E-3</v>
      </c>
      <c r="FA41" s="229">
        <v>0.43030000000000002</v>
      </c>
      <c r="FB41" s="227" t="s">
        <v>555</v>
      </c>
      <c r="FC41">
        <f t="shared" si="0"/>
        <v>40</v>
      </c>
    </row>
    <row r="42" spans="1:159" ht="17.25" thickBot="1" x14ac:dyDescent="0.3">
      <c r="A42" s="226">
        <v>46148</v>
      </c>
      <c r="B42" s="227" t="s">
        <v>172</v>
      </c>
      <c r="C42" s="227" t="s">
        <v>196</v>
      </c>
      <c r="D42" s="228">
        <v>6750</v>
      </c>
      <c r="E42" s="228">
        <v>20</v>
      </c>
      <c r="F42" s="228">
        <v>139</v>
      </c>
      <c r="G42" s="228">
        <v>134.71</v>
      </c>
      <c r="H42" s="228">
        <v>4.29</v>
      </c>
      <c r="I42" s="229">
        <v>3.1800000000000002E-2</v>
      </c>
      <c r="J42" s="228">
        <v>138.04</v>
      </c>
      <c r="K42" s="228">
        <v>134.31</v>
      </c>
      <c r="L42" s="228">
        <v>3.73</v>
      </c>
      <c r="M42" s="229">
        <v>2.7799999999999998E-2</v>
      </c>
      <c r="N42" s="228">
        <v>139</v>
      </c>
      <c r="O42" s="228">
        <v>134.71</v>
      </c>
      <c r="P42" s="228">
        <v>4.29</v>
      </c>
      <c r="Q42" s="229">
        <v>3.1800000000000002E-2</v>
      </c>
      <c r="R42" s="228">
        <v>139.9</v>
      </c>
      <c r="S42" s="228">
        <v>135.65</v>
      </c>
      <c r="T42" s="228">
        <v>4.25</v>
      </c>
      <c r="U42" s="229">
        <v>3.1300000000000001E-2</v>
      </c>
      <c r="V42" s="228">
        <v>140.61000000000001</v>
      </c>
      <c r="W42" s="228">
        <v>136.4</v>
      </c>
      <c r="X42" s="228">
        <v>4.21</v>
      </c>
      <c r="Y42" s="229">
        <v>3.09E-2</v>
      </c>
      <c r="Z42" s="228">
        <v>0.96</v>
      </c>
      <c r="AA42" s="228">
        <v>0.4</v>
      </c>
      <c r="AB42" s="228">
        <v>0.56000000000000005</v>
      </c>
      <c r="AC42" s="229">
        <v>7.0000000000000001E-3</v>
      </c>
      <c r="AD42" s="228">
        <v>0.96</v>
      </c>
      <c r="AE42" s="228">
        <v>0.4</v>
      </c>
      <c r="AF42" s="228">
        <v>0.56000000000000005</v>
      </c>
      <c r="AG42" s="229">
        <v>7.0000000000000001E-3</v>
      </c>
      <c r="AH42" s="228">
        <v>1.86</v>
      </c>
      <c r="AI42" s="228">
        <v>1.34</v>
      </c>
      <c r="AJ42" s="228">
        <v>0.52</v>
      </c>
      <c r="AK42" s="229">
        <v>1.35E-2</v>
      </c>
      <c r="AL42" s="228">
        <v>2.57</v>
      </c>
      <c r="AM42" s="228">
        <v>2.09</v>
      </c>
      <c r="AN42" s="228">
        <v>0.48</v>
      </c>
      <c r="AO42" s="229">
        <v>1.8599999999999998E-2</v>
      </c>
      <c r="AP42" s="228">
        <v>137.76</v>
      </c>
      <c r="AQ42" s="228">
        <v>138.52000000000001</v>
      </c>
      <c r="AR42" s="228">
        <v>0</v>
      </c>
      <c r="AS42" s="228">
        <v>550</v>
      </c>
      <c r="AT42" s="228">
        <v>284</v>
      </c>
      <c r="AU42" s="228">
        <v>266</v>
      </c>
      <c r="AV42" s="229">
        <v>0.93589999999999995</v>
      </c>
      <c r="AW42" s="228">
        <v>488</v>
      </c>
      <c r="AX42" s="228">
        <v>249</v>
      </c>
      <c r="AY42" s="228">
        <v>238</v>
      </c>
      <c r="AZ42" s="229">
        <v>0.95599999999999996</v>
      </c>
      <c r="BA42" s="228">
        <v>58</v>
      </c>
      <c r="BB42" s="228">
        <v>32</v>
      </c>
      <c r="BC42" s="228">
        <v>25</v>
      </c>
      <c r="BD42" s="229">
        <v>0.77749999999999997</v>
      </c>
      <c r="BE42" s="228">
        <v>5</v>
      </c>
      <c r="BF42" s="228">
        <v>2</v>
      </c>
      <c r="BG42" s="228">
        <v>2</v>
      </c>
      <c r="BH42" s="229">
        <v>1</v>
      </c>
      <c r="BI42" s="230">
        <v>1297</v>
      </c>
      <c r="BJ42" s="228">
        <v>567</v>
      </c>
      <c r="BK42" s="228">
        <v>730</v>
      </c>
      <c r="BL42" s="229">
        <v>1.2867999999999999</v>
      </c>
      <c r="BM42" s="228">
        <v>574</v>
      </c>
      <c r="BN42" s="228">
        <v>356</v>
      </c>
      <c r="BO42" s="228">
        <v>218</v>
      </c>
      <c r="BP42" s="229">
        <v>0.61080000000000001</v>
      </c>
      <c r="BQ42" s="230">
        <v>2420</v>
      </c>
      <c r="BR42" s="230">
        <v>1207</v>
      </c>
      <c r="BS42" s="230">
        <v>1213</v>
      </c>
      <c r="BT42" s="229">
        <v>1.0046999999999999</v>
      </c>
      <c r="BU42" s="230">
        <v>25025177</v>
      </c>
      <c r="BV42" s="230">
        <v>12558262</v>
      </c>
      <c r="BW42" s="230">
        <v>12466915</v>
      </c>
      <c r="BX42" s="229">
        <v>0.99270000000000003</v>
      </c>
      <c r="BY42" s="230">
        <v>3096</v>
      </c>
      <c r="BZ42" s="230">
        <v>3083</v>
      </c>
      <c r="CA42" s="228">
        <v>13</v>
      </c>
      <c r="CB42" s="229">
        <v>4.4000000000000003E-3</v>
      </c>
      <c r="CC42" s="230">
        <v>2752</v>
      </c>
      <c r="CD42" s="230">
        <v>2757</v>
      </c>
      <c r="CE42" s="228">
        <v>-5</v>
      </c>
      <c r="CF42" s="229">
        <v>-1.9E-3</v>
      </c>
      <c r="CG42" s="228">
        <v>335</v>
      </c>
      <c r="CH42" s="228">
        <v>317</v>
      </c>
      <c r="CI42" s="228">
        <v>18</v>
      </c>
      <c r="CJ42" s="229">
        <v>5.8299999999999998E-2</v>
      </c>
      <c r="CK42" s="228">
        <v>9</v>
      </c>
      <c r="CL42" s="228">
        <v>9</v>
      </c>
      <c r="CM42" s="228">
        <v>0</v>
      </c>
      <c r="CN42" s="229">
        <v>1.0200000000000001E-2</v>
      </c>
      <c r="CO42" s="228">
        <v>973</v>
      </c>
      <c r="CP42" s="228">
        <v>943</v>
      </c>
      <c r="CQ42" s="228">
        <v>30</v>
      </c>
      <c r="CR42" s="229">
        <v>3.2199999999999999E-2</v>
      </c>
      <c r="CS42" s="228">
        <v>925</v>
      </c>
      <c r="CT42" s="228">
        <v>888</v>
      </c>
      <c r="CU42" s="228">
        <v>38</v>
      </c>
      <c r="CV42" s="229">
        <v>4.2500000000000003E-2</v>
      </c>
      <c r="CW42" s="230">
        <v>4995</v>
      </c>
      <c r="CX42" s="230">
        <v>4913</v>
      </c>
      <c r="CY42" s="228">
        <v>82</v>
      </c>
      <c r="CZ42" s="229">
        <v>1.66E-2</v>
      </c>
      <c r="DA42" s="228">
        <v>37.5</v>
      </c>
      <c r="DB42" s="228">
        <v>38.22</v>
      </c>
      <c r="DC42" s="228">
        <v>-0.72</v>
      </c>
      <c r="DD42" s="228">
        <v>-0.72</v>
      </c>
      <c r="DE42" s="228">
        <v>38.67</v>
      </c>
      <c r="DF42" s="228">
        <v>38.53</v>
      </c>
      <c r="DG42" s="228">
        <v>-1.17</v>
      </c>
      <c r="DH42" s="228">
        <v>0.14000000000000001</v>
      </c>
      <c r="DI42" s="228">
        <v>36.869999999999997</v>
      </c>
      <c r="DJ42" s="228">
        <v>37.93</v>
      </c>
      <c r="DK42" s="228">
        <v>-1.06</v>
      </c>
      <c r="DL42" s="228">
        <v>-1.06</v>
      </c>
      <c r="DM42" s="228">
        <v>38.909999999999997</v>
      </c>
      <c r="DN42" s="228">
        <v>38.67</v>
      </c>
      <c r="DO42" s="228">
        <v>0.24</v>
      </c>
      <c r="DP42" s="228">
        <v>0.24</v>
      </c>
      <c r="DQ42" s="228">
        <v>0.95</v>
      </c>
      <c r="DR42" s="228">
        <v>0.94</v>
      </c>
      <c r="DS42" s="228">
        <v>0.01</v>
      </c>
      <c r="DT42" s="229">
        <v>1.06E-2</v>
      </c>
      <c r="DU42" s="228">
        <v>140</v>
      </c>
      <c r="DV42" s="228">
        <v>120</v>
      </c>
      <c r="DW42" s="228">
        <v>0.44</v>
      </c>
      <c r="DX42" s="228">
        <v>0.63</v>
      </c>
      <c r="DY42" s="228">
        <v>-0.19</v>
      </c>
      <c r="DZ42" s="229">
        <v>-0.30159999999999998</v>
      </c>
      <c r="EA42" s="229">
        <v>0.1113</v>
      </c>
      <c r="EB42" s="230">
        <v>23456250</v>
      </c>
      <c r="EC42" s="229">
        <v>6.4999999999999997E-3</v>
      </c>
      <c r="ED42" s="229">
        <v>0.1113</v>
      </c>
      <c r="EE42" s="228">
        <v>0.76</v>
      </c>
      <c r="EF42" s="229">
        <v>5.4999999999999997E-3</v>
      </c>
      <c r="EG42" s="230">
        <v>11590870</v>
      </c>
      <c r="EH42" s="230">
        <v>4756239</v>
      </c>
      <c r="EI42" s="229">
        <v>1.4370000000000001</v>
      </c>
      <c r="EJ42" s="229">
        <v>0.4632</v>
      </c>
      <c r="EK42" s="231">
        <v>1360.33</v>
      </c>
      <c r="EL42" s="228">
        <v>557.17999999999995</v>
      </c>
      <c r="EM42" s="228">
        <v>545.28</v>
      </c>
      <c r="EN42" s="228">
        <v>40.299999999999997</v>
      </c>
      <c r="EO42" s="231">
        <v>2462.79</v>
      </c>
      <c r="EP42" s="231">
        <v>1209.03</v>
      </c>
      <c r="EQ42" s="231">
        <v>1253.76</v>
      </c>
      <c r="ER42" s="229">
        <v>1.0369999999999999</v>
      </c>
      <c r="ES42" s="231">
        <v>1010.42</v>
      </c>
      <c r="ET42" s="228">
        <v>896.87</v>
      </c>
      <c r="EU42" s="231">
        <v>3098.69</v>
      </c>
      <c r="EV42" s="231">
        <v>504315430</v>
      </c>
      <c r="EW42" s="231">
        <v>5005.9799999999996</v>
      </c>
      <c r="EX42" s="231">
        <v>4830.63</v>
      </c>
      <c r="EY42" s="228">
        <v>175.35</v>
      </c>
      <c r="EZ42" s="229">
        <v>3.6299999999999999E-2</v>
      </c>
      <c r="FA42" s="229">
        <v>0.71250000000000002</v>
      </c>
      <c r="FB42" s="227" t="s">
        <v>555</v>
      </c>
      <c r="FC42">
        <f t="shared" si="0"/>
        <v>344</v>
      </c>
    </row>
    <row r="43" spans="1:159" ht="17.25" thickBot="1" x14ac:dyDescent="0.3">
      <c r="A43" s="226">
        <v>46148</v>
      </c>
      <c r="B43" s="227" t="s">
        <v>175</v>
      </c>
      <c r="C43" s="227" t="s">
        <v>596</v>
      </c>
      <c r="D43" s="228">
        <v>475</v>
      </c>
      <c r="E43" s="228">
        <v>20</v>
      </c>
      <c r="F43" s="231">
        <v>1288.5</v>
      </c>
      <c r="G43" s="231">
        <v>1255.8</v>
      </c>
      <c r="H43" s="228">
        <v>32.700000000000003</v>
      </c>
      <c r="I43" s="229">
        <v>2.5999999999999999E-2</v>
      </c>
      <c r="J43" s="231">
        <v>1282.8</v>
      </c>
      <c r="K43" s="231">
        <v>1254.7</v>
      </c>
      <c r="L43" s="228">
        <v>28.1</v>
      </c>
      <c r="M43" s="229">
        <v>2.24E-2</v>
      </c>
      <c r="N43" s="231">
        <v>1288.5</v>
      </c>
      <c r="O43" s="231">
        <v>1255.8</v>
      </c>
      <c r="P43" s="228">
        <v>32.700000000000003</v>
      </c>
      <c r="Q43" s="229">
        <v>2.5999999999999999E-2</v>
      </c>
      <c r="R43" s="231">
        <v>1282.0999999999999</v>
      </c>
      <c r="S43" s="231">
        <v>1248</v>
      </c>
      <c r="T43" s="228">
        <v>34.1</v>
      </c>
      <c r="U43" s="229">
        <v>2.7300000000000001E-2</v>
      </c>
      <c r="V43" s="231">
        <v>1276.0999999999999</v>
      </c>
      <c r="W43" s="231">
        <v>1239.5</v>
      </c>
      <c r="X43" s="228">
        <v>36.6</v>
      </c>
      <c r="Y43" s="229">
        <v>2.9499999999999998E-2</v>
      </c>
      <c r="Z43" s="228">
        <v>5.7</v>
      </c>
      <c r="AA43" s="228">
        <v>1.1000000000000001</v>
      </c>
      <c r="AB43" s="228">
        <v>4.5999999999999996</v>
      </c>
      <c r="AC43" s="229">
        <v>4.4000000000000003E-3</v>
      </c>
      <c r="AD43" s="228">
        <v>5.7</v>
      </c>
      <c r="AE43" s="228">
        <v>1.1000000000000001</v>
      </c>
      <c r="AF43" s="228">
        <v>4.5999999999999996</v>
      </c>
      <c r="AG43" s="229">
        <v>4.4000000000000003E-3</v>
      </c>
      <c r="AH43" s="228">
        <v>-0.7</v>
      </c>
      <c r="AI43" s="228">
        <v>-6.7</v>
      </c>
      <c r="AJ43" s="228">
        <v>6</v>
      </c>
      <c r="AK43" s="229">
        <v>-5.0000000000000001E-4</v>
      </c>
      <c r="AL43" s="228">
        <v>-6.7</v>
      </c>
      <c r="AM43" s="228">
        <v>-15.2</v>
      </c>
      <c r="AN43" s="228">
        <v>8.5</v>
      </c>
      <c r="AO43" s="229">
        <v>-5.1999999999999998E-3</v>
      </c>
      <c r="AP43" s="231">
        <v>1271.51</v>
      </c>
      <c r="AQ43" s="231">
        <v>1261.52</v>
      </c>
      <c r="AR43" s="228">
        <v>0</v>
      </c>
      <c r="AS43" s="228">
        <v>680</v>
      </c>
      <c r="AT43" s="228">
        <v>377</v>
      </c>
      <c r="AU43" s="228">
        <v>303</v>
      </c>
      <c r="AV43" s="229">
        <v>0.80379999999999996</v>
      </c>
      <c r="AW43" s="228">
        <v>540</v>
      </c>
      <c r="AX43" s="228">
        <v>315</v>
      </c>
      <c r="AY43" s="228">
        <v>225</v>
      </c>
      <c r="AZ43" s="229">
        <v>0.71360000000000001</v>
      </c>
      <c r="BA43" s="228">
        <v>127</v>
      </c>
      <c r="BB43" s="228">
        <v>50</v>
      </c>
      <c r="BC43" s="228">
        <v>78</v>
      </c>
      <c r="BD43" s="229">
        <v>1.5690999999999999</v>
      </c>
      <c r="BE43" s="228">
        <v>12</v>
      </c>
      <c r="BF43" s="228">
        <v>12</v>
      </c>
      <c r="BG43" s="228">
        <v>0</v>
      </c>
      <c r="BH43" s="229">
        <v>1.0200000000000001E-2</v>
      </c>
      <c r="BI43" s="230">
        <v>2010</v>
      </c>
      <c r="BJ43" s="230">
        <v>1311</v>
      </c>
      <c r="BK43" s="228">
        <v>699</v>
      </c>
      <c r="BL43" s="229">
        <v>0.53300000000000003</v>
      </c>
      <c r="BM43" s="228">
        <v>722</v>
      </c>
      <c r="BN43" s="228">
        <v>542</v>
      </c>
      <c r="BO43" s="228">
        <v>179</v>
      </c>
      <c r="BP43" s="229">
        <v>0.33090000000000003</v>
      </c>
      <c r="BQ43" s="230">
        <v>3411</v>
      </c>
      <c r="BR43" s="230">
        <v>2230</v>
      </c>
      <c r="BS43" s="230">
        <v>1181</v>
      </c>
      <c r="BT43" s="229">
        <v>0.52959999999999996</v>
      </c>
      <c r="BU43" s="230">
        <v>3364296</v>
      </c>
      <c r="BV43" s="230">
        <v>2522931</v>
      </c>
      <c r="BW43" s="230">
        <v>841365</v>
      </c>
      <c r="BX43" s="229">
        <v>0.33350000000000002</v>
      </c>
      <c r="BY43" s="230">
        <v>1671</v>
      </c>
      <c r="BZ43" s="230">
        <v>1675</v>
      </c>
      <c r="CA43" s="228">
        <v>-4</v>
      </c>
      <c r="CB43" s="229">
        <v>-2.3999999999999998E-3</v>
      </c>
      <c r="CC43" s="230">
        <v>1392</v>
      </c>
      <c r="CD43" s="230">
        <v>1471</v>
      </c>
      <c r="CE43" s="228">
        <v>-79</v>
      </c>
      <c r="CF43" s="229">
        <v>-5.3600000000000002E-2</v>
      </c>
      <c r="CG43" s="228">
        <v>246</v>
      </c>
      <c r="CH43" s="228">
        <v>175</v>
      </c>
      <c r="CI43" s="228">
        <v>71</v>
      </c>
      <c r="CJ43" s="229">
        <v>0.40739999999999998</v>
      </c>
      <c r="CK43" s="228">
        <v>32</v>
      </c>
      <c r="CL43" s="228">
        <v>29</v>
      </c>
      <c r="CM43" s="228">
        <v>4</v>
      </c>
      <c r="CN43" s="229">
        <v>0.1245</v>
      </c>
      <c r="CO43" s="228">
        <v>805</v>
      </c>
      <c r="CP43" s="228">
        <v>791</v>
      </c>
      <c r="CQ43" s="228">
        <v>14</v>
      </c>
      <c r="CR43" s="229">
        <v>1.72E-2</v>
      </c>
      <c r="CS43" s="228">
        <v>604</v>
      </c>
      <c r="CT43" s="228">
        <v>581</v>
      </c>
      <c r="CU43" s="228">
        <v>23</v>
      </c>
      <c r="CV43" s="229">
        <v>3.8899999999999997E-2</v>
      </c>
      <c r="CW43" s="230">
        <v>3079</v>
      </c>
      <c r="CX43" s="230">
        <v>3047</v>
      </c>
      <c r="CY43" s="228">
        <v>32</v>
      </c>
      <c r="CZ43" s="229">
        <v>1.0500000000000001E-2</v>
      </c>
      <c r="DA43" s="228">
        <v>34.01</v>
      </c>
      <c r="DB43" s="228">
        <v>36.17</v>
      </c>
      <c r="DC43" s="228">
        <v>-2.16</v>
      </c>
      <c r="DD43" s="228">
        <v>-2.16</v>
      </c>
      <c r="DE43" s="228">
        <v>46.14</v>
      </c>
      <c r="DF43" s="228">
        <v>46.12</v>
      </c>
      <c r="DG43" s="228">
        <v>-12.13</v>
      </c>
      <c r="DH43" s="228">
        <v>0.02</v>
      </c>
      <c r="DI43" s="228">
        <v>33.68</v>
      </c>
      <c r="DJ43" s="228">
        <v>36.04</v>
      </c>
      <c r="DK43" s="228">
        <v>-2.36</v>
      </c>
      <c r="DL43" s="228">
        <v>-2.36</v>
      </c>
      <c r="DM43" s="228">
        <v>34.950000000000003</v>
      </c>
      <c r="DN43" s="228">
        <v>36.5</v>
      </c>
      <c r="DO43" s="228">
        <v>-1.55</v>
      </c>
      <c r="DP43" s="228">
        <v>-1.55</v>
      </c>
      <c r="DQ43" s="228">
        <v>0.75</v>
      </c>
      <c r="DR43" s="228">
        <v>0.73</v>
      </c>
      <c r="DS43" s="228">
        <v>0.02</v>
      </c>
      <c r="DT43" s="229">
        <v>2.7400000000000001E-2</v>
      </c>
      <c r="DU43" s="231">
        <v>1400</v>
      </c>
      <c r="DV43" s="231">
        <v>1300</v>
      </c>
      <c r="DW43" s="228">
        <v>0.36</v>
      </c>
      <c r="DX43" s="228">
        <v>0.41</v>
      </c>
      <c r="DY43" s="228">
        <v>-0.05</v>
      </c>
      <c r="DZ43" s="229">
        <v>-0.122</v>
      </c>
      <c r="EA43" s="229">
        <v>0.16650000000000001</v>
      </c>
      <c r="EB43" s="230">
        <v>1578425</v>
      </c>
      <c r="EC43" s="229">
        <v>-5.0000000000000001E-3</v>
      </c>
      <c r="ED43" s="229">
        <v>0.16650000000000001</v>
      </c>
      <c r="EE43" s="228">
        <v>-9.99</v>
      </c>
      <c r="EF43" s="229">
        <v>-7.9000000000000008E-3</v>
      </c>
      <c r="EG43" s="230">
        <v>1568076</v>
      </c>
      <c r="EH43" s="230">
        <v>708818</v>
      </c>
      <c r="EI43" s="229">
        <v>1.2121999999999999</v>
      </c>
      <c r="EJ43" s="229">
        <v>0.46610000000000001</v>
      </c>
      <c r="EK43" s="231">
        <v>2092.23</v>
      </c>
      <c r="EL43" s="228">
        <v>700.26</v>
      </c>
      <c r="EM43" s="228">
        <v>669.68</v>
      </c>
      <c r="EN43" s="228">
        <v>70.239999999999995</v>
      </c>
      <c r="EO43" s="231">
        <v>3462.17</v>
      </c>
      <c r="EP43" s="231">
        <v>2240.69</v>
      </c>
      <c r="EQ43" s="231">
        <v>1221.48</v>
      </c>
      <c r="ER43" s="229">
        <v>0.54510000000000003</v>
      </c>
      <c r="ES43" s="228">
        <v>844.71</v>
      </c>
      <c r="ET43" s="228">
        <v>596.22</v>
      </c>
      <c r="EU43" s="231">
        <v>1669.03</v>
      </c>
      <c r="EV43" s="231">
        <v>26647500</v>
      </c>
      <c r="EW43" s="231">
        <v>3109.96</v>
      </c>
      <c r="EX43" s="231">
        <v>3034.93</v>
      </c>
      <c r="EY43" s="228">
        <v>75.03</v>
      </c>
      <c r="EZ43" s="229">
        <v>2.47E-2</v>
      </c>
      <c r="FA43" s="229">
        <v>0.89670000000000005</v>
      </c>
      <c r="FB43" s="227" t="s">
        <v>691</v>
      </c>
      <c r="FC43">
        <f t="shared" si="0"/>
        <v>279</v>
      </c>
    </row>
    <row r="44" spans="1:159" ht="17.25" thickBot="1" x14ac:dyDescent="0.3">
      <c r="A44" s="226">
        <v>46148</v>
      </c>
      <c r="B44" s="227" t="s">
        <v>161</v>
      </c>
      <c r="C44" s="227" t="s">
        <v>611</v>
      </c>
      <c r="D44" s="228">
        <v>850</v>
      </c>
      <c r="E44" s="228">
        <v>20</v>
      </c>
      <c r="F44" s="228">
        <v>833.4</v>
      </c>
      <c r="G44" s="228">
        <v>831.8</v>
      </c>
      <c r="H44" s="228">
        <v>1.6</v>
      </c>
      <c r="I44" s="229">
        <v>1.9E-3</v>
      </c>
      <c r="J44" s="228">
        <v>828.9</v>
      </c>
      <c r="K44" s="228">
        <v>826.9</v>
      </c>
      <c r="L44" s="228">
        <v>2</v>
      </c>
      <c r="M44" s="229">
        <v>2.3999999999999998E-3</v>
      </c>
      <c r="N44" s="228">
        <v>833.4</v>
      </c>
      <c r="O44" s="228">
        <v>831.8</v>
      </c>
      <c r="P44" s="228">
        <v>1.6</v>
      </c>
      <c r="Q44" s="229">
        <v>1.9E-3</v>
      </c>
      <c r="R44" s="228">
        <v>838.45</v>
      </c>
      <c r="S44" s="228">
        <v>837.75</v>
      </c>
      <c r="T44" s="228">
        <v>0.7</v>
      </c>
      <c r="U44" s="229">
        <v>8.0000000000000004E-4</v>
      </c>
      <c r="V44" s="228">
        <v>845.3</v>
      </c>
      <c r="W44" s="228">
        <v>840.05</v>
      </c>
      <c r="X44" s="228">
        <v>5.25</v>
      </c>
      <c r="Y44" s="229">
        <v>6.1999999999999998E-3</v>
      </c>
      <c r="Z44" s="228">
        <v>4.5</v>
      </c>
      <c r="AA44" s="228">
        <v>4.9000000000000004</v>
      </c>
      <c r="AB44" s="228">
        <v>-0.4</v>
      </c>
      <c r="AC44" s="229">
        <v>5.4000000000000003E-3</v>
      </c>
      <c r="AD44" s="228">
        <v>4.5</v>
      </c>
      <c r="AE44" s="228">
        <v>4.9000000000000004</v>
      </c>
      <c r="AF44" s="228">
        <v>-0.4</v>
      </c>
      <c r="AG44" s="229">
        <v>5.4000000000000003E-3</v>
      </c>
      <c r="AH44" s="228">
        <v>9.5500000000000007</v>
      </c>
      <c r="AI44" s="228">
        <v>10.85</v>
      </c>
      <c r="AJ44" s="228">
        <v>-1.3</v>
      </c>
      <c r="AK44" s="229">
        <v>1.15E-2</v>
      </c>
      <c r="AL44" s="228">
        <v>16.399999999999999</v>
      </c>
      <c r="AM44" s="228">
        <v>13.15</v>
      </c>
      <c r="AN44" s="228">
        <v>3.25</v>
      </c>
      <c r="AO44" s="229">
        <v>1.9800000000000002E-2</v>
      </c>
      <c r="AP44" s="228">
        <v>829.2</v>
      </c>
      <c r="AQ44" s="228">
        <v>833.13</v>
      </c>
      <c r="AR44" s="228">
        <v>0</v>
      </c>
      <c r="AS44" s="230">
        <v>1164</v>
      </c>
      <c r="AT44" s="228">
        <v>483</v>
      </c>
      <c r="AU44" s="228">
        <v>681</v>
      </c>
      <c r="AV44" s="229">
        <v>1.4098999999999999</v>
      </c>
      <c r="AW44" s="230">
        <v>1131</v>
      </c>
      <c r="AX44" s="228">
        <v>470</v>
      </c>
      <c r="AY44" s="228">
        <v>661</v>
      </c>
      <c r="AZ44" s="229">
        <v>1.4066000000000001</v>
      </c>
      <c r="BA44" s="228">
        <v>30</v>
      </c>
      <c r="BB44" s="228">
        <v>12</v>
      </c>
      <c r="BC44" s="228">
        <v>18</v>
      </c>
      <c r="BD44" s="229">
        <v>1.4737</v>
      </c>
      <c r="BE44" s="228">
        <v>3</v>
      </c>
      <c r="BF44" s="228">
        <v>1</v>
      </c>
      <c r="BG44" s="228">
        <v>2</v>
      </c>
      <c r="BH44" s="229">
        <v>2.2307999999999999</v>
      </c>
      <c r="BI44" s="230">
        <v>3563</v>
      </c>
      <c r="BJ44" s="230">
        <v>1329</v>
      </c>
      <c r="BK44" s="230">
        <v>2233</v>
      </c>
      <c r="BL44" s="229">
        <v>1.6800999999999999</v>
      </c>
      <c r="BM44" s="230">
        <v>1357</v>
      </c>
      <c r="BN44" s="228">
        <v>397</v>
      </c>
      <c r="BO44" s="228">
        <v>960</v>
      </c>
      <c r="BP44" s="229">
        <v>2.4209000000000001</v>
      </c>
      <c r="BQ44" s="230">
        <v>6083</v>
      </c>
      <c r="BR44" s="230">
        <v>2209</v>
      </c>
      <c r="BS44" s="230">
        <v>3875</v>
      </c>
      <c r="BT44" s="229">
        <v>1.7541</v>
      </c>
      <c r="BU44" s="230">
        <v>9114219</v>
      </c>
      <c r="BV44" s="230">
        <v>7161511</v>
      </c>
      <c r="BW44" s="230">
        <v>1952708</v>
      </c>
      <c r="BX44" s="229">
        <v>0.2727</v>
      </c>
      <c r="BY44" s="230">
        <v>2111</v>
      </c>
      <c r="BZ44" s="230">
        <v>1949</v>
      </c>
      <c r="CA44" s="228">
        <v>162</v>
      </c>
      <c r="CB44" s="229">
        <v>8.3099999999999993E-2</v>
      </c>
      <c r="CC44" s="230">
        <v>1871</v>
      </c>
      <c r="CD44" s="230">
        <v>1716</v>
      </c>
      <c r="CE44" s="228">
        <v>154</v>
      </c>
      <c r="CF44" s="229">
        <v>8.9700000000000002E-2</v>
      </c>
      <c r="CG44" s="228">
        <v>239</v>
      </c>
      <c r="CH44" s="228">
        <v>232</v>
      </c>
      <c r="CI44" s="228">
        <v>7</v>
      </c>
      <c r="CJ44" s="229">
        <v>2.93E-2</v>
      </c>
      <c r="CK44" s="228">
        <v>2</v>
      </c>
      <c r="CL44" s="228">
        <v>1</v>
      </c>
      <c r="CM44" s="228">
        <v>1</v>
      </c>
      <c r="CN44" s="229">
        <v>1.4544999999999999</v>
      </c>
      <c r="CO44" s="228">
        <v>624</v>
      </c>
      <c r="CP44" s="228">
        <v>406</v>
      </c>
      <c r="CQ44" s="228">
        <v>218</v>
      </c>
      <c r="CR44" s="229">
        <v>0.53680000000000005</v>
      </c>
      <c r="CS44" s="228">
        <v>384</v>
      </c>
      <c r="CT44" s="228">
        <v>214</v>
      </c>
      <c r="CU44" s="228">
        <v>170</v>
      </c>
      <c r="CV44" s="229">
        <v>0.79400000000000004</v>
      </c>
      <c r="CW44" s="230">
        <v>3119</v>
      </c>
      <c r="CX44" s="230">
        <v>2569</v>
      </c>
      <c r="CY44" s="228">
        <v>550</v>
      </c>
      <c r="CZ44" s="229">
        <v>0.214</v>
      </c>
      <c r="DA44" s="228">
        <v>41.6</v>
      </c>
      <c r="DB44" s="228">
        <v>44.4</v>
      </c>
      <c r="DC44" s="228">
        <v>-2.8</v>
      </c>
      <c r="DD44" s="228">
        <v>-2.8</v>
      </c>
      <c r="DE44" s="228">
        <v>41.91</v>
      </c>
      <c r="DF44" s="228">
        <v>42.02</v>
      </c>
      <c r="DG44" s="228">
        <v>-0.31</v>
      </c>
      <c r="DH44" s="228">
        <v>-0.11</v>
      </c>
      <c r="DI44" s="228">
        <v>41.67</v>
      </c>
      <c r="DJ44" s="228">
        <v>44.47</v>
      </c>
      <c r="DK44" s="228">
        <v>-2.8</v>
      </c>
      <c r="DL44" s="228">
        <v>-2.8</v>
      </c>
      <c r="DM44" s="228">
        <v>41.4</v>
      </c>
      <c r="DN44" s="228">
        <v>44.17</v>
      </c>
      <c r="DO44" s="228">
        <v>-2.77</v>
      </c>
      <c r="DP44" s="228">
        <v>-2.77</v>
      </c>
      <c r="DQ44" s="228">
        <v>0.61</v>
      </c>
      <c r="DR44" s="228">
        <v>0.53</v>
      </c>
      <c r="DS44" s="228">
        <v>0.08</v>
      </c>
      <c r="DT44" s="229">
        <v>0.15090000000000001</v>
      </c>
      <c r="DU44" s="228">
        <v>900</v>
      </c>
      <c r="DV44" s="228">
        <v>800</v>
      </c>
      <c r="DW44" s="228">
        <v>0.38</v>
      </c>
      <c r="DX44" s="228">
        <v>0.3</v>
      </c>
      <c r="DY44" s="228">
        <v>0.08</v>
      </c>
      <c r="DZ44" s="229">
        <v>0.26669999999999999</v>
      </c>
      <c r="EA44" s="229">
        <v>0.114</v>
      </c>
      <c r="EB44" s="230">
        <v>2792250</v>
      </c>
      <c r="EC44" s="229">
        <v>6.1000000000000004E-3</v>
      </c>
      <c r="ED44" s="229">
        <v>0.114</v>
      </c>
      <c r="EE44" s="228">
        <v>3.93</v>
      </c>
      <c r="EF44" s="229">
        <v>4.7000000000000002E-3</v>
      </c>
      <c r="EG44" s="230">
        <v>2171240</v>
      </c>
      <c r="EH44" s="230">
        <v>3178429</v>
      </c>
      <c r="EI44" s="229">
        <v>-0.31690000000000002</v>
      </c>
      <c r="EJ44" s="229">
        <v>0.2382</v>
      </c>
      <c r="EK44" s="231">
        <v>3764.26</v>
      </c>
      <c r="EL44" s="231">
        <v>1342.11</v>
      </c>
      <c r="EM44" s="231">
        <v>1158.05</v>
      </c>
      <c r="EN44" s="228">
        <v>42.07</v>
      </c>
      <c r="EO44" s="231">
        <v>6264.42</v>
      </c>
      <c r="EP44" s="231">
        <v>2267</v>
      </c>
      <c r="EQ44" s="231">
        <v>3997.42</v>
      </c>
      <c r="ER44" s="229">
        <v>1.7633000000000001</v>
      </c>
      <c r="ES44" s="228">
        <v>636.37</v>
      </c>
      <c r="ET44" s="228">
        <v>363.65</v>
      </c>
      <c r="EU44" s="231">
        <v>2112.62</v>
      </c>
      <c r="EV44" s="231">
        <v>103080397</v>
      </c>
      <c r="EW44" s="231">
        <v>3112.64</v>
      </c>
      <c r="EX44" s="231">
        <v>2564.16</v>
      </c>
      <c r="EY44" s="228">
        <v>548.48</v>
      </c>
      <c r="EZ44" s="229">
        <v>0.21390000000000001</v>
      </c>
      <c r="FA44" s="229">
        <v>0.36299999999999999</v>
      </c>
      <c r="FB44" s="227" t="s">
        <v>555</v>
      </c>
      <c r="FC44">
        <f t="shared" si="0"/>
        <v>240</v>
      </c>
    </row>
    <row r="45" spans="1:159" ht="17.25" thickBot="1" x14ac:dyDescent="0.3">
      <c r="A45" s="226">
        <v>46148</v>
      </c>
      <c r="B45" s="227" t="s">
        <v>175</v>
      </c>
      <c r="C45" s="227" t="s">
        <v>198</v>
      </c>
      <c r="D45" s="228">
        <v>625</v>
      </c>
      <c r="E45" s="228">
        <v>20</v>
      </c>
      <c r="F45" s="231">
        <v>1722.6</v>
      </c>
      <c r="G45" s="231">
        <v>1661.8</v>
      </c>
      <c r="H45" s="228">
        <v>60.8</v>
      </c>
      <c r="I45" s="229">
        <v>3.6600000000000001E-2</v>
      </c>
      <c r="J45" s="231">
        <v>1711.9</v>
      </c>
      <c r="K45" s="231">
        <v>1657.4</v>
      </c>
      <c r="L45" s="228">
        <v>54.5</v>
      </c>
      <c r="M45" s="229">
        <v>3.2899999999999999E-2</v>
      </c>
      <c r="N45" s="231">
        <v>1722.6</v>
      </c>
      <c r="O45" s="231">
        <v>1661.8</v>
      </c>
      <c r="P45" s="228">
        <v>60.8</v>
      </c>
      <c r="Q45" s="229">
        <v>3.6600000000000001E-2</v>
      </c>
      <c r="R45" s="231">
        <v>1731.5</v>
      </c>
      <c r="S45" s="231">
        <v>1671.7</v>
      </c>
      <c r="T45" s="228">
        <v>59.8</v>
      </c>
      <c r="U45" s="229">
        <v>3.5799999999999998E-2</v>
      </c>
      <c r="V45" s="231">
        <v>1740</v>
      </c>
      <c r="W45" s="231">
        <v>1685.8</v>
      </c>
      <c r="X45" s="228">
        <v>54.2</v>
      </c>
      <c r="Y45" s="229">
        <v>3.2199999999999999E-2</v>
      </c>
      <c r="Z45" s="228">
        <v>10.7</v>
      </c>
      <c r="AA45" s="228">
        <v>4.4000000000000004</v>
      </c>
      <c r="AB45" s="228">
        <v>6.3</v>
      </c>
      <c r="AC45" s="229">
        <v>6.3E-3</v>
      </c>
      <c r="AD45" s="228">
        <v>10.7</v>
      </c>
      <c r="AE45" s="228">
        <v>4.4000000000000004</v>
      </c>
      <c r="AF45" s="228">
        <v>6.3</v>
      </c>
      <c r="AG45" s="229">
        <v>6.3E-3</v>
      </c>
      <c r="AH45" s="228">
        <v>19.600000000000001</v>
      </c>
      <c r="AI45" s="228">
        <v>14.3</v>
      </c>
      <c r="AJ45" s="228">
        <v>5.3</v>
      </c>
      <c r="AK45" s="229">
        <v>1.14E-2</v>
      </c>
      <c r="AL45" s="228">
        <v>28.1</v>
      </c>
      <c r="AM45" s="228">
        <v>28.4</v>
      </c>
      <c r="AN45" s="228">
        <v>-0.3</v>
      </c>
      <c r="AO45" s="229">
        <v>1.6400000000000001E-2</v>
      </c>
      <c r="AP45" s="231">
        <v>1707.2</v>
      </c>
      <c r="AQ45" s="231">
        <v>1716.44</v>
      </c>
      <c r="AR45" s="228">
        <v>0</v>
      </c>
      <c r="AS45" s="228">
        <v>345</v>
      </c>
      <c r="AT45" s="228">
        <v>397</v>
      </c>
      <c r="AU45" s="228">
        <v>-52</v>
      </c>
      <c r="AV45" s="229">
        <v>-0.13150000000000001</v>
      </c>
      <c r="AW45" s="228">
        <v>335</v>
      </c>
      <c r="AX45" s="228">
        <v>388</v>
      </c>
      <c r="AY45" s="228">
        <v>-52</v>
      </c>
      <c r="AZ45" s="229">
        <v>-0.1353</v>
      </c>
      <c r="BA45" s="228">
        <v>8</v>
      </c>
      <c r="BB45" s="228">
        <v>8</v>
      </c>
      <c r="BC45" s="228">
        <v>-1</v>
      </c>
      <c r="BD45" s="229">
        <v>-7.7899999999999997E-2</v>
      </c>
      <c r="BE45" s="228">
        <v>2</v>
      </c>
      <c r="BF45" s="228">
        <v>1</v>
      </c>
      <c r="BG45" s="228">
        <v>1</v>
      </c>
      <c r="BH45" s="229">
        <v>0.66669999999999996</v>
      </c>
      <c r="BI45" s="228">
        <v>911</v>
      </c>
      <c r="BJ45" s="228">
        <v>807</v>
      </c>
      <c r="BK45" s="228">
        <v>104</v>
      </c>
      <c r="BL45" s="229">
        <v>0.1283</v>
      </c>
      <c r="BM45" s="228">
        <v>637</v>
      </c>
      <c r="BN45" s="228">
        <v>560</v>
      </c>
      <c r="BO45" s="228">
        <v>76</v>
      </c>
      <c r="BP45" s="229">
        <v>0.1358</v>
      </c>
      <c r="BQ45" s="230">
        <v>1892</v>
      </c>
      <c r="BR45" s="230">
        <v>1765</v>
      </c>
      <c r="BS45" s="228">
        <v>127</v>
      </c>
      <c r="BT45" s="229">
        <v>7.22E-2</v>
      </c>
      <c r="BU45" s="230">
        <v>3499626</v>
      </c>
      <c r="BV45" s="230">
        <v>2760983</v>
      </c>
      <c r="BW45" s="230">
        <v>738643</v>
      </c>
      <c r="BX45" s="229">
        <v>0.26750000000000002</v>
      </c>
      <c r="BY45" s="230">
        <v>3169</v>
      </c>
      <c r="BZ45" s="230">
        <v>3215</v>
      </c>
      <c r="CA45" s="228">
        <v>-46</v>
      </c>
      <c r="CB45" s="229">
        <v>-1.43E-2</v>
      </c>
      <c r="CC45" s="230">
        <v>2993</v>
      </c>
      <c r="CD45" s="230">
        <v>3041</v>
      </c>
      <c r="CE45" s="228">
        <v>-47</v>
      </c>
      <c r="CF45" s="229">
        <v>-1.5599999999999999E-2</v>
      </c>
      <c r="CG45" s="228">
        <v>174</v>
      </c>
      <c r="CH45" s="228">
        <v>173</v>
      </c>
      <c r="CI45" s="228">
        <v>1</v>
      </c>
      <c r="CJ45" s="229">
        <v>6.7999999999999996E-3</v>
      </c>
      <c r="CK45" s="228">
        <v>2</v>
      </c>
      <c r="CL45" s="228">
        <v>1</v>
      </c>
      <c r="CM45" s="228">
        <v>0</v>
      </c>
      <c r="CN45" s="229">
        <v>0.4</v>
      </c>
      <c r="CO45" s="228">
        <v>525</v>
      </c>
      <c r="CP45" s="228">
        <v>472</v>
      </c>
      <c r="CQ45" s="228">
        <v>53</v>
      </c>
      <c r="CR45" s="229">
        <v>0.11269999999999999</v>
      </c>
      <c r="CS45" s="228">
        <v>462</v>
      </c>
      <c r="CT45" s="228">
        <v>423</v>
      </c>
      <c r="CU45" s="228">
        <v>39</v>
      </c>
      <c r="CV45" s="229">
        <v>9.3200000000000005E-2</v>
      </c>
      <c r="CW45" s="230">
        <v>4156</v>
      </c>
      <c r="CX45" s="230">
        <v>4109</v>
      </c>
      <c r="CY45" s="228">
        <v>47</v>
      </c>
      <c r="CZ45" s="229">
        <v>1.14E-2</v>
      </c>
      <c r="DA45" s="228">
        <v>32.840000000000003</v>
      </c>
      <c r="DB45" s="228">
        <v>34.03</v>
      </c>
      <c r="DC45" s="228">
        <v>-1.19</v>
      </c>
      <c r="DD45" s="228">
        <v>-1.19</v>
      </c>
      <c r="DE45" s="228">
        <v>40.869999999999997</v>
      </c>
      <c r="DF45" s="228">
        <v>40.74</v>
      </c>
      <c r="DG45" s="228">
        <v>-8.0299999999999994</v>
      </c>
      <c r="DH45" s="228">
        <v>0.13</v>
      </c>
      <c r="DI45" s="228">
        <v>31.04</v>
      </c>
      <c r="DJ45" s="228">
        <v>32.74</v>
      </c>
      <c r="DK45" s="228">
        <v>-1.7</v>
      </c>
      <c r="DL45" s="228">
        <v>-1.7</v>
      </c>
      <c r="DM45" s="228">
        <v>35.43</v>
      </c>
      <c r="DN45" s="228">
        <v>35.89</v>
      </c>
      <c r="DO45" s="228">
        <v>-0.46</v>
      </c>
      <c r="DP45" s="228">
        <v>-0.46</v>
      </c>
      <c r="DQ45" s="228">
        <v>0.88</v>
      </c>
      <c r="DR45" s="228">
        <v>0.9</v>
      </c>
      <c r="DS45" s="228">
        <v>-0.02</v>
      </c>
      <c r="DT45" s="229">
        <v>-2.2200000000000001E-2</v>
      </c>
      <c r="DU45" s="231">
        <v>1800</v>
      </c>
      <c r="DV45" s="231">
        <v>1400</v>
      </c>
      <c r="DW45" s="228">
        <v>0.7</v>
      </c>
      <c r="DX45" s="228">
        <v>0.69</v>
      </c>
      <c r="DY45" s="228">
        <v>0.01</v>
      </c>
      <c r="DZ45" s="229">
        <v>1.4500000000000001E-2</v>
      </c>
      <c r="EA45" s="229">
        <v>5.5399999999999998E-2</v>
      </c>
      <c r="EB45" s="230">
        <v>1010000</v>
      </c>
      <c r="EC45" s="229">
        <v>5.1999999999999998E-3</v>
      </c>
      <c r="ED45" s="229">
        <v>5.5399999999999998E-2</v>
      </c>
      <c r="EE45" s="228">
        <v>9.24</v>
      </c>
      <c r="EF45" s="229">
        <v>5.4000000000000003E-3</v>
      </c>
      <c r="EG45" s="230">
        <v>2382435</v>
      </c>
      <c r="EH45" s="230">
        <v>1730483</v>
      </c>
      <c r="EI45" s="229">
        <v>0.37669999999999998</v>
      </c>
      <c r="EJ45" s="229">
        <v>0.68079999999999996</v>
      </c>
      <c r="EK45" s="228">
        <v>944.9</v>
      </c>
      <c r="EL45" s="228">
        <v>598.75</v>
      </c>
      <c r="EM45" s="228">
        <v>341.93</v>
      </c>
      <c r="EN45" s="228">
        <v>75.040000000000006</v>
      </c>
      <c r="EO45" s="231">
        <v>1885.59</v>
      </c>
      <c r="EP45" s="231">
        <v>1716.39</v>
      </c>
      <c r="EQ45" s="228">
        <v>169.2</v>
      </c>
      <c r="ER45" s="229">
        <v>9.8599999999999993E-2</v>
      </c>
      <c r="ES45" s="228">
        <v>508.3</v>
      </c>
      <c r="ET45" s="228">
        <v>411.39</v>
      </c>
      <c r="EU45" s="231">
        <v>3169.64</v>
      </c>
      <c r="EV45" s="231">
        <v>63646863</v>
      </c>
      <c r="EW45" s="231">
        <v>4089.32</v>
      </c>
      <c r="EX45" s="231">
        <v>3923.98</v>
      </c>
      <c r="EY45" s="228">
        <v>165.34</v>
      </c>
      <c r="EZ45" s="229">
        <v>4.2099999999999999E-2</v>
      </c>
      <c r="FA45" s="229">
        <v>0.379</v>
      </c>
      <c r="FB45" s="227" t="s">
        <v>691</v>
      </c>
      <c r="FC45">
        <f t="shared" si="0"/>
        <v>176</v>
      </c>
    </row>
    <row r="46" spans="1:159" ht="17.25" thickBot="1" x14ac:dyDescent="0.3">
      <c r="A46" s="226">
        <v>46148</v>
      </c>
      <c r="B46" s="227" t="s">
        <v>170</v>
      </c>
      <c r="C46" s="227" t="s">
        <v>199</v>
      </c>
      <c r="D46" s="228">
        <v>375</v>
      </c>
      <c r="E46" s="228">
        <v>20</v>
      </c>
      <c r="F46" s="231">
        <v>1370</v>
      </c>
      <c r="G46" s="231">
        <v>1336.7</v>
      </c>
      <c r="H46" s="228">
        <v>33.299999999999997</v>
      </c>
      <c r="I46" s="229">
        <v>2.4899999999999999E-2</v>
      </c>
      <c r="J46" s="231">
        <v>1364.4</v>
      </c>
      <c r="K46" s="231">
        <v>1333.7</v>
      </c>
      <c r="L46" s="228">
        <v>30.7</v>
      </c>
      <c r="M46" s="229">
        <v>2.3E-2</v>
      </c>
      <c r="N46" s="231">
        <v>1370</v>
      </c>
      <c r="O46" s="231">
        <v>1336.7</v>
      </c>
      <c r="P46" s="228">
        <v>33.299999999999997</v>
      </c>
      <c r="Q46" s="229">
        <v>2.4899999999999999E-2</v>
      </c>
      <c r="R46" s="231">
        <v>1371</v>
      </c>
      <c r="S46" s="231">
        <v>1339.3</v>
      </c>
      <c r="T46" s="228">
        <v>31.7</v>
      </c>
      <c r="U46" s="229">
        <v>2.3699999999999999E-2</v>
      </c>
      <c r="V46" s="231">
        <v>1374.9</v>
      </c>
      <c r="W46" s="231">
        <v>1343</v>
      </c>
      <c r="X46" s="228">
        <v>31.9</v>
      </c>
      <c r="Y46" s="229">
        <v>2.3800000000000002E-2</v>
      </c>
      <c r="Z46" s="228">
        <v>5.6</v>
      </c>
      <c r="AA46" s="228">
        <v>3</v>
      </c>
      <c r="AB46" s="228">
        <v>2.6</v>
      </c>
      <c r="AC46" s="229">
        <v>4.1000000000000003E-3</v>
      </c>
      <c r="AD46" s="228">
        <v>5.6</v>
      </c>
      <c r="AE46" s="228">
        <v>3</v>
      </c>
      <c r="AF46" s="228">
        <v>2.6</v>
      </c>
      <c r="AG46" s="229">
        <v>4.1000000000000003E-3</v>
      </c>
      <c r="AH46" s="228">
        <v>6.6</v>
      </c>
      <c r="AI46" s="228">
        <v>5.6</v>
      </c>
      <c r="AJ46" s="228">
        <v>1</v>
      </c>
      <c r="AK46" s="229">
        <v>4.7999999999999996E-3</v>
      </c>
      <c r="AL46" s="228">
        <v>10.5</v>
      </c>
      <c r="AM46" s="228">
        <v>9.3000000000000007</v>
      </c>
      <c r="AN46" s="228">
        <v>1.2</v>
      </c>
      <c r="AO46" s="229">
        <v>7.7000000000000002E-3</v>
      </c>
      <c r="AP46" s="231">
        <v>1363.55</v>
      </c>
      <c r="AQ46" s="231">
        <v>1360.47</v>
      </c>
      <c r="AR46" s="228">
        <v>0</v>
      </c>
      <c r="AS46" s="228">
        <v>259</v>
      </c>
      <c r="AT46" s="228">
        <v>146</v>
      </c>
      <c r="AU46" s="228">
        <v>114</v>
      </c>
      <c r="AV46" s="229">
        <v>0.77990000000000004</v>
      </c>
      <c r="AW46" s="228">
        <v>232</v>
      </c>
      <c r="AX46" s="228">
        <v>133</v>
      </c>
      <c r="AY46" s="228">
        <v>99</v>
      </c>
      <c r="AZ46" s="229">
        <v>0.74250000000000005</v>
      </c>
      <c r="BA46" s="228">
        <v>26</v>
      </c>
      <c r="BB46" s="228">
        <v>12</v>
      </c>
      <c r="BC46" s="228">
        <v>15</v>
      </c>
      <c r="BD46" s="229">
        <v>1.2743</v>
      </c>
      <c r="BE46" s="228">
        <v>1</v>
      </c>
      <c r="BF46" s="228">
        <v>1</v>
      </c>
      <c r="BG46" s="228">
        <v>0</v>
      </c>
      <c r="BH46" s="229">
        <v>-0.2</v>
      </c>
      <c r="BI46" s="230">
        <v>1299</v>
      </c>
      <c r="BJ46" s="228">
        <v>551</v>
      </c>
      <c r="BK46" s="228">
        <v>748</v>
      </c>
      <c r="BL46" s="229">
        <v>1.3565</v>
      </c>
      <c r="BM46" s="228">
        <v>457</v>
      </c>
      <c r="BN46" s="228">
        <v>266</v>
      </c>
      <c r="BO46" s="228">
        <v>191</v>
      </c>
      <c r="BP46" s="229">
        <v>0.71940000000000004</v>
      </c>
      <c r="BQ46" s="230">
        <v>2015</v>
      </c>
      <c r="BR46" s="228">
        <v>963</v>
      </c>
      <c r="BS46" s="230">
        <v>1052</v>
      </c>
      <c r="BT46" s="229">
        <v>1.0932999999999999</v>
      </c>
      <c r="BU46" s="230">
        <v>1919285</v>
      </c>
      <c r="BV46" s="230">
        <v>1078834</v>
      </c>
      <c r="BW46" s="230">
        <v>840451</v>
      </c>
      <c r="BX46" s="229">
        <v>0.77900000000000003</v>
      </c>
      <c r="BY46" s="230">
        <v>1814</v>
      </c>
      <c r="BZ46" s="230">
        <v>1855</v>
      </c>
      <c r="CA46" s="228">
        <v>-41</v>
      </c>
      <c r="CB46" s="229">
        <v>-2.1999999999999999E-2</v>
      </c>
      <c r="CC46" s="230">
        <v>1755</v>
      </c>
      <c r="CD46" s="230">
        <v>1802</v>
      </c>
      <c r="CE46" s="228">
        <v>-47</v>
      </c>
      <c r="CF46" s="229">
        <v>-2.5999999999999999E-2</v>
      </c>
      <c r="CG46" s="228">
        <v>56</v>
      </c>
      <c r="CH46" s="228">
        <v>50</v>
      </c>
      <c r="CI46" s="228">
        <v>6</v>
      </c>
      <c r="CJ46" s="229">
        <v>0.1191</v>
      </c>
      <c r="CK46" s="228">
        <v>2</v>
      </c>
      <c r="CL46" s="228">
        <v>2</v>
      </c>
      <c r="CM46" s="228">
        <v>0</v>
      </c>
      <c r="CN46" s="229">
        <v>0</v>
      </c>
      <c r="CO46" s="228">
        <v>689</v>
      </c>
      <c r="CP46" s="228">
        <v>663</v>
      </c>
      <c r="CQ46" s="228">
        <v>26</v>
      </c>
      <c r="CR46" s="229">
        <v>0.04</v>
      </c>
      <c r="CS46" s="228">
        <v>499</v>
      </c>
      <c r="CT46" s="228">
        <v>438</v>
      </c>
      <c r="CU46" s="228">
        <v>61</v>
      </c>
      <c r="CV46" s="229">
        <v>0.1399</v>
      </c>
      <c r="CW46" s="230">
        <v>3002</v>
      </c>
      <c r="CX46" s="230">
        <v>2955</v>
      </c>
      <c r="CY46" s="228">
        <v>47</v>
      </c>
      <c r="CZ46" s="229">
        <v>1.5800000000000002E-2</v>
      </c>
      <c r="DA46" s="228">
        <v>24.93</v>
      </c>
      <c r="DB46" s="228">
        <v>26.35</v>
      </c>
      <c r="DC46" s="228">
        <v>-1.42</v>
      </c>
      <c r="DD46" s="228">
        <v>-1.42</v>
      </c>
      <c r="DE46" s="228">
        <v>25.86</v>
      </c>
      <c r="DF46" s="228">
        <v>25.72</v>
      </c>
      <c r="DG46" s="228">
        <v>-0.93</v>
      </c>
      <c r="DH46" s="228">
        <v>0.14000000000000001</v>
      </c>
      <c r="DI46" s="228">
        <v>24.3</v>
      </c>
      <c r="DJ46" s="228">
        <v>25.64</v>
      </c>
      <c r="DK46" s="228">
        <v>-1.34</v>
      </c>
      <c r="DL46" s="228">
        <v>-1.34</v>
      </c>
      <c r="DM46" s="228">
        <v>26.73</v>
      </c>
      <c r="DN46" s="228">
        <v>27.83</v>
      </c>
      <c r="DO46" s="228">
        <v>-1.1000000000000001</v>
      </c>
      <c r="DP46" s="228">
        <v>-1.1000000000000001</v>
      </c>
      <c r="DQ46" s="228">
        <v>0.72</v>
      </c>
      <c r="DR46" s="228">
        <v>0.66</v>
      </c>
      <c r="DS46" s="228">
        <v>0.06</v>
      </c>
      <c r="DT46" s="229">
        <v>9.0899999999999995E-2</v>
      </c>
      <c r="DU46" s="231">
        <v>1420</v>
      </c>
      <c r="DV46" s="231">
        <v>1200</v>
      </c>
      <c r="DW46" s="228">
        <v>0.35</v>
      </c>
      <c r="DX46" s="228">
        <v>0.48</v>
      </c>
      <c r="DY46" s="228">
        <v>-0.13</v>
      </c>
      <c r="DZ46" s="229">
        <v>-0.27079999999999999</v>
      </c>
      <c r="EA46" s="229">
        <v>3.2399999999999998E-2</v>
      </c>
      <c r="EB46" s="230">
        <v>385675</v>
      </c>
      <c r="EC46" s="229">
        <v>6.9999999999999999E-4</v>
      </c>
      <c r="ED46" s="229">
        <v>3.2399999999999998E-2</v>
      </c>
      <c r="EE46" s="228">
        <v>-3.08</v>
      </c>
      <c r="EF46" s="229">
        <v>-2.3E-3</v>
      </c>
      <c r="EG46" s="230">
        <v>1037858</v>
      </c>
      <c r="EH46" s="230">
        <v>503942</v>
      </c>
      <c r="EI46" s="229">
        <v>1.0595000000000001</v>
      </c>
      <c r="EJ46" s="229">
        <v>0.54079999999999995</v>
      </c>
      <c r="EK46" s="231">
        <v>1346.4</v>
      </c>
      <c r="EL46" s="228">
        <v>442.21</v>
      </c>
      <c r="EM46" s="228">
        <v>258.04000000000002</v>
      </c>
      <c r="EN46" s="228">
        <v>30.97</v>
      </c>
      <c r="EO46" s="231">
        <v>2046.65</v>
      </c>
      <c r="EP46" s="228">
        <v>956.98</v>
      </c>
      <c r="EQ46" s="231">
        <v>1089.67</v>
      </c>
      <c r="ER46" s="229">
        <v>1.1387</v>
      </c>
      <c r="ES46" s="228">
        <v>699.29</v>
      </c>
      <c r="ET46" s="228">
        <v>463.84</v>
      </c>
      <c r="EU46" s="231">
        <v>1814.18</v>
      </c>
      <c r="EV46" s="231">
        <v>76385219</v>
      </c>
      <c r="EW46" s="231">
        <v>2977.31</v>
      </c>
      <c r="EX46" s="231">
        <v>2882.14</v>
      </c>
      <c r="EY46" s="228">
        <v>95.17</v>
      </c>
      <c r="EZ46" s="229">
        <v>3.3000000000000002E-2</v>
      </c>
      <c r="FA46" s="229">
        <v>0.28689999999999999</v>
      </c>
      <c r="FB46" s="227" t="s">
        <v>691</v>
      </c>
      <c r="FC46">
        <f t="shared" si="0"/>
        <v>59</v>
      </c>
    </row>
    <row r="47" spans="1:159" ht="17.25" thickBot="1" x14ac:dyDescent="0.3">
      <c r="A47" s="226">
        <v>46148</v>
      </c>
      <c r="B47" s="227" t="s">
        <v>227</v>
      </c>
      <c r="C47" s="227" t="s">
        <v>200</v>
      </c>
      <c r="D47" s="228">
        <v>1350</v>
      </c>
      <c r="E47" s="228">
        <v>20</v>
      </c>
      <c r="F47" s="228">
        <v>471.25</v>
      </c>
      <c r="G47" s="228">
        <v>475.1</v>
      </c>
      <c r="H47" s="228">
        <v>-3.85</v>
      </c>
      <c r="I47" s="229">
        <v>-8.0999999999999996E-3</v>
      </c>
      <c r="J47" s="228">
        <v>470.2</v>
      </c>
      <c r="K47" s="228">
        <v>472.6</v>
      </c>
      <c r="L47" s="228">
        <v>-2.4</v>
      </c>
      <c r="M47" s="229">
        <v>-5.1000000000000004E-3</v>
      </c>
      <c r="N47" s="228">
        <v>471.25</v>
      </c>
      <c r="O47" s="228">
        <v>475.1</v>
      </c>
      <c r="P47" s="228">
        <v>-3.85</v>
      </c>
      <c r="Q47" s="229">
        <v>-8.0999999999999996E-3</v>
      </c>
      <c r="R47" s="228">
        <v>471.3</v>
      </c>
      <c r="S47" s="228">
        <v>474.7</v>
      </c>
      <c r="T47" s="228">
        <v>-3.4</v>
      </c>
      <c r="U47" s="229">
        <v>-7.1999999999999998E-3</v>
      </c>
      <c r="V47" s="228">
        <v>470.75</v>
      </c>
      <c r="W47" s="228">
        <v>475.3</v>
      </c>
      <c r="X47" s="228">
        <v>-4.55</v>
      </c>
      <c r="Y47" s="229">
        <v>-9.5999999999999992E-3</v>
      </c>
      <c r="Z47" s="228">
        <v>1.05</v>
      </c>
      <c r="AA47" s="228">
        <v>2.5</v>
      </c>
      <c r="AB47" s="228">
        <v>-1.45</v>
      </c>
      <c r="AC47" s="229">
        <v>2.2000000000000001E-3</v>
      </c>
      <c r="AD47" s="228">
        <v>1.05</v>
      </c>
      <c r="AE47" s="228">
        <v>2.5</v>
      </c>
      <c r="AF47" s="228">
        <v>-1.45</v>
      </c>
      <c r="AG47" s="229">
        <v>2.2000000000000001E-3</v>
      </c>
      <c r="AH47" s="228">
        <v>1.1000000000000001</v>
      </c>
      <c r="AI47" s="228">
        <v>2.1</v>
      </c>
      <c r="AJ47" s="228">
        <v>-1</v>
      </c>
      <c r="AK47" s="229">
        <v>2.3E-3</v>
      </c>
      <c r="AL47" s="228">
        <v>0.55000000000000004</v>
      </c>
      <c r="AM47" s="228">
        <v>2.7</v>
      </c>
      <c r="AN47" s="228">
        <v>-2.15</v>
      </c>
      <c r="AO47" s="229">
        <v>1.1999999999999999E-3</v>
      </c>
      <c r="AP47" s="228">
        <v>473.8</v>
      </c>
      <c r="AQ47" s="228">
        <v>474.25</v>
      </c>
      <c r="AR47" s="228">
        <v>0</v>
      </c>
      <c r="AS47" s="228">
        <v>434</v>
      </c>
      <c r="AT47" s="228">
        <v>219</v>
      </c>
      <c r="AU47" s="228">
        <v>216</v>
      </c>
      <c r="AV47" s="229">
        <v>0.98460000000000003</v>
      </c>
      <c r="AW47" s="228">
        <v>410</v>
      </c>
      <c r="AX47" s="228">
        <v>197</v>
      </c>
      <c r="AY47" s="228">
        <v>213</v>
      </c>
      <c r="AZ47" s="229">
        <v>1.079</v>
      </c>
      <c r="BA47" s="228">
        <v>22</v>
      </c>
      <c r="BB47" s="228">
        <v>19</v>
      </c>
      <c r="BC47" s="228">
        <v>3</v>
      </c>
      <c r="BD47" s="229">
        <v>0.18559999999999999</v>
      </c>
      <c r="BE47" s="228">
        <v>2</v>
      </c>
      <c r="BF47" s="228">
        <v>3</v>
      </c>
      <c r="BG47" s="228">
        <v>-1</v>
      </c>
      <c r="BH47" s="229">
        <v>-0.24490000000000001</v>
      </c>
      <c r="BI47" s="230">
        <v>1865</v>
      </c>
      <c r="BJ47" s="230">
        <v>1184</v>
      </c>
      <c r="BK47" s="228">
        <v>681</v>
      </c>
      <c r="BL47" s="229">
        <v>0.57540000000000002</v>
      </c>
      <c r="BM47" s="230">
        <v>1150</v>
      </c>
      <c r="BN47" s="228">
        <v>699</v>
      </c>
      <c r="BO47" s="228">
        <v>451</v>
      </c>
      <c r="BP47" s="229">
        <v>0.64559999999999995</v>
      </c>
      <c r="BQ47" s="230">
        <v>3450</v>
      </c>
      <c r="BR47" s="230">
        <v>2102</v>
      </c>
      <c r="BS47" s="230">
        <v>1348</v>
      </c>
      <c r="BT47" s="229">
        <v>0.64139999999999997</v>
      </c>
      <c r="BU47" s="230">
        <v>9177313</v>
      </c>
      <c r="BV47" s="230">
        <v>7186992</v>
      </c>
      <c r="BW47" s="230">
        <v>1990321</v>
      </c>
      <c r="BX47" s="229">
        <v>0.27689999999999998</v>
      </c>
      <c r="BY47" s="230">
        <v>2447</v>
      </c>
      <c r="BZ47" s="230">
        <v>2475</v>
      </c>
      <c r="CA47" s="228">
        <v>-29</v>
      </c>
      <c r="CB47" s="229">
        <v>-1.1599999999999999E-2</v>
      </c>
      <c r="CC47" s="230">
        <v>2344</v>
      </c>
      <c r="CD47" s="230">
        <v>2378</v>
      </c>
      <c r="CE47" s="228">
        <v>-34</v>
      </c>
      <c r="CF47" s="229">
        <v>-1.43E-2</v>
      </c>
      <c r="CG47" s="228">
        <v>96</v>
      </c>
      <c r="CH47" s="228">
        <v>92</v>
      </c>
      <c r="CI47" s="228">
        <v>4</v>
      </c>
      <c r="CJ47" s="229">
        <v>4.5699999999999998E-2</v>
      </c>
      <c r="CK47" s="228">
        <v>6</v>
      </c>
      <c r="CL47" s="228">
        <v>5</v>
      </c>
      <c r="CM47" s="228">
        <v>1</v>
      </c>
      <c r="CN47" s="229">
        <v>0.25</v>
      </c>
      <c r="CO47" s="230">
        <v>1395</v>
      </c>
      <c r="CP47" s="230">
        <v>1327</v>
      </c>
      <c r="CQ47" s="228">
        <v>68</v>
      </c>
      <c r="CR47" s="229">
        <v>5.1200000000000002E-2</v>
      </c>
      <c r="CS47" s="228">
        <v>904</v>
      </c>
      <c r="CT47" s="228">
        <v>844</v>
      </c>
      <c r="CU47" s="228">
        <v>60</v>
      </c>
      <c r="CV47" s="229">
        <v>7.1199999999999999E-2</v>
      </c>
      <c r="CW47" s="230">
        <v>4746</v>
      </c>
      <c r="CX47" s="230">
        <v>4646</v>
      </c>
      <c r="CY47" s="228">
        <v>99</v>
      </c>
      <c r="CZ47" s="229">
        <v>2.1399999999999999E-2</v>
      </c>
      <c r="DA47" s="228">
        <v>26.73</v>
      </c>
      <c r="DB47" s="228">
        <v>26.37</v>
      </c>
      <c r="DC47" s="228">
        <v>0.36</v>
      </c>
      <c r="DD47" s="228">
        <v>0.36</v>
      </c>
      <c r="DE47" s="228">
        <v>31.03</v>
      </c>
      <c r="DF47" s="228">
        <v>31.09</v>
      </c>
      <c r="DG47" s="228">
        <v>-4.3</v>
      </c>
      <c r="DH47" s="228">
        <v>-0.06</v>
      </c>
      <c r="DI47" s="228">
        <v>26.67</v>
      </c>
      <c r="DJ47" s="228">
        <v>26.29</v>
      </c>
      <c r="DK47" s="228">
        <v>0.38</v>
      </c>
      <c r="DL47" s="228">
        <v>0.38</v>
      </c>
      <c r="DM47" s="228">
        <v>26.83</v>
      </c>
      <c r="DN47" s="228">
        <v>26.51</v>
      </c>
      <c r="DO47" s="228">
        <v>0.32</v>
      </c>
      <c r="DP47" s="228">
        <v>0.32</v>
      </c>
      <c r="DQ47" s="228">
        <v>0.65</v>
      </c>
      <c r="DR47" s="228">
        <v>0.64</v>
      </c>
      <c r="DS47" s="228">
        <v>0.01</v>
      </c>
      <c r="DT47" s="229">
        <v>1.5599999999999999E-2</v>
      </c>
      <c r="DU47" s="228">
        <v>500</v>
      </c>
      <c r="DV47" s="228">
        <v>470</v>
      </c>
      <c r="DW47" s="228">
        <v>0.62</v>
      </c>
      <c r="DX47" s="228">
        <v>0.59</v>
      </c>
      <c r="DY47" s="228">
        <v>0.03</v>
      </c>
      <c r="DZ47" s="229">
        <v>5.0799999999999998E-2</v>
      </c>
      <c r="EA47" s="229">
        <v>4.19E-2</v>
      </c>
      <c r="EB47" s="230">
        <v>2058750</v>
      </c>
      <c r="EC47" s="229">
        <v>1E-4</v>
      </c>
      <c r="ED47" s="229">
        <v>4.19E-2</v>
      </c>
      <c r="EE47" s="228">
        <v>0.45</v>
      </c>
      <c r="EF47" s="229">
        <v>8.9999999999999998E-4</v>
      </c>
      <c r="EG47" s="230">
        <v>5934748</v>
      </c>
      <c r="EH47" s="230">
        <v>3519086</v>
      </c>
      <c r="EI47" s="229">
        <v>0.68640000000000001</v>
      </c>
      <c r="EJ47" s="229">
        <v>0.64670000000000005</v>
      </c>
      <c r="EK47" s="231">
        <v>1972.23</v>
      </c>
      <c r="EL47" s="231">
        <v>1148.77</v>
      </c>
      <c r="EM47" s="228">
        <v>436.82</v>
      </c>
      <c r="EN47" s="228">
        <v>78.61</v>
      </c>
      <c r="EO47" s="231">
        <v>3557.82</v>
      </c>
      <c r="EP47" s="231">
        <v>2177.31</v>
      </c>
      <c r="EQ47" s="231">
        <v>1380.51</v>
      </c>
      <c r="ER47" s="229">
        <v>0.63400000000000001</v>
      </c>
      <c r="ES47" s="231">
        <v>1459.84</v>
      </c>
      <c r="ET47" s="228">
        <v>872.4</v>
      </c>
      <c r="EU47" s="231">
        <v>2446.5300000000002</v>
      </c>
      <c r="EV47" s="231">
        <v>320531323</v>
      </c>
      <c r="EW47" s="231">
        <v>4778.7700000000004</v>
      </c>
      <c r="EX47" s="231">
        <v>4692.83</v>
      </c>
      <c r="EY47" s="228">
        <v>85.94</v>
      </c>
      <c r="EZ47" s="229">
        <v>1.83E-2</v>
      </c>
      <c r="FA47" s="229">
        <v>0.31419999999999998</v>
      </c>
      <c r="FB47" s="227" t="s">
        <v>567</v>
      </c>
      <c r="FC47">
        <f t="shared" si="0"/>
        <v>103</v>
      </c>
    </row>
    <row r="48" spans="1:159" ht="17.25" thickBot="1" x14ac:dyDescent="0.3">
      <c r="A48" s="226">
        <v>46148</v>
      </c>
      <c r="B48" s="227" t="s">
        <v>215</v>
      </c>
      <c r="C48" s="227" t="s">
        <v>694</v>
      </c>
      <c r="D48" s="228">
        <v>400</v>
      </c>
      <c r="E48" s="228">
        <v>20</v>
      </c>
      <c r="F48" s="231">
        <v>1759.4</v>
      </c>
      <c r="G48" s="231">
        <v>1721.8</v>
      </c>
      <c r="H48" s="228">
        <v>37.6</v>
      </c>
      <c r="I48" s="229">
        <v>2.18E-2</v>
      </c>
      <c r="J48" s="231">
        <v>1753.1</v>
      </c>
      <c r="K48" s="231">
        <v>1712.2</v>
      </c>
      <c r="L48" s="228">
        <v>40.9</v>
      </c>
      <c r="M48" s="229">
        <v>2.3900000000000001E-2</v>
      </c>
      <c r="N48" s="231">
        <v>1759.4</v>
      </c>
      <c r="O48" s="231">
        <v>1721.8</v>
      </c>
      <c r="P48" s="228">
        <v>37.6</v>
      </c>
      <c r="Q48" s="229">
        <v>2.18E-2</v>
      </c>
      <c r="R48" s="231">
        <v>1760.3</v>
      </c>
      <c r="S48" s="231">
        <v>1729.2</v>
      </c>
      <c r="T48" s="228">
        <v>31.1</v>
      </c>
      <c r="U48" s="229">
        <v>1.7999999999999999E-2</v>
      </c>
      <c r="V48" s="231">
        <v>1767.8</v>
      </c>
      <c r="W48" s="231">
        <v>1725</v>
      </c>
      <c r="X48" s="228">
        <v>42.8</v>
      </c>
      <c r="Y48" s="229">
        <v>2.4799999999999999E-2</v>
      </c>
      <c r="Z48" s="228">
        <v>6.3</v>
      </c>
      <c r="AA48" s="228">
        <v>9.6</v>
      </c>
      <c r="AB48" s="228">
        <v>-3.3</v>
      </c>
      <c r="AC48" s="229">
        <v>3.5999999999999999E-3</v>
      </c>
      <c r="AD48" s="228">
        <v>6.3</v>
      </c>
      <c r="AE48" s="228">
        <v>9.6</v>
      </c>
      <c r="AF48" s="228">
        <v>-3.3</v>
      </c>
      <c r="AG48" s="229">
        <v>3.5999999999999999E-3</v>
      </c>
      <c r="AH48" s="228">
        <v>7.2</v>
      </c>
      <c r="AI48" s="228">
        <v>17</v>
      </c>
      <c r="AJ48" s="228">
        <v>-9.8000000000000007</v>
      </c>
      <c r="AK48" s="229">
        <v>4.1000000000000003E-3</v>
      </c>
      <c r="AL48" s="228">
        <v>14.7</v>
      </c>
      <c r="AM48" s="228">
        <v>12.8</v>
      </c>
      <c r="AN48" s="228">
        <v>1.9</v>
      </c>
      <c r="AO48" s="229">
        <v>8.3999999999999995E-3</v>
      </c>
      <c r="AP48" s="231">
        <v>1756.2</v>
      </c>
      <c r="AQ48" s="231">
        <v>1761.77</v>
      </c>
      <c r="AR48" s="228">
        <v>0</v>
      </c>
      <c r="AS48" s="228">
        <v>135</v>
      </c>
      <c r="AT48" s="228">
        <v>91</v>
      </c>
      <c r="AU48" s="228">
        <v>44</v>
      </c>
      <c r="AV48" s="229">
        <v>0.48299999999999998</v>
      </c>
      <c r="AW48" s="228">
        <v>124</v>
      </c>
      <c r="AX48" s="228">
        <v>87</v>
      </c>
      <c r="AY48" s="228">
        <v>37</v>
      </c>
      <c r="AZ48" s="229">
        <v>0.42730000000000001</v>
      </c>
      <c r="BA48" s="228">
        <v>10</v>
      </c>
      <c r="BB48" s="228">
        <v>3</v>
      </c>
      <c r="BC48" s="228">
        <v>7</v>
      </c>
      <c r="BD48" s="229">
        <v>2.0434999999999999</v>
      </c>
      <c r="BE48" s="228">
        <v>1</v>
      </c>
      <c r="BF48" s="228">
        <v>1</v>
      </c>
      <c r="BG48" s="228">
        <v>0</v>
      </c>
      <c r="BH48" s="229">
        <v>0.2</v>
      </c>
      <c r="BI48" s="228">
        <v>431</v>
      </c>
      <c r="BJ48" s="228">
        <v>123</v>
      </c>
      <c r="BK48" s="228">
        <v>307</v>
      </c>
      <c r="BL48" s="229">
        <v>2.496</v>
      </c>
      <c r="BM48" s="228">
        <v>96</v>
      </c>
      <c r="BN48" s="228">
        <v>46</v>
      </c>
      <c r="BO48" s="228">
        <v>51</v>
      </c>
      <c r="BP48" s="229">
        <v>1.1111</v>
      </c>
      <c r="BQ48" s="228">
        <v>662</v>
      </c>
      <c r="BR48" s="228">
        <v>260</v>
      </c>
      <c r="BS48" s="228">
        <v>402</v>
      </c>
      <c r="BT48" s="229">
        <v>1.5474000000000001</v>
      </c>
      <c r="BU48" s="230">
        <v>2244041</v>
      </c>
      <c r="BV48" s="230">
        <v>1376640</v>
      </c>
      <c r="BW48" s="230">
        <v>867401</v>
      </c>
      <c r="BX48" s="229">
        <v>0.63009999999999999</v>
      </c>
      <c r="BY48" s="228">
        <v>441</v>
      </c>
      <c r="BZ48" s="228">
        <v>444</v>
      </c>
      <c r="CA48" s="228">
        <v>-3</v>
      </c>
      <c r="CB48" s="229">
        <v>-6.1999999999999998E-3</v>
      </c>
      <c r="CC48" s="228">
        <v>426</v>
      </c>
      <c r="CD48" s="228">
        <v>426</v>
      </c>
      <c r="CE48" s="228">
        <v>-1</v>
      </c>
      <c r="CF48" s="229">
        <v>-2.0999999999999999E-3</v>
      </c>
      <c r="CG48" s="228">
        <v>14</v>
      </c>
      <c r="CH48" s="228">
        <v>15</v>
      </c>
      <c r="CI48" s="228">
        <v>-2</v>
      </c>
      <c r="CJ48" s="229">
        <v>-0.12330000000000001</v>
      </c>
      <c r="CK48" s="228">
        <v>2</v>
      </c>
      <c r="CL48" s="228">
        <v>2</v>
      </c>
      <c r="CM48" s="228">
        <v>0</v>
      </c>
      <c r="CN48" s="229">
        <v>0.04</v>
      </c>
      <c r="CO48" s="228">
        <v>234</v>
      </c>
      <c r="CP48" s="228">
        <v>214</v>
      </c>
      <c r="CQ48" s="228">
        <v>20</v>
      </c>
      <c r="CR48" s="229">
        <v>9.1800000000000007E-2</v>
      </c>
      <c r="CS48" s="228">
        <v>158</v>
      </c>
      <c r="CT48" s="228">
        <v>148</v>
      </c>
      <c r="CU48" s="228">
        <v>10</v>
      </c>
      <c r="CV48" s="229">
        <v>6.7100000000000007E-2</v>
      </c>
      <c r="CW48" s="228">
        <v>832</v>
      </c>
      <c r="CX48" s="228">
        <v>805</v>
      </c>
      <c r="CY48" s="228">
        <v>27</v>
      </c>
      <c r="CZ48" s="229">
        <v>3.3300000000000003E-2</v>
      </c>
      <c r="DA48" s="228">
        <v>49.4</v>
      </c>
      <c r="DB48" s="228">
        <v>49.32</v>
      </c>
      <c r="DC48" s="228">
        <v>0.08</v>
      </c>
      <c r="DD48" s="228">
        <v>0.08</v>
      </c>
      <c r="DE48" s="228">
        <v>54.25</v>
      </c>
      <c r="DF48" s="228">
        <v>54.29</v>
      </c>
      <c r="DG48" s="228">
        <v>-4.8499999999999996</v>
      </c>
      <c r="DH48" s="228">
        <v>-0.04</v>
      </c>
      <c r="DI48" s="228">
        <v>49.44</v>
      </c>
      <c r="DJ48" s="228">
        <v>49.23</v>
      </c>
      <c r="DK48" s="228">
        <v>0.21</v>
      </c>
      <c r="DL48" s="228">
        <v>0.21</v>
      </c>
      <c r="DM48" s="228">
        <v>49.24</v>
      </c>
      <c r="DN48" s="228">
        <v>49.58</v>
      </c>
      <c r="DO48" s="228">
        <v>-0.34</v>
      </c>
      <c r="DP48" s="228">
        <v>-0.34</v>
      </c>
      <c r="DQ48" s="228">
        <v>0.68</v>
      </c>
      <c r="DR48" s="228">
        <v>0.69</v>
      </c>
      <c r="DS48" s="228">
        <v>-0.01</v>
      </c>
      <c r="DT48" s="229">
        <v>-1.4500000000000001E-2</v>
      </c>
      <c r="DU48" s="231">
        <v>1900</v>
      </c>
      <c r="DV48" s="231">
        <v>1600</v>
      </c>
      <c r="DW48" s="228">
        <v>0.22</v>
      </c>
      <c r="DX48" s="228">
        <v>0.37</v>
      </c>
      <c r="DY48" s="228">
        <v>-0.15</v>
      </c>
      <c r="DZ48" s="229">
        <v>-0.40539999999999998</v>
      </c>
      <c r="EA48" s="229">
        <v>3.4799999999999998E-2</v>
      </c>
      <c r="EB48" s="230">
        <v>97600</v>
      </c>
      <c r="EC48" s="229">
        <v>5.0000000000000001E-4</v>
      </c>
      <c r="ED48" s="229">
        <v>3.4799999999999998E-2</v>
      </c>
      <c r="EE48" s="228">
        <v>5.57</v>
      </c>
      <c r="EF48" s="229">
        <v>3.2000000000000002E-3</v>
      </c>
      <c r="EG48" s="230">
        <v>629830</v>
      </c>
      <c r="EH48" s="230">
        <v>349050</v>
      </c>
      <c r="EI48" s="229">
        <v>0.8044</v>
      </c>
      <c r="EJ48" s="229">
        <v>0.28070000000000001</v>
      </c>
      <c r="EK48" s="228">
        <v>455.92</v>
      </c>
      <c r="EL48" s="228">
        <v>92.9</v>
      </c>
      <c r="EM48" s="228">
        <v>134.84</v>
      </c>
      <c r="EN48" s="228">
        <v>30.55</v>
      </c>
      <c r="EO48" s="228">
        <v>683.65</v>
      </c>
      <c r="EP48" s="228">
        <v>259.77999999999997</v>
      </c>
      <c r="EQ48" s="228">
        <v>423.87</v>
      </c>
      <c r="ER48" s="229">
        <v>1.6316999999999999</v>
      </c>
      <c r="ES48" s="228">
        <v>237.16</v>
      </c>
      <c r="ET48" s="228">
        <v>144.03</v>
      </c>
      <c r="EU48" s="228">
        <v>440.92</v>
      </c>
      <c r="EV48" s="231">
        <v>12661431</v>
      </c>
      <c r="EW48" s="228">
        <v>822.11</v>
      </c>
      <c r="EX48" s="228">
        <v>784.99</v>
      </c>
      <c r="EY48" s="228">
        <v>37.119999999999997</v>
      </c>
      <c r="EZ48" s="229">
        <v>4.7300000000000002E-2</v>
      </c>
      <c r="FA48" s="229">
        <v>0.37359999999999999</v>
      </c>
      <c r="FB48" s="227" t="s">
        <v>691</v>
      </c>
      <c r="FC48">
        <f t="shared" si="0"/>
        <v>15</v>
      </c>
    </row>
    <row r="49" spans="1:159" ht="17.25" thickBot="1" x14ac:dyDescent="0.3">
      <c r="A49" s="226">
        <v>46148</v>
      </c>
      <c r="B49" s="227" t="s">
        <v>221</v>
      </c>
      <c r="C49" s="227" t="s">
        <v>470</v>
      </c>
      <c r="D49" s="228">
        <v>375</v>
      </c>
      <c r="E49" s="228">
        <v>20</v>
      </c>
      <c r="F49" s="231">
        <v>1289.3</v>
      </c>
      <c r="G49" s="231">
        <v>1168.5999999999999</v>
      </c>
      <c r="H49" s="228">
        <v>120.7</v>
      </c>
      <c r="I49" s="229">
        <v>0.1033</v>
      </c>
      <c r="J49" s="231">
        <v>1280.4000000000001</v>
      </c>
      <c r="K49" s="231">
        <v>1168.8</v>
      </c>
      <c r="L49" s="228">
        <v>111.6</v>
      </c>
      <c r="M49" s="229">
        <v>9.5500000000000002E-2</v>
      </c>
      <c r="N49" s="231">
        <v>1289.3</v>
      </c>
      <c r="O49" s="231">
        <v>1168.5999999999999</v>
      </c>
      <c r="P49" s="228">
        <v>120.7</v>
      </c>
      <c r="Q49" s="229">
        <v>0.1033</v>
      </c>
      <c r="R49" s="231">
        <v>1292.7</v>
      </c>
      <c r="S49" s="231">
        <v>1173.5999999999999</v>
      </c>
      <c r="T49" s="228">
        <v>119.1</v>
      </c>
      <c r="U49" s="229">
        <v>0.10150000000000001</v>
      </c>
      <c r="V49" s="231">
        <v>1297</v>
      </c>
      <c r="W49" s="231">
        <v>1178.4000000000001</v>
      </c>
      <c r="X49" s="228">
        <v>118.6</v>
      </c>
      <c r="Y49" s="229">
        <v>0.10059999999999999</v>
      </c>
      <c r="Z49" s="228">
        <v>8.9</v>
      </c>
      <c r="AA49" s="228">
        <v>-0.2</v>
      </c>
      <c r="AB49" s="228">
        <v>9.1</v>
      </c>
      <c r="AC49" s="229">
        <v>7.0000000000000001E-3</v>
      </c>
      <c r="AD49" s="228">
        <v>8.9</v>
      </c>
      <c r="AE49" s="228">
        <v>-0.2</v>
      </c>
      <c r="AF49" s="228">
        <v>9.1</v>
      </c>
      <c r="AG49" s="229">
        <v>7.0000000000000001E-3</v>
      </c>
      <c r="AH49" s="228">
        <v>12.3</v>
      </c>
      <c r="AI49" s="228">
        <v>4.8</v>
      </c>
      <c r="AJ49" s="228">
        <v>7.5</v>
      </c>
      <c r="AK49" s="229">
        <v>9.5999999999999992E-3</v>
      </c>
      <c r="AL49" s="228">
        <v>16.600000000000001</v>
      </c>
      <c r="AM49" s="228">
        <v>9.6</v>
      </c>
      <c r="AN49" s="228">
        <v>7</v>
      </c>
      <c r="AO49" s="229">
        <v>1.2999999999999999E-2</v>
      </c>
      <c r="AP49" s="231">
        <v>1278.46</v>
      </c>
      <c r="AQ49" s="231">
        <v>1282.47</v>
      </c>
      <c r="AR49" s="228">
        <v>0</v>
      </c>
      <c r="AS49" s="230">
        <v>1875</v>
      </c>
      <c r="AT49" s="228">
        <v>337</v>
      </c>
      <c r="AU49" s="230">
        <v>1538</v>
      </c>
      <c r="AV49" s="229">
        <v>4.5667</v>
      </c>
      <c r="AW49" s="230">
        <v>1743</v>
      </c>
      <c r="AX49" s="228">
        <v>316</v>
      </c>
      <c r="AY49" s="230">
        <v>1426</v>
      </c>
      <c r="AZ49" s="229">
        <v>4.5071000000000003</v>
      </c>
      <c r="BA49" s="228">
        <v>118</v>
      </c>
      <c r="BB49" s="228">
        <v>18</v>
      </c>
      <c r="BC49" s="228">
        <v>100</v>
      </c>
      <c r="BD49" s="229">
        <v>5.6223000000000001</v>
      </c>
      <c r="BE49" s="228">
        <v>15</v>
      </c>
      <c r="BF49" s="228">
        <v>3</v>
      </c>
      <c r="BG49" s="228">
        <v>12</v>
      </c>
      <c r="BH49" s="229">
        <v>4.5926</v>
      </c>
      <c r="BI49" s="230">
        <v>10114</v>
      </c>
      <c r="BJ49" s="230">
        <v>1370</v>
      </c>
      <c r="BK49" s="230">
        <v>8744</v>
      </c>
      <c r="BL49" s="229">
        <v>6.3808999999999996</v>
      </c>
      <c r="BM49" s="230">
        <v>5386</v>
      </c>
      <c r="BN49" s="228">
        <v>736</v>
      </c>
      <c r="BO49" s="230">
        <v>4650</v>
      </c>
      <c r="BP49" s="229">
        <v>6.3144</v>
      </c>
      <c r="BQ49" s="230">
        <v>17375</v>
      </c>
      <c r="BR49" s="230">
        <v>2443</v>
      </c>
      <c r="BS49" s="230">
        <v>14932</v>
      </c>
      <c r="BT49" s="229">
        <v>6.1108000000000002</v>
      </c>
      <c r="BU49" s="230">
        <v>28205999</v>
      </c>
      <c r="BV49" s="230">
        <v>1720978</v>
      </c>
      <c r="BW49" s="230">
        <v>26485021</v>
      </c>
      <c r="BX49" s="229">
        <v>15.3895</v>
      </c>
      <c r="BY49" s="230">
        <v>2691</v>
      </c>
      <c r="BZ49" s="230">
        <v>2429</v>
      </c>
      <c r="CA49" s="228">
        <v>262</v>
      </c>
      <c r="CB49" s="229">
        <v>0.1079</v>
      </c>
      <c r="CC49" s="230">
        <v>2598</v>
      </c>
      <c r="CD49" s="230">
        <v>2353</v>
      </c>
      <c r="CE49" s="228">
        <v>244</v>
      </c>
      <c r="CF49" s="229">
        <v>0.10390000000000001</v>
      </c>
      <c r="CG49" s="228">
        <v>84</v>
      </c>
      <c r="CH49" s="228">
        <v>71</v>
      </c>
      <c r="CI49" s="228">
        <v>13</v>
      </c>
      <c r="CJ49" s="229">
        <v>0.1865</v>
      </c>
      <c r="CK49" s="228">
        <v>9</v>
      </c>
      <c r="CL49" s="228">
        <v>4</v>
      </c>
      <c r="CM49" s="228">
        <v>4</v>
      </c>
      <c r="CN49" s="229">
        <v>1.0441</v>
      </c>
      <c r="CO49" s="230">
        <v>1281</v>
      </c>
      <c r="CP49" s="228">
        <v>975</v>
      </c>
      <c r="CQ49" s="228">
        <v>306</v>
      </c>
      <c r="CR49" s="229">
        <v>0.31380000000000002</v>
      </c>
      <c r="CS49" s="228">
        <v>956</v>
      </c>
      <c r="CT49" s="228">
        <v>571</v>
      </c>
      <c r="CU49" s="228">
        <v>385</v>
      </c>
      <c r="CV49" s="229">
        <v>0.67449999999999999</v>
      </c>
      <c r="CW49" s="230">
        <v>4927</v>
      </c>
      <c r="CX49" s="230">
        <v>3974</v>
      </c>
      <c r="CY49" s="228">
        <v>953</v>
      </c>
      <c r="CZ49" s="229">
        <v>0.23980000000000001</v>
      </c>
      <c r="DA49" s="228">
        <v>34.86</v>
      </c>
      <c r="DB49" s="228">
        <v>47.59</v>
      </c>
      <c r="DC49" s="228">
        <v>-12.73</v>
      </c>
      <c r="DD49" s="228">
        <v>-12.73</v>
      </c>
      <c r="DE49" s="228">
        <v>45.62</v>
      </c>
      <c r="DF49" s="228">
        <v>44.04</v>
      </c>
      <c r="DG49" s="228">
        <v>-10.76</v>
      </c>
      <c r="DH49" s="228">
        <v>1.58</v>
      </c>
      <c r="DI49" s="228">
        <v>34.44</v>
      </c>
      <c r="DJ49" s="228">
        <v>47.29</v>
      </c>
      <c r="DK49" s="228">
        <v>-12.85</v>
      </c>
      <c r="DL49" s="228">
        <v>-12.85</v>
      </c>
      <c r="DM49" s="228">
        <v>35.64</v>
      </c>
      <c r="DN49" s="228">
        <v>48.13</v>
      </c>
      <c r="DO49" s="228">
        <v>-12.49</v>
      </c>
      <c r="DP49" s="228">
        <v>-12.49</v>
      </c>
      <c r="DQ49" s="228">
        <v>0.75</v>
      </c>
      <c r="DR49" s="228">
        <v>0.59</v>
      </c>
      <c r="DS49" s="228">
        <v>0.16</v>
      </c>
      <c r="DT49" s="229">
        <v>0.2712</v>
      </c>
      <c r="DU49" s="231">
        <v>1300</v>
      </c>
      <c r="DV49" s="231">
        <v>1200</v>
      </c>
      <c r="DW49" s="228">
        <v>0.53</v>
      </c>
      <c r="DX49" s="228">
        <v>0.54</v>
      </c>
      <c r="DY49" s="228">
        <v>-0.01</v>
      </c>
      <c r="DZ49" s="229">
        <v>-1.8499999999999999E-2</v>
      </c>
      <c r="EA49" s="229">
        <v>3.4500000000000003E-2</v>
      </c>
      <c r="EB49" s="230">
        <v>583175</v>
      </c>
      <c r="EC49" s="229">
        <v>2.5999999999999999E-3</v>
      </c>
      <c r="ED49" s="229">
        <v>3.4500000000000003E-2</v>
      </c>
      <c r="EE49" s="228">
        <v>4.01</v>
      </c>
      <c r="EF49" s="229">
        <v>3.0999999999999999E-3</v>
      </c>
      <c r="EG49" s="230">
        <v>7828495</v>
      </c>
      <c r="EH49" s="230">
        <v>511494</v>
      </c>
      <c r="EI49" s="229">
        <v>14.305199999999999</v>
      </c>
      <c r="EJ49" s="229">
        <v>0.27750000000000002</v>
      </c>
      <c r="EK49" s="231">
        <v>10617.57</v>
      </c>
      <c r="EL49" s="231">
        <v>5161.0600000000004</v>
      </c>
      <c r="EM49" s="231">
        <v>1863.71</v>
      </c>
      <c r="EN49" s="228">
        <v>59.2</v>
      </c>
      <c r="EO49" s="231">
        <v>17642.34</v>
      </c>
      <c r="EP49" s="231">
        <v>2308.1799999999998</v>
      </c>
      <c r="EQ49" s="231">
        <v>15334.16</v>
      </c>
      <c r="ER49" s="229">
        <v>6.6433999999999997</v>
      </c>
      <c r="ES49" s="231">
        <v>1292.1500000000001</v>
      </c>
      <c r="ET49" s="228">
        <v>895.3</v>
      </c>
      <c r="EU49" s="231">
        <v>2690.93</v>
      </c>
      <c r="EV49" s="231">
        <v>50256271</v>
      </c>
      <c r="EW49" s="231">
        <v>4878.38</v>
      </c>
      <c r="EX49" s="231">
        <v>3671.08</v>
      </c>
      <c r="EY49" s="231">
        <v>1207.3</v>
      </c>
      <c r="EZ49" s="229">
        <v>0.32890000000000003</v>
      </c>
      <c r="FA49" s="229">
        <v>0.76039999999999996</v>
      </c>
      <c r="FB49" s="227" t="s">
        <v>555</v>
      </c>
      <c r="FC49">
        <f t="shared" si="0"/>
        <v>93</v>
      </c>
    </row>
    <row r="50" spans="1:159" ht="17.25" thickBot="1" x14ac:dyDescent="0.3">
      <c r="A50" s="226">
        <v>46148</v>
      </c>
      <c r="B50" s="227" t="s">
        <v>168</v>
      </c>
      <c r="C50" s="227" t="s">
        <v>201</v>
      </c>
      <c r="D50" s="228">
        <v>225</v>
      </c>
      <c r="E50" s="228">
        <v>20</v>
      </c>
      <c r="F50" s="231">
        <v>2164.6</v>
      </c>
      <c r="G50" s="231">
        <v>2174.5</v>
      </c>
      <c r="H50" s="228">
        <v>-9.9</v>
      </c>
      <c r="I50" s="229">
        <v>-4.5999999999999999E-3</v>
      </c>
      <c r="J50" s="231">
        <v>2157.1</v>
      </c>
      <c r="K50" s="231">
        <v>2178.9</v>
      </c>
      <c r="L50" s="228">
        <v>-21.8</v>
      </c>
      <c r="M50" s="229">
        <v>-0.01</v>
      </c>
      <c r="N50" s="231">
        <v>2164.6</v>
      </c>
      <c r="O50" s="231">
        <v>2174.5</v>
      </c>
      <c r="P50" s="228">
        <v>-9.9</v>
      </c>
      <c r="Q50" s="229">
        <v>-4.5999999999999999E-3</v>
      </c>
      <c r="R50" s="231">
        <v>2160.5</v>
      </c>
      <c r="S50" s="231">
        <v>2167.5</v>
      </c>
      <c r="T50" s="228">
        <v>-7</v>
      </c>
      <c r="U50" s="229">
        <v>-3.2000000000000002E-3</v>
      </c>
      <c r="V50" s="231">
        <v>2171.4</v>
      </c>
      <c r="W50" s="231">
        <v>2179.1</v>
      </c>
      <c r="X50" s="228">
        <v>-7.7</v>
      </c>
      <c r="Y50" s="229">
        <v>-3.5000000000000001E-3</v>
      </c>
      <c r="Z50" s="228">
        <v>7.5</v>
      </c>
      <c r="AA50" s="228">
        <v>-4.4000000000000004</v>
      </c>
      <c r="AB50" s="228">
        <v>11.9</v>
      </c>
      <c r="AC50" s="229">
        <v>3.5000000000000001E-3</v>
      </c>
      <c r="AD50" s="228">
        <v>7.5</v>
      </c>
      <c r="AE50" s="228">
        <v>-4.4000000000000004</v>
      </c>
      <c r="AF50" s="228">
        <v>11.9</v>
      </c>
      <c r="AG50" s="229">
        <v>3.5000000000000001E-3</v>
      </c>
      <c r="AH50" s="228">
        <v>3.4</v>
      </c>
      <c r="AI50" s="228">
        <v>-11.4</v>
      </c>
      <c r="AJ50" s="228">
        <v>14.8</v>
      </c>
      <c r="AK50" s="229">
        <v>1.6000000000000001E-3</v>
      </c>
      <c r="AL50" s="228">
        <v>14.3</v>
      </c>
      <c r="AM50" s="228">
        <v>0.2</v>
      </c>
      <c r="AN50" s="228">
        <v>14.1</v>
      </c>
      <c r="AO50" s="229">
        <v>6.6E-3</v>
      </c>
      <c r="AP50" s="231">
        <v>2163.94</v>
      </c>
      <c r="AQ50" s="231">
        <v>2156.7600000000002</v>
      </c>
      <c r="AR50" s="228">
        <v>0</v>
      </c>
      <c r="AS50" s="228">
        <v>93</v>
      </c>
      <c r="AT50" s="228">
        <v>116</v>
      </c>
      <c r="AU50" s="228">
        <v>-23</v>
      </c>
      <c r="AV50" s="229">
        <v>-0.19439999999999999</v>
      </c>
      <c r="AW50" s="228">
        <v>86</v>
      </c>
      <c r="AX50" s="228">
        <v>103</v>
      </c>
      <c r="AY50" s="228">
        <v>-17</v>
      </c>
      <c r="AZ50" s="229">
        <v>-0.1615</v>
      </c>
      <c r="BA50" s="228">
        <v>7</v>
      </c>
      <c r="BB50" s="228">
        <v>13</v>
      </c>
      <c r="BC50" s="228">
        <v>-6</v>
      </c>
      <c r="BD50" s="229">
        <v>-0.45739999999999997</v>
      </c>
      <c r="BE50" s="228">
        <v>0</v>
      </c>
      <c r="BF50" s="228">
        <v>1</v>
      </c>
      <c r="BG50" s="228">
        <v>0</v>
      </c>
      <c r="BH50" s="229">
        <v>-0.28570000000000001</v>
      </c>
      <c r="BI50" s="228">
        <v>235</v>
      </c>
      <c r="BJ50" s="228">
        <v>275</v>
      </c>
      <c r="BK50" s="228">
        <v>-40</v>
      </c>
      <c r="BL50" s="229">
        <v>-0.14480000000000001</v>
      </c>
      <c r="BM50" s="228">
        <v>85</v>
      </c>
      <c r="BN50" s="228">
        <v>84</v>
      </c>
      <c r="BO50" s="228">
        <v>2</v>
      </c>
      <c r="BP50" s="229">
        <v>1.8100000000000002E-2</v>
      </c>
      <c r="BQ50" s="228">
        <v>413</v>
      </c>
      <c r="BR50" s="228">
        <v>474</v>
      </c>
      <c r="BS50" s="228">
        <v>-61</v>
      </c>
      <c r="BT50" s="229">
        <v>-0.12820000000000001</v>
      </c>
      <c r="BU50" s="230">
        <v>222396</v>
      </c>
      <c r="BV50" s="230">
        <v>309323</v>
      </c>
      <c r="BW50" s="230">
        <v>-86927</v>
      </c>
      <c r="BX50" s="229">
        <v>-0.28100000000000003</v>
      </c>
      <c r="BY50" s="230">
        <v>1084</v>
      </c>
      <c r="BZ50" s="230">
        <v>1094</v>
      </c>
      <c r="CA50" s="228">
        <v>-10</v>
      </c>
      <c r="CB50" s="229">
        <v>-8.8999999999999999E-3</v>
      </c>
      <c r="CC50" s="230">
        <v>1045</v>
      </c>
      <c r="CD50" s="230">
        <v>1056</v>
      </c>
      <c r="CE50" s="228">
        <v>-12</v>
      </c>
      <c r="CF50" s="229">
        <v>-1.11E-2</v>
      </c>
      <c r="CG50" s="228">
        <v>37</v>
      </c>
      <c r="CH50" s="228">
        <v>35</v>
      </c>
      <c r="CI50" s="228">
        <v>2</v>
      </c>
      <c r="CJ50" s="229">
        <v>5.1499999999999997E-2</v>
      </c>
      <c r="CK50" s="228">
        <v>2</v>
      </c>
      <c r="CL50" s="228">
        <v>2</v>
      </c>
      <c r="CM50" s="228">
        <v>0</v>
      </c>
      <c r="CN50" s="229">
        <v>0.1081</v>
      </c>
      <c r="CO50" s="228">
        <v>287</v>
      </c>
      <c r="CP50" s="228">
        <v>270</v>
      </c>
      <c r="CQ50" s="228">
        <v>17</v>
      </c>
      <c r="CR50" s="229">
        <v>6.4600000000000005E-2</v>
      </c>
      <c r="CS50" s="228">
        <v>197</v>
      </c>
      <c r="CT50" s="228">
        <v>186</v>
      </c>
      <c r="CU50" s="228">
        <v>10</v>
      </c>
      <c r="CV50" s="229">
        <v>5.5599999999999997E-2</v>
      </c>
      <c r="CW50" s="230">
        <v>1568</v>
      </c>
      <c r="CX50" s="230">
        <v>1550</v>
      </c>
      <c r="CY50" s="228">
        <v>18</v>
      </c>
      <c r="CZ50" s="229">
        <v>1.17E-2</v>
      </c>
      <c r="DA50" s="228">
        <v>28.87</v>
      </c>
      <c r="DB50" s="228">
        <v>30.46</v>
      </c>
      <c r="DC50" s="228">
        <v>-1.59</v>
      </c>
      <c r="DD50" s="228">
        <v>-1.59</v>
      </c>
      <c r="DE50" s="228">
        <v>30.53</v>
      </c>
      <c r="DF50" s="228">
        <v>30.6</v>
      </c>
      <c r="DG50" s="228">
        <v>-1.66</v>
      </c>
      <c r="DH50" s="228">
        <v>-7.0000000000000007E-2</v>
      </c>
      <c r="DI50" s="228">
        <v>28.82</v>
      </c>
      <c r="DJ50" s="228">
        <v>30.34</v>
      </c>
      <c r="DK50" s="228">
        <v>-1.52</v>
      </c>
      <c r="DL50" s="228">
        <v>-1.52</v>
      </c>
      <c r="DM50" s="228">
        <v>29.02</v>
      </c>
      <c r="DN50" s="228">
        <v>30.86</v>
      </c>
      <c r="DO50" s="228">
        <v>-1.84</v>
      </c>
      <c r="DP50" s="228">
        <v>-1.84</v>
      </c>
      <c r="DQ50" s="228">
        <v>0.68</v>
      </c>
      <c r="DR50" s="228">
        <v>0.69</v>
      </c>
      <c r="DS50" s="228">
        <v>-0.01</v>
      </c>
      <c r="DT50" s="229">
        <v>-1.4500000000000001E-2</v>
      </c>
      <c r="DU50" s="231">
        <v>2200</v>
      </c>
      <c r="DV50" s="231">
        <v>2100</v>
      </c>
      <c r="DW50" s="228">
        <v>0.36</v>
      </c>
      <c r="DX50" s="228">
        <v>0.3</v>
      </c>
      <c r="DY50" s="228">
        <v>0.06</v>
      </c>
      <c r="DZ50" s="229">
        <v>0.2</v>
      </c>
      <c r="EA50" s="229">
        <v>3.6200000000000003E-2</v>
      </c>
      <c r="EB50" s="230">
        <v>171725</v>
      </c>
      <c r="EC50" s="229">
        <v>-1.9E-3</v>
      </c>
      <c r="ED50" s="229">
        <v>3.6200000000000003E-2</v>
      </c>
      <c r="EE50" s="228">
        <v>-7.18</v>
      </c>
      <c r="EF50" s="229">
        <v>-3.3E-3</v>
      </c>
      <c r="EG50" s="230">
        <v>115747</v>
      </c>
      <c r="EH50" s="230">
        <v>132762</v>
      </c>
      <c r="EI50" s="229">
        <v>-0.12820000000000001</v>
      </c>
      <c r="EJ50" s="229">
        <v>0.52049999999999996</v>
      </c>
      <c r="EK50" s="228">
        <v>247.84</v>
      </c>
      <c r="EL50" s="228">
        <v>85.05</v>
      </c>
      <c r="EM50" s="228">
        <v>93.33</v>
      </c>
      <c r="EN50" s="228">
        <v>37.24</v>
      </c>
      <c r="EO50" s="228">
        <v>426.22</v>
      </c>
      <c r="EP50" s="228">
        <v>488.06</v>
      </c>
      <c r="EQ50" s="228">
        <v>-61.84</v>
      </c>
      <c r="ER50" s="229">
        <v>-0.12670000000000001</v>
      </c>
      <c r="ES50" s="228">
        <v>295.18</v>
      </c>
      <c r="ET50" s="228">
        <v>189.83</v>
      </c>
      <c r="EU50" s="231">
        <v>1083.74</v>
      </c>
      <c r="EV50" s="231">
        <v>19054573</v>
      </c>
      <c r="EW50" s="231">
        <v>1568.76</v>
      </c>
      <c r="EX50" s="231">
        <v>1554.59</v>
      </c>
      <c r="EY50" s="228">
        <v>14.17</v>
      </c>
      <c r="EZ50" s="229">
        <v>9.1000000000000004E-3</v>
      </c>
      <c r="FA50" s="229">
        <v>0.38019999999999998</v>
      </c>
      <c r="FB50" s="227" t="s">
        <v>567</v>
      </c>
      <c r="FC50">
        <f t="shared" si="0"/>
        <v>39</v>
      </c>
    </row>
    <row r="51" spans="1:159" ht="17.25" thickBot="1" x14ac:dyDescent="0.3">
      <c r="A51" s="226">
        <v>46148</v>
      </c>
      <c r="B51" s="227" t="s">
        <v>215</v>
      </c>
      <c r="C51" s="227" t="s">
        <v>202</v>
      </c>
      <c r="D51" s="228">
        <v>1250</v>
      </c>
      <c r="E51" s="228">
        <v>20</v>
      </c>
      <c r="F51" s="228">
        <v>527.6</v>
      </c>
      <c r="G51" s="228">
        <v>520.15</v>
      </c>
      <c r="H51" s="228">
        <v>7.45</v>
      </c>
      <c r="I51" s="229">
        <v>1.43E-2</v>
      </c>
      <c r="J51" s="228">
        <v>524.20000000000005</v>
      </c>
      <c r="K51" s="228">
        <v>518.04999999999995</v>
      </c>
      <c r="L51" s="228">
        <v>6.15</v>
      </c>
      <c r="M51" s="229">
        <v>1.1900000000000001E-2</v>
      </c>
      <c r="N51" s="228">
        <v>527.6</v>
      </c>
      <c r="O51" s="228">
        <v>520.15</v>
      </c>
      <c r="P51" s="228">
        <v>7.45</v>
      </c>
      <c r="Q51" s="229">
        <v>1.43E-2</v>
      </c>
      <c r="R51" s="228">
        <v>530.15</v>
      </c>
      <c r="S51" s="228">
        <v>523.79999999999995</v>
      </c>
      <c r="T51" s="228">
        <v>6.35</v>
      </c>
      <c r="U51" s="229">
        <v>1.21E-2</v>
      </c>
      <c r="V51" s="228">
        <v>531.9</v>
      </c>
      <c r="W51" s="228">
        <v>525</v>
      </c>
      <c r="X51" s="228">
        <v>6.9</v>
      </c>
      <c r="Y51" s="229">
        <v>1.3100000000000001E-2</v>
      </c>
      <c r="Z51" s="228">
        <v>3.4</v>
      </c>
      <c r="AA51" s="228">
        <v>2.1</v>
      </c>
      <c r="AB51" s="228">
        <v>1.3</v>
      </c>
      <c r="AC51" s="229">
        <v>6.4999999999999997E-3</v>
      </c>
      <c r="AD51" s="228">
        <v>3.4</v>
      </c>
      <c r="AE51" s="228">
        <v>2.1</v>
      </c>
      <c r="AF51" s="228">
        <v>1.3</v>
      </c>
      <c r="AG51" s="229">
        <v>6.4999999999999997E-3</v>
      </c>
      <c r="AH51" s="228">
        <v>5.95</v>
      </c>
      <c r="AI51" s="228">
        <v>5.75</v>
      </c>
      <c r="AJ51" s="228">
        <v>0.2</v>
      </c>
      <c r="AK51" s="229">
        <v>1.14E-2</v>
      </c>
      <c r="AL51" s="228">
        <v>7.7</v>
      </c>
      <c r="AM51" s="228">
        <v>6.95</v>
      </c>
      <c r="AN51" s="228">
        <v>0.75</v>
      </c>
      <c r="AO51" s="229">
        <v>1.47E-2</v>
      </c>
      <c r="AP51" s="228">
        <v>525.35</v>
      </c>
      <c r="AQ51" s="228">
        <v>528.02</v>
      </c>
      <c r="AR51" s="228">
        <v>0</v>
      </c>
      <c r="AS51" s="228">
        <v>89</v>
      </c>
      <c r="AT51" s="228">
        <v>62</v>
      </c>
      <c r="AU51" s="228">
        <v>27</v>
      </c>
      <c r="AV51" s="229">
        <v>0.43740000000000001</v>
      </c>
      <c r="AW51" s="228">
        <v>84</v>
      </c>
      <c r="AX51" s="228">
        <v>58</v>
      </c>
      <c r="AY51" s="228">
        <v>26</v>
      </c>
      <c r="AZ51" s="229">
        <v>0.44169999999999998</v>
      </c>
      <c r="BA51" s="228">
        <v>5</v>
      </c>
      <c r="BB51" s="228">
        <v>4</v>
      </c>
      <c r="BC51" s="228">
        <v>1</v>
      </c>
      <c r="BD51" s="229">
        <v>0.2281</v>
      </c>
      <c r="BE51" s="228">
        <v>1</v>
      </c>
      <c r="BF51" s="228">
        <v>0</v>
      </c>
      <c r="BG51" s="228">
        <v>1</v>
      </c>
      <c r="BH51" s="229">
        <v>4.5</v>
      </c>
      <c r="BI51" s="228">
        <v>339</v>
      </c>
      <c r="BJ51" s="228">
        <v>173</v>
      </c>
      <c r="BK51" s="228">
        <v>166</v>
      </c>
      <c r="BL51" s="229">
        <v>0.95809999999999995</v>
      </c>
      <c r="BM51" s="228">
        <v>106</v>
      </c>
      <c r="BN51" s="228">
        <v>37</v>
      </c>
      <c r="BO51" s="228">
        <v>70</v>
      </c>
      <c r="BP51" s="229">
        <v>1.8940999999999999</v>
      </c>
      <c r="BQ51" s="228">
        <v>535</v>
      </c>
      <c r="BR51" s="228">
        <v>272</v>
      </c>
      <c r="BS51" s="228">
        <v>263</v>
      </c>
      <c r="BT51" s="229">
        <v>0.96560000000000001</v>
      </c>
      <c r="BU51" s="230">
        <v>980792</v>
      </c>
      <c r="BV51" s="230">
        <v>636754</v>
      </c>
      <c r="BW51" s="230">
        <v>344038</v>
      </c>
      <c r="BX51" s="229">
        <v>0.5403</v>
      </c>
      <c r="BY51" s="230">
        <v>1209</v>
      </c>
      <c r="BZ51" s="230">
        <v>1215</v>
      </c>
      <c r="CA51" s="228">
        <v>-7</v>
      </c>
      <c r="CB51" s="229">
        <v>-5.4999999999999997E-3</v>
      </c>
      <c r="CC51" s="230">
        <v>1181</v>
      </c>
      <c r="CD51" s="230">
        <v>1189</v>
      </c>
      <c r="CE51" s="228">
        <v>-8</v>
      </c>
      <c r="CF51" s="229">
        <v>-6.4999999999999997E-3</v>
      </c>
      <c r="CG51" s="228">
        <v>27</v>
      </c>
      <c r="CH51" s="228">
        <v>26</v>
      </c>
      <c r="CI51" s="228">
        <v>1</v>
      </c>
      <c r="CJ51" s="229">
        <v>2.2599999999999999E-2</v>
      </c>
      <c r="CK51" s="228">
        <v>1</v>
      </c>
      <c r="CL51" s="228">
        <v>0</v>
      </c>
      <c r="CM51" s="228">
        <v>0</v>
      </c>
      <c r="CN51" s="229">
        <v>1.4</v>
      </c>
      <c r="CO51" s="228">
        <v>302</v>
      </c>
      <c r="CP51" s="228">
        <v>274</v>
      </c>
      <c r="CQ51" s="228">
        <v>28</v>
      </c>
      <c r="CR51" s="229">
        <v>0.1021</v>
      </c>
      <c r="CS51" s="228">
        <v>222</v>
      </c>
      <c r="CT51" s="228">
        <v>182</v>
      </c>
      <c r="CU51" s="228">
        <v>40</v>
      </c>
      <c r="CV51" s="229">
        <v>0.22120000000000001</v>
      </c>
      <c r="CW51" s="230">
        <v>1732</v>
      </c>
      <c r="CX51" s="230">
        <v>1671</v>
      </c>
      <c r="CY51" s="228">
        <v>61</v>
      </c>
      <c r="CZ51" s="229">
        <v>3.6799999999999999E-2</v>
      </c>
      <c r="DA51" s="228">
        <v>32.31</v>
      </c>
      <c r="DB51" s="228">
        <v>32.54</v>
      </c>
      <c r="DC51" s="228">
        <v>-0.23</v>
      </c>
      <c r="DD51" s="228">
        <v>-0.23</v>
      </c>
      <c r="DE51" s="228">
        <v>34.54</v>
      </c>
      <c r="DF51" s="228">
        <v>34.57</v>
      </c>
      <c r="DG51" s="228">
        <v>-2.23</v>
      </c>
      <c r="DH51" s="228">
        <v>-0.03</v>
      </c>
      <c r="DI51" s="228">
        <v>32.25</v>
      </c>
      <c r="DJ51" s="228">
        <v>32.47</v>
      </c>
      <c r="DK51" s="228">
        <v>-0.22</v>
      </c>
      <c r="DL51" s="228">
        <v>-0.22</v>
      </c>
      <c r="DM51" s="228">
        <v>32.51</v>
      </c>
      <c r="DN51" s="228">
        <v>32.85</v>
      </c>
      <c r="DO51" s="228">
        <v>-0.34</v>
      </c>
      <c r="DP51" s="228">
        <v>-0.34</v>
      </c>
      <c r="DQ51" s="228">
        <v>0.73</v>
      </c>
      <c r="DR51" s="228">
        <v>0.66</v>
      </c>
      <c r="DS51" s="228">
        <v>7.0000000000000007E-2</v>
      </c>
      <c r="DT51" s="229">
        <v>0.1061</v>
      </c>
      <c r="DU51" s="228">
        <v>570</v>
      </c>
      <c r="DV51" s="228">
        <v>550</v>
      </c>
      <c r="DW51" s="228">
        <v>0.31</v>
      </c>
      <c r="DX51" s="228">
        <v>0.21</v>
      </c>
      <c r="DY51" s="228">
        <v>0.1</v>
      </c>
      <c r="DZ51" s="229">
        <v>0.47620000000000001</v>
      </c>
      <c r="EA51" s="229">
        <v>2.29E-2</v>
      </c>
      <c r="EB51" s="230">
        <v>505000</v>
      </c>
      <c r="EC51" s="229">
        <v>4.7999999999999996E-3</v>
      </c>
      <c r="ED51" s="229">
        <v>2.29E-2</v>
      </c>
      <c r="EE51" s="228">
        <v>2.67</v>
      </c>
      <c r="EF51" s="229">
        <v>5.1000000000000004E-3</v>
      </c>
      <c r="EG51" s="230">
        <v>465202</v>
      </c>
      <c r="EH51" s="230">
        <v>233170</v>
      </c>
      <c r="EI51" s="229">
        <v>0.99509999999999998</v>
      </c>
      <c r="EJ51" s="229">
        <v>0.4743</v>
      </c>
      <c r="EK51" s="228">
        <v>356.16</v>
      </c>
      <c r="EL51" s="228">
        <v>108.23</v>
      </c>
      <c r="EM51" s="228">
        <v>88.95</v>
      </c>
      <c r="EN51" s="228">
        <v>10.43</v>
      </c>
      <c r="EO51" s="228">
        <v>553.34</v>
      </c>
      <c r="EP51" s="228">
        <v>278.66000000000003</v>
      </c>
      <c r="EQ51" s="228">
        <v>274.68</v>
      </c>
      <c r="ER51" s="229">
        <v>0.98570000000000002</v>
      </c>
      <c r="ES51" s="228">
        <v>311.8</v>
      </c>
      <c r="ET51" s="228">
        <v>218.4</v>
      </c>
      <c r="EU51" s="231">
        <v>1208.8</v>
      </c>
      <c r="EV51" s="231">
        <v>51639257</v>
      </c>
      <c r="EW51" s="231">
        <v>1739</v>
      </c>
      <c r="EX51" s="231">
        <v>1656.68</v>
      </c>
      <c r="EY51" s="228">
        <v>82.32</v>
      </c>
      <c r="EZ51" s="229">
        <v>4.9700000000000001E-2</v>
      </c>
      <c r="FA51" s="229">
        <v>0.63580000000000003</v>
      </c>
      <c r="FB51" s="227" t="s">
        <v>691</v>
      </c>
      <c r="FC51">
        <f t="shared" si="0"/>
        <v>28</v>
      </c>
    </row>
    <row r="52" spans="1:159" ht="17.25" thickBot="1" x14ac:dyDescent="0.3">
      <c r="A52" s="226">
        <v>46148</v>
      </c>
      <c r="B52" s="227" t="s">
        <v>184</v>
      </c>
      <c r="C52" s="227" t="s">
        <v>523</v>
      </c>
      <c r="D52" s="228">
        <v>1800</v>
      </c>
      <c r="E52" s="228">
        <v>20</v>
      </c>
      <c r="F52" s="228">
        <v>285.05</v>
      </c>
      <c r="G52" s="228">
        <v>276.64999999999998</v>
      </c>
      <c r="H52" s="228">
        <v>8.4</v>
      </c>
      <c r="I52" s="229">
        <v>3.04E-2</v>
      </c>
      <c r="J52" s="228">
        <v>284.05</v>
      </c>
      <c r="K52" s="228">
        <v>275.5</v>
      </c>
      <c r="L52" s="228">
        <v>8.5500000000000007</v>
      </c>
      <c r="M52" s="229">
        <v>3.1E-2</v>
      </c>
      <c r="N52" s="228">
        <v>285.05</v>
      </c>
      <c r="O52" s="228">
        <v>276.64999999999998</v>
      </c>
      <c r="P52" s="228">
        <v>8.4</v>
      </c>
      <c r="Q52" s="229">
        <v>3.04E-2</v>
      </c>
      <c r="R52" s="228">
        <v>286.64999999999998</v>
      </c>
      <c r="S52" s="228">
        <v>277.89999999999998</v>
      </c>
      <c r="T52" s="228">
        <v>8.75</v>
      </c>
      <c r="U52" s="229">
        <v>3.15E-2</v>
      </c>
      <c r="V52" s="228">
        <v>286.5</v>
      </c>
      <c r="W52" s="228">
        <v>277.10000000000002</v>
      </c>
      <c r="X52" s="228">
        <v>9.4</v>
      </c>
      <c r="Y52" s="229">
        <v>3.39E-2</v>
      </c>
      <c r="Z52" s="228">
        <v>1</v>
      </c>
      <c r="AA52" s="228">
        <v>1.1499999999999999</v>
      </c>
      <c r="AB52" s="228">
        <v>-0.15</v>
      </c>
      <c r="AC52" s="229">
        <v>3.5000000000000001E-3</v>
      </c>
      <c r="AD52" s="228">
        <v>1</v>
      </c>
      <c r="AE52" s="228">
        <v>1.1499999999999999</v>
      </c>
      <c r="AF52" s="228">
        <v>-0.15</v>
      </c>
      <c r="AG52" s="229">
        <v>3.5000000000000001E-3</v>
      </c>
      <c r="AH52" s="228">
        <v>2.6</v>
      </c>
      <c r="AI52" s="228">
        <v>2.4</v>
      </c>
      <c r="AJ52" s="228">
        <v>0.2</v>
      </c>
      <c r="AK52" s="229">
        <v>9.1999999999999998E-3</v>
      </c>
      <c r="AL52" s="228">
        <v>2.4500000000000002</v>
      </c>
      <c r="AM52" s="228">
        <v>1.6</v>
      </c>
      <c r="AN52" s="228">
        <v>0.85</v>
      </c>
      <c r="AO52" s="229">
        <v>8.6E-3</v>
      </c>
      <c r="AP52" s="228">
        <v>284.52</v>
      </c>
      <c r="AQ52" s="228">
        <v>286.07</v>
      </c>
      <c r="AR52" s="228">
        <v>0</v>
      </c>
      <c r="AS52" s="228">
        <v>382</v>
      </c>
      <c r="AT52" s="228">
        <v>189</v>
      </c>
      <c r="AU52" s="228">
        <v>193</v>
      </c>
      <c r="AV52" s="229">
        <v>1.0198</v>
      </c>
      <c r="AW52" s="228">
        <v>370</v>
      </c>
      <c r="AX52" s="228">
        <v>183</v>
      </c>
      <c r="AY52" s="228">
        <v>187</v>
      </c>
      <c r="AZ52" s="229">
        <v>1.0182</v>
      </c>
      <c r="BA52" s="228">
        <v>10</v>
      </c>
      <c r="BB52" s="228">
        <v>5</v>
      </c>
      <c r="BC52" s="228">
        <v>5</v>
      </c>
      <c r="BD52" s="229">
        <v>0.93200000000000005</v>
      </c>
      <c r="BE52" s="228">
        <v>2</v>
      </c>
      <c r="BF52" s="228">
        <v>1</v>
      </c>
      <c r="BG52" s="228">
        <v>1</v>
      </c>
      <c r="BH52" s="229">
        <v>2.25</v>
      </c>
      <c r="BI52" s="228">
        <v>988</v>
      </c>
      <c r="BJ52" s="228">
        <v>295</v>
      </c>
      <c r="BK52" s="228">
        <v>693</v>
      </c>
      <c r="BL52" s="229">
        <v>2.3460999999999999</v>
      </c>
      <c r="BM52" s="228">
        <v>260</v>
      </c>
      <c r="BN52" s="228">
        <v>117</v>
      </c>
      <c r="BO52" s="228">
        <v>143</v>
      </c>
      <c r="BP52" s="229">
        <v>1.2190000000000001</v>
      </c>
      <c r="BQ52" s="230">
        <v>1631</v>
      </c>
      <c r="BR52" s="228">
        <v>602</v>
      </c>
      <c r="BS52" s="230">
        <v>1029</v>
      </c>
      <c r="BT52" s="229">
        <v>1.7095</v>
      </c>
      <c r="BU52" s="230">
        <v>8588454</v>
      </c>
      <c r="BV52" s="230">
        <v>5729284</v>
      </c>
      <c r="BW52" s="230">
        <v>2859170</v>
      </c>
      <c r="BX52" s="229">
        <v>0.499</v>
      </c>
      <c r="BY52" s="230">
        <v>1577</v>
      </c>
      <c r="BZ52" s="230">
        <v>1521</v>
      </c>
      <c r="CA52" s="228">
        <v>56</v>
      </c>
      <c r="CB52" s="229">
        <v>3.6799999999999999E-2</v>
      </c>
      <c r="CC52" s="230">
        <v>1552</v>
      </c>
      <c r="CD52" s="230">
        <v>1498</v>
      </c>
      <c r="CE52" s="228">
        <v>54</v>
      </c>
      <c r="CF52" s="229">
        <v>3.61E-2</v>
      </c>
      <c r="CG52" s="228">
        <v>21</v>
      </c>
      <c r="CH52" s="228">
        <v>19</v>
      </c>
      <c r="CI52" s="228">
        <v>1</v>
      </c>
      <c r="CJ52" s="229">
        <v>7.8E-2</v>
      </c>
      <c r="CK52" s="228">
        <v>4</v>
      </c>
      <c r="CL52" s="228">
        <v>4</v>
      </c>
      <c r="CM52" s="228">
        <v>0</v>
      </c>
      <c r="CN52" s="229">
        <v>0.1231</v>
      </c>
      <c r="CO52" s="228">
        <v>441</v>
      </c>
      <c r="CP52" s="228">
        <v>413</v>
      </c>
      <c r="CQ52" s="228">
        <v>29</v>
      </c>
      <c r="CR52" s="229">
        <v>6.9500000000000006E-2</v>
      </c>
      <c r="CS52" s="228">
        <v>206</v>
      </c>
      <c r="CT52" s="228">
        <v>196</v>
      </c>
      <c r="CU52" s="228">
        <v>11</v>
      </c>
      <c r="CV52" s="229">
        <v>5.3699999999999998E-2</v>
      </c>
      <c r="CW52" s="230">
        <v>2224</v>
      </c>
      <c r="CX52" s="230">
        <v>2129</v>
      </c>
      <c r="CY52" s="228">
        <v>95</v>
      </c>
      <c r="CZ52" s="229">
        <v>4.4699999999999997E-2</v>
      </c>
      <c r="DA52" s="228">
        <v>40.98</v>
      </c>
      <c r="DB52" s="228">
        <v>40.96</v>
      </c>
      <c r="DC52" s="228">
        <v>0.02</v>
      </c>
      <c r="DD52" s="228">
        <v>0.02</v>
      </c>
      <c r="DE52" s="228">
        <v>35.92</v>
      </c>
      <c r="DF52" s="228">
        <v>35.78</v>
      </c>
      <c r="DG52" s="228">
        <v>5.0599999999999996</v>
      </c>
      <c r="DH52" s="228">
        <v>0.14000000000000001</v>
      </c>
      <c r="DI52" s="228">
        <v>40.76</v>
      </c>
      <c r="DJ52" s="228">
        <v>40.840000000000003</v>
      </c>
      <c r="DK52" s="228">
        <v>-0.08</v>
      </c>
      <c r="DL52" s="228">
        <v>-0.08</v>
      </c>
      <c r="DM52" s="228">
        <v>41.84</v>
      </c>
      <c r="DN52" s="228">
        <v>41.27</v>
      </c>
      <c r="DO52" s="228">
        <v>0.56999999999999995</v>
      </c>
      <c r="DP52" s="228">
        <v>0.56999999999999995</v>
      </c>
      <c r="DQ52" s="228">
        <v>0.47</v>
      </c>
      <c r="DR52" s="228">
        <v>0.47</v>
      </c>
      <c r="DS52" s="228">
        <v>0</v>
      </c>
      <c r="DT52" s="229">
        <v>0</v>
      </c>
      <c r="DU52" s="228">
        <v>300</v>
      </c>
      <c r="DV52" s="228">
        <v>280</v>
      </c>
      <c r="DW52" s="228">
        <v>0.26</v>
      </c>
      <c r="DX52" s="228">
        <v>0.4</v>
      </c>
      <c r="DY52" s="228">
        <v>-0.14000000000000001</v>
      </c>
      <c r="DZ52" s="229">
        <v>-0.35</v>
      </c>
      <c r="EA52" s="229">
        <v>1.5900000000000001E-2</v>
      </c>
      <c r="EB52" s="230">
        <v>809350</v>
      </c>
      <c r="EC52" s="229">
        <v>5.5999999999999999E-3</v>
      </c>
      <c r="ED52" s="229">
        <v>1.5900000000000001E-2</v>
      </c>
      <c r="EE52" s="228">
        <v>1.55</v>
      </c>
      <c r="EF52" s="229">
        <v>5.4000000000000003E-3</v>
      </c>
      <c r="EG52" s="230">
        <v>3617749</v>
      </c>
      <c r="EH52" s="230">
        <v>3717860</v>
      </c>
      <c r="EI52" s="229">
        <v>-2.69E-2</v>
      </c>
      <c r="EJ52" s="229">
        <v>0.42120000000000002</v>
      </c>
      <c r="EK52" s="231">
        <v>1041.93</v>
      </c>
      <c r="EL52" s="228">
        <v>258.39999999999998</v>
      </c>
      <c r="EM52" s="228">
        <v>381.64</v>
      </c>
      <c r="EN52" s="228">
        <v>66.930000000000007</v>
      </c>
      <c r="EO52" s="231">
        <v>1681.97</v>
      </c>
      <c r="EP52" s="228">
        <v>605.11</v>
      </c>
      <c r="EQ52" s="231">
        <v>1076.8499999999999</v>
      </c>
      <c r="ER52" s="229">
        <v>1.7796000000000001</v>
      </c>
      <c r="ES52" s="228">
        <v>448.5</v>
      </c>
      <c r="ET52" s="228">
        <v>193.3</v>
      </c>
      <c r="EU52" s="231">
        <v>1576.82</v>
      </c>
      <c r="EV52" s="231">
        <v>96587231</v>
      </c>
      <c r="EW52" s="231">
        <v>2218.63</v>
      </c>
      <c r="EX52" s="231">
        <v>2071.79</v>
      </c>
      <c r="EY52" s="228">
        <v>146.84</v>
      </c>
      <c r="EZ52" s="229">
        <v>7.0900000000000005E-2</v>
      </c>
      <c r="FA52" s="229">
        <v>0.80789999999999995</v>
      </c>
      <c r="FB52" s="227" t="s">
        <v>555</v>
      </c>
      <c r="FC52">
        <f t="shared" si="0"/>
        <v>25</v>
      </c>
    </row>
    <row r="53" spans="1:159" ht="17.25" thickBot="1" x14ac:dyDescent="0.3">
      <c r="A53" s="226">
        <v>46148</v>
      </c>
      <c r="B53" s="227" t="s">
        <v>184</v>
      </c>
      <c r="C53" s="227" t="s">
        <v>203</v>
      </c>
      <c r="D53" s="228">
        <v>200</v>
      </c>
      <c r="E53" s="228">
        <v>20</v>
      </c>
      <c r="F53" s="231">
        <v>5348.5</v>
      </c>
      <c r="G53" s="231">
        <v>5290.5</v>
      </c>
      <c r="H53" s="228">
        <v>58</v>
      </c>
      <c r="I53" s="229">
        <v>1.0999999999999999E-2</v>
      </c>
      <c r="J53" s="231">
        <v>5324.5</v>
      </c>
      <c r="K53" s="231">
        <v>5260</v>
      </c>
      <c r="L53" s="228">
        <v>64.5</v>
      </c>
      <c r="M53" s="229">
        <v>1.23E-2</v>
      </c>
      <c r="N53" s="231">
        <v>5348.5</v>
      </c>
      <c r="O53" s="231">
        <v>5290.5</v>
      </c>
      <c r="P53" s="228">
        <v>58</v>
      </c>
      <c r="Q53" s="229">
        <v>1.0999999999999999E-2</v>
      </c>
      <c r="R53" s="231">
        <v>5378.5</v>
      </c>
      <c r="S53" s="231">
        <v>5326</v>
      </c>
      <c r="T53" s="228">
        <v>52.5</v>
      </c>
      <c r="U53" s="229">
        <v>9.9000000000000008E-3</v>
      </c>
      <c r="V53" s="231">
        <v>5385</v>
      </c>
      <c r="W53" s="231">
        <v>5310.5</v>
      </c>
      <c r="X53" s="228">
        <v>74.5</v>
      </c>
      <c r="Y53" s="229">
        <v>1.4E-2</v>
      </c>
      <c r="Z53" s="228">
        <v>24</v>
      </c>
      <c r="AA53" s="228">
        <v>30.5</v>
      </c>
      <c r="AB53" s="228">
        <v>-6.5</v>
      </c>
      <c r="AC53" s="229">
        <v>4.4999999999999997E-3</v>
      </c>
      <c r="AD53" s="228">
        <v>24</v>
      </c>
      <c r="AE53" s="228">
        <v>30.5</v>
      </c>
      <c r="AF53" s="228">
        <v>-6.5</v>
      </c>
      <c r="AG53" s="229">
        <v>4.4999999999999997E-3</v>
      </c>
      <c r="AH53" s="228">
        <v>54</v>
      </c>
      <c r="AI53" s="228">
        <v>66</v>
      </c>
      <c r="AJ53" s="228">
        <v>-12</v>
      </c>
      <c r="AK53" s="229">
        <v>1.01E-2</v>
      </c>
      <c r="AL53" s="228">
        <v>60.5</v>
      </c>
      <c r="AM53" s="228">
        <v>50.5</v>
      </c>
      <c r="AN53" s="228">
        <v>10</v>
      </c>
      <c r="AO53" s="229">
        <v>1.14E-2</v>
      </c>
      <c r="AP53" s="231">
        <v>5329.81</v>
      </c>
      <c r="AQ53" s="231">
        <v>5360.84</v>
      </c>
      <c r="AR53" s="228">
        <v>0</v>
      </c>
      <c r="AS53" s="228">
        <v>398</v>
      </c>
      <c r="AT53" s="228">
        <v>204</v>
      </c>
      <c r="AU53" s="228">
        <v>194</v>
      </c>
      <c r="AV53" s="229">
        <v>0.95430000000000004</v>
      </c>
      <c r="AW53" s="228">
        <v>372</v>
      </c>
      <c r="AX53" s="228">
        <v>195</v>
      </c>
      <c r="AY53" s="228">
        <v>176</v>
      </c>
      <c r="AZ53" s="229">
        <v>0.90090000000000003</v>
      </c>
      <c r="BA53" s="228">
        <v>26</v>
      </c>
      <c r="BB53" s="228">
        <v>8</v>
      </c>
      <c r="BC53" s="228">
        <v>18</v>
      </c>
      <c r="BD53" s="229">
        <v>2.1974</v>
      </c>
      <c r="BE53" s="228">
        <v>1</v>
      </c>
      <c r="BF53" s="228">
        <v>0</v>
      </c>
      <c r="BG53" s="228">
        <v>0</v>
      </c>
      <c r="BH53" s="229">
        <v>4</v>
      </c>
      <c r="BI53" s="228">
        <v>708</v>
      </c>
      <c r="BJ53" s="228">
        <v>245</v>
      </c>
      <c r="BK53" s="228">
        <v>463</v>
      </c>
      <c r="BL53" s="229">
        <v>1.8878999999999999</v>
      </c>
      <c r="BM53" s="228">
        <v>378</v>
      </c>
      <c r="BN53" s="228">
        <v>142</v>
      </c>
      <c r="BO53" s="228">
        <v>235</v>
      </c>
      <c r="BP53" s="229">
        <v>1.6529</v>
      </c>
      <c r="BQ53" s="230">
        <v>1484</v>
      </c>
      <c r="BR53" s="228">
        <v>591</v>
      </c>
      <c r="BS53" s="228">
        <v>893</v>
      </c>
      <c r="BT53" s="229">
        <v>1.5097</v>
      </c>
      <c r="BU53" s="230">
        <v>357464</v>
      </c>
      <c r="BV53" s="230">
        <v>315605</v>
      </c>
      <c r="BW53" s="230">
        <v>41859</v>
      </c>
      <c r="BX53" s="229">
        <v>0.1326</v>
      </c>
      <c r="BY53" s="230">
        <v>2131</v>
      </c>
      <c r="BZ53" s="230">
        <v>2164</v>
      </c>
      <c r="CA53" s="228">
        <v>-33</v>
      </c>
      <c r="CB53" s="229">
        <v>-1.4999999999999999E-2</v>
      </c>
      <c r="CC53" s="230">
        <v>1965</v>
      </c>
      <c r="CD53" s="230">
        <v>2002</v>
      </c>
      <c r="CE53" s="228">
        <v>-36</v>
      </c>
      <c r="CF53" s="229">
        <v>-1.8200000000000001E-2</v>
      </c>
      <c r="CG53" s="228">
        <v>165</v>
      </c>
      <c r="CH53" s="228">
        <v>161</v>
      </c>
      <c r="CI53" s="228">
        <v>4</v>
      </c>
      <c r="CJ53" s="229">
        <v>2.46E-2</v>
      </c>
      <c r="CK53" s="228">
        <v>1</v>
      </c>
      <c r="CL53" s="228">
        <v>1</v>
      </c>
      <c r="CM53" s="228">
        <v>0</v>
      </c>
      <c r="CN53" s="229">
        <v>0</v>
      </c>
      <c r="CO53" s="228">
        <v>373</v>
      </c>
      <c r="CP53" s="228">
        <v>332</v>
      </c>
      <c r="CQ53" s="228">
        <v>41</v>
      </c>
      <c r="CR53" s="229">
        <v>0.12379999999999999</v>
      </c>
      <c r="CS53" s="228">
        <v>265</v>
      </c>
      <c r="CT53" s="228">
        <v>234</v>
      </c>
      <c r="CU53" s="228">
        <v>32</v>
      </c>
      <c r="CV53" s="229">
        <v>0.1356</v>
      </c>
      <c r="CW53" s="230">
        <v>2769</v>
      </c>
      <c r="CX53" s="230">
        <v>2729</v>
      </c>
      <c r="CY53" s="228">
        <v>40</v>
      </c>
      <c r="CZ53" s="229">
        <v>1.47E-2</v>
      </c>
      <c r="DA53" s="228">
        <v>30.19</v>
      </c>
      <c r="DB53" s="228">
        <v>32.53</v>
      </c>
      <c r="DC53" s="228">
        <v>-2.34</v>
      </c>
      <c r="DD53" s="228">
        <v>-2.34</v>
      </c>
      <c r="DE53" s="228">
        <v>35.409999999999997</v>
      </c>
      <c r="DF53" s="228">
        <v>35.46</v>
      </c>
      <c r="DG53" s="228">
        <v>-5.22</v>
      </c>
      <c r="DH53" s="228">
        <v>-0.05</v>
      </c>
      <c r="DI53" s="228">
        <v>29.78</v>
      </c>
      <c r="DJ53" s="228">
        <v>32.15</v>
      </c>
      <c r="DK53" s="228">
        <v>-2.37</v>
      </c>
      <c r="DL53" s="228">
        <v>-2.37</v>
      </c>
      <c r="DM53" s="228">
        <v>30.97</v>
      </c>
      <c r="DN53" s="228">
        <v>33.19</v>
      </c>
      <c r="DO53" s="228">
        <v>-2.2200000000000002</v>
      </c>
      <c r="DP53" s="228">
        <v>-2.2200000000000002</v>
      </c>
      <c r="DQ53" s="228">
        <v>0.71</v>
      </c>
      <c r="DR53" s="228">
        <v>0.7</v>
      </c>
      <c r="DS53" s="228">
        <v>0.01</v>
      </c>
      <c r="DT53" s="229">
        <v>1.43E-2</v>
      </c>
      <c r="DU53" s="231">
        <v>5500</v>
      </c>
      <c r="DV53" s="231">
        <v>5300</v>
      </c>
      <c r="DW53" s="228">
        <v>0.53</v>
      </c>
      <c r="DX53" s="228">
        <v>0.57999999999999996</v>
      </c>
      <c r="DY53" s="228">
        <v>-0.05</v>
      </c>
      <c r="DZ53" s="229">
        <v>-8.6199999999999999E-2</v>
      </c>
      <c r="EA53" s="229">
        <v>7.8E-2</v>
      </c>
      <c r="EB53" s="230">
        <v>303400</v>
      </c>
      <c r="EC53" s="229">
        <v>5.5999999999999999E-3</v>
      </c>
      <c r="ED53" s="229">
        <v>7.8E-2</v>
      </c>
      <c r="EE53" s="228">
        <v>31.03</v>
      </c>
      <c r="EF53" s="229">
        <v>5.7999999999999996E-3</v>
      </c>
      <c r="EG53" s="230">
        <v>179515</v>
      </c>
      <c r="EH53" s="230">
        <v>188375</v>
      </c>
      <c r="EI53" s="229">
        <v>-4.7E-2</v>
      </c>
      <c r="EJ53" s="229">
        <v>0.50219999999999998</v>
      </c>
      <c r="EK53" s="228">
        <v>739.11</v>
      </c>
      <c r="EL53" s="228">
        <v>363.4</v>
      </c>
      <c r="EM53" s="228">
        <v>396.8</v>
      </c>
      <c r="EN53" s="228">
        <v>25.27</v>
      </c>
      <c r="EO53" s="231">
        <v>1499.31</v>
      </c>
      <c r="EP53" s="228">
        <v>593.87</v>
      </c>
      <c r="EQ53" s="228">
        <v>905.44</v>
      </c>
      <c r="ER53" s="229">
        <v>1.5246</v>
      </c>
      <c r="ES53" s="228">
        <v>382.68</v>
      </c>
      <c r="ET53" s="228">
        <v>251.02</v>
      </c>
      <c r="EU53" s="231">
        <v>2132.1999999999998</v>
      </c>
      <c r="EV53" s="231">
        <v>20374200</v>
      </c>
      <c r="EW53" s="231">
        <v>2765.9</v>
      </c>
      <c r="EX53" s="231">
        <v>2699.31</v>
      </c>
      <c r="EY53" s="228">
        <v>66.59</v>
      </c>
      <c r="EZ53" s="229">
        <v>2.47E-2</v>
      </c>
      <c r="FA53" s="229">
        <v>0.25409999999999999</v>
      </c>
      <c r="FB53" s="227" t="s">
        <v>691</v>
      </c>
      <c r="FC53">
        <f t="shared" si="0"/>
        <v>166</v>
      </c>
    </row>
    <row r="54" spans="1:159" ht="17.25" thickBot="1" x14ac:dyDescent="0.3">
      <c r="A54" s="226">
        <v>46148</v>
      </c>
      <c r="B54" s="227" t="s">
        <v>168</v>
      </c>
      <c r="C54" s="227" t="s">
        <v>204</v>
      </c>
      <c r="D54" s="228">
        <v>1250</v>
      </c>
      <c r="E54" s="228">
        <v>20</v>
      </c>
      <c r="F54" s="228">
        <v>468.35</v>
      </c>
      <c r="G54" s="228">
        <v>462</v>
      </c>
      <c r="H54" s="228">
        <v>6.35</v>
      </c>
      <c r="I54" s="229">
        <v>1.37E-2</v>
      </c>
      <c r="J54" s="228">
        <v>466.25</v>
      </c>
      <c r="K54" s="228">
        <v>460.55</v>
      </c>
      <c r="L54" s="228">
        <v>5.7</v>
      </c>
      <c r="M54" s="229">
        <v>1.24E-2</v>
      </c>
      <c r="N54" s="228">
        <v>468.35</v>
      </c>
      <c r="O54" s="228">
        <v>462</v>
      </c>
      <c r="P54" s="228">
        <v>6.35</v>
      </c>
      <c r="Q54" s="229">
        <v>1.37E-2</v>
      </c>
      <c r="R54" s="228">
        <v>471.4</v>
      </c>
      <c r="S54" s="228">
        <v>465</v>
      </c>
      <c r="T54" s="228">
        <v>6.4</v>
      </c>
      <c r="U54" s="229">
        <v>1.38E-2</v>
      </c>
      <c r="V54" s="228">
        <v>468.5</v>
      </c>
      <c r="W54" s="228">
        <v>461.6</v>
      </c>
      <c r="X54" s="228">
        <v>6.9</v>
      </c>
      <c r="Y54" s="229">
        <v>1.49E-2</v>
      </c>
      <c r="Z54" s="228">
        <v>2.1</v>
      </c>
      <c r="AA54" s="228">
        <v>1.45</v>
      </c>
      <c r="AB54" s="228">
        <v>0.65</v>
      </c>
      <c r="AC54" s="229">
        <v>4.4999999999999997E-3</v>
      </c>
      <c r="AD54" s="228">
        <v>2.1</v>
      </c>
      <c r="AE54" s="228">
        <v>1.45</v>
      </c>
      <c r="AF54" s="228">
        <v>0.65</v>
      </c>
      <c r="AG54" s="229">
        <v>4.4999999999999997E-3</v>
      </c>
      <c r="AH54" s="228">
        <v>5.15</v>
      </c>
      <c r="AI54" s="228">
        <v>4.45</v>
      </c>
      <c r="AJ54" s="228">
        <v>0.7</v>
      </c>
      <c r="AK54" s="229">
        <v>1.0999999999999999E-2</v>
      </c>
      <c r="AL54" s="228">
        <v>2.25</v>
      </c>
      <c r="AM54" s="228">
        <v>1.05</v>
      </c>
      <c r="AN54" s="228">
        <v>1.2</v>
      </c>
      <c r="AO54" s="229">
        <v>4.7999999999999996E-3</v>
      </c>
      <c r="AP54" s="228">
        <v>465.78</v>
      </c>
      <c r="AQ54" s="228">
        <v>468.58</v>
      </c>
      <c r="AR54" s="228">
        <v>0</v>
      </c>
      <c r="AS54" s="228">
        <v>237</v>
      </c>
      <c r="AT54" s="228">
        <v>244</v>
      </c>
      <c r="AU54" s="228">
        <v>-6</v>
      </c>
      <c r="AV54" s="229">
        <v>-2.6700000000000002E-2</v>
      </c>
      <c r="AW54" s="228">
        <v>221</v>
      </c>
      <c r="AX54" s="228">
        <v>231</v>
      </c>
      <c r="AY54" s="228">
        <v>-10</v>
      </c>
      <c r="AZ54" s="229">
        <v>-4.2799999999999998E-2</v>
      </c>
      <c r="BA54" s="228">
        <v>11</v>
      </c>
      <c r="BB54" s="228">
        <v>10</v>
      </c>
      <c r="BC54" s="228">
        <v>1</v>
      </c>
      <c r="BD54" s="229">
        <v>7.51E-2</v>
      </c>
      <c r="BE54" s="228">
        <v>5</v>
      </c>
      <c r="BF54" s="228">
        <v>2</v>
      </c>
      <c r="BG54" s="228">
        <v>3</v>
      </c>
      <c r="BH54" s="229">
        <v>1.2857000000000001</v>
      </c>
      <c r="BI54" s="228">
        <v>958</v>
      </c>
      <c r="BJ54" s="228">
        <v>966</v>
      </c>
      <c r="BK54" s="228">
        <v>-8</v>
      </c>
      <c r="BL54" s="229">
        <v>-8.8000000000000005E-3</v>
      </c>
      <c r="BM54" s="228">
        <v>242</v>
      </c>
      <c r="BN54" s="228">
        <v>239</v>
      </c>
      <c r="BO54" s="228">
        <v>2</v>
      </c>
      <c r="BP54" s="229">
        <v>9.4999999999999998E-3</v>
      </c>
      <c r="BQ54" s="230">
        <v>1437</v>
      </c>
      <c r="BR54" s="230">
        <v>1449</v>
      </c>
      <c r="BS54" s="228">
        <v>-13</v>
      </c>
      <c r="BT54" s="229">
        <v>-8.8000000000000005E-3</v>
      </c>
      <c r="BU54" s="230">
        <v>3034715</v>
      </c>
      <c r="BV54" s="230">
        <v>2839688</v>
      </c>
      <c r="BW54" s="230">
        <v>195027</v>
      </c>
      <c r="BX54" s="229">
        <v>6.8699999999999997E-2</v>
      </c>
      <c r="BY54" s="230">
        <v>1283</v>
      </c>
      <c r="BZ54" s="230">
        <v>1321</v>
      </c>
      <c r="CA54" s="228">
        <v>-39</v>
      </c>
      <c r="CB54" s="229">
        <v>-2.92E-2</v>
      </c>
      <c r="CC54" s="230">
        <v>1251</v>
      </c>
      <c r="CD54" s="230">
        <v>1293</v>
      </c>
      <c r="CE54" s="228">
        <v>-41</v>
      </c>
      <c r="CF54" s="229">
        <v>-3.1800000000000002E-2</v>
      </c>
      <c r="CG54" s="228">
        <v>26</v>
      </c>
      <c r="CH54" s="228">
        <v>23</v>
      </c>
      <c r="CI54" s="228">
        <v>3</v>
      </c>
      <c r="CJ54" s="229">
        <v>0.115</v>
      </c>
      <c r="CK54" s="228">
        <v>5</v>
      </c>
      <c r="CL54" s="228">
        <v>5</v>
      </c>
      <c r="CM54" s="228">
        <v>0</v>
      </c>
      <c r="CN54" s="229">
        <v>-4.2999999999999997E-2</v>
      </c>
      <c r="CO54" s="228">
        <v>455</v>
      </c>
      <c r="CP54" s="228">
        <v>346</v>
      </c>
      <c r="CQ54" s="228">
        <v>109</v>
      </c>
      <c r="CR54" s="229">
        <v>0.31409999999999999</v>
      </c>
      <c r="CS54" s="228">
        <v>254</v>
      </c>
      <c r="CT54" s="228">
        <v>231</v>
      </c>
      <c r="CU54" s="228">
        <v>24</v>
      </c>
      <c r="CV54" s="229">
        <v>0.1019</v>
      </c>
      <c r="CW54" s="230">
        <v>1992</v>
      </c>
      <c r="CX54" s="230">
        <v>1899</v>
      </c>
      <c r="CY54" s="228">
        <v>94</v>
      </c>
      <c r="CZ54" s="229">
        <v>4.9299999999999997E-2</v>
      </c>
      <c r="DA54" s="228">
        <v>31.66</v>
      </c>
      <c r="DB54" s="228">
        <v>30.98</v>
      </c>
      <c r="DC54" s="228">
        <v>0.68</v>
      </c>
      <c r="DD54" s="228">
        <v>0.68</v>
      </c>
      <c r="DE54" s="228">
        <v>27.62</v>
      </c>
      <c r="DF54" s="228">
        <v>27.64</v>
      </c>
      <c r="DG54" s="228">
        <v>4.04</v>
      </c>
      <c r="DH54" s="228">
        <v>-0.02</v>
      </c>
      <c r="DI54" s="228">
        <v>31.65</v>
      </c>
      <c r="DJ54" s="228">
        <v>30.88</v>
      </c>
      <c r="DK54" s="228">
        <v>0.77</v>
      </c>
      <c r="DL54" s="228">
        <v>0.77</v>
      </c>
      <c r="DM54" s="228">
        <v>31.72</v>
      </c>
      <c r="DN54" s="228">
        <v>31.36</v>
      </c>
      <c r="DO54" s="228">
        <v>0.36</v>
      </c>
      <c r="DP54" s="228">
        <v>0.36</v>
      </c>
      <c r="DQ54" s="228">
        <v>0.56000000000000005</v>
      </c>
      <c r="DR54" s="228">
        <v>0.67</v>
      </c>
      <c r="DS54" s="228">
        <v>-0.11</v>
      </c>
      <c r="DT54" s="229">
        <v>-0.16420000000000001</v>
      </c>
      <c r="DU54" s="228">
        <v>500</v>
      </c>
      <c r="DV54" s="228">
        <v>400</v>
      </c>
      <c r="DW54" s="228">
        <v>0.25</v>
      </c>
      <c r="DX54" s="228">
        <v>0.25</v>
      </c>
      <c r="DY54" s="228">
        <v>0</v>
      </c>
      <c r="DZ54" s="229">
        <v>0</v>
      </c>
      <c r="EA54" s="229">
        <v>2.4400000000000002E-2</v>
      </c>
      <c r="EB54" s="230">
        <v>616250</v>
      </c>
      <c r="EC54" s="229">
        <v>6.4999999999999997E-3</v>
      </c>
      <c r="ED54" s="229">
        <v>2.4400000000000002E-2</v>
      </c>
      <c r="EE54" s="228">
        <v>2.8</v>
      </c>
      <c r="EF54" s="229">
        <v>6.0000000000000001E-3</v>
      </c>
      <c r="EG54" s="230">
        <v>1501829</v>
      </c>
      <c r="EH54" s="230">
        <v>1088386</v>
      </c>
      <c r="EI54" s="229">
        <v>0.37990000000000002</v>
      </c>
      <c r="EJ54" s="229">
        <v>0.49490000000000001</v>
      </c>
      <c r="EK54" s="231">
        <v>1013.29</v>
      </c>
      <c r="EL54" s="228">
        <v>231.9</v>
      </c>
      <c r="EM54" s="228">
        <v>235.8</v>
      </c>
      <c r="EN54" s="228">
        <v>25.77</v>
      </c>
      <c r="EO54" s="231">
        <v>1481</v>
      </c>
      <c r="EP54" s="231">
        <v>1462.97</v>
      </c>
      <c r="EQ54" s="228">
        <v>18.02</v>
      </c>
      <c r="ER54" s="229">
        <v>1.23E-2</v>
      </c>
      <c r="ES54" s="228">
        <v>473.62</v>
      </c>
      <c r="ET54" s="228">
        <v>237.37</v>
      </c>
      <c r="EU54" s="231">
        <v>1282.92</v>
      </c>
      <c r="EV54" s="231">
        <v>76827821</v>
      </c>
      <c r="EW54" s="231">
        <v>1993.92</v>
      </c>
      <c r="EX54" s="231">
        <v>1874.51</v>
      </c>
      <c r="EY54" s="228">
        <v>119.41</v>
      </c>
      <c r="EZ54" s="229">
        <v>6.3700000000000007E-2</v>
      </c>
      <c r="FA54" s="229">
        <v>0.55369999999999997</v>
      </c>
      <c r="FB54" s="227" t="s">
        <v>691</v>
      </c>
      <c r="FC54">
        <f t="shared" si="0"/>
        <v>32</v>
      </c>
    </row>
    <row r="55" spans="1:159" ht="17.25" thickBot="1" x14ac:dyDescent="0.3">
      <c r="A55" s="226">
        <v>46148</v>
      </c>
      <c r="B55" s="227" t="s">
        <v>157</v>
      </c>
      <c r="C55" s="227" t="s">
        <v>524</v>
      </c>
      <c r="D55" s="228">
        <v>325</v>
      </c>
      <c r="E55" s="228">
        <v>20</v>
      </c>
      <c r="F55" s="231">
        <v>1986.8</v>
      </c>
      <c r="G55" s="231">
        <v>1967.9</v>
      </c>
      <c r="H55" s="228">
        <v>18.899999999999999</v>
      </c>
      <c r="I55" s="229">
        <v>9.5999999999999992E-3</v>
      </c>
      <c r="J55" s="231">
        <v>1974.6</v>
      </c>
      <c r="K55" s="231">
        <v>1968.1</v>
      </c>
      <c r="L55" s="228">
        <v>6.5</v>
      </c>
      <c r="M55" s="229">
        <v>3.3E-3</v>
      </c>
      <c r="N55" s="231">
        <v>1986.8</v>
      </c>
      <c r="O55" s="231">
        <v>1967.9</v>
      </c>
      <c r="P55" s="228">
        <v>18.899999999999999</v>
      </c>
      <c r="Q55" s="229">
        <v>9.5999999999999992E-3</v>
      </c>
      <c r="R55" s="231">
        <v>1990.1</v>
      </c>
      <c r="S55" s="231">
        <v>1978</v>
      </c>
      <c r="T55" s="228">
        <v>12.1</v>
      </c>
      <c r="U55" s="229">
        <v>6.1000000000000004E-3</v>
      </c>
      <c r="V55" s="231">
        <v>1927.9</v>
      </c>
      <c r="W55" s="231">
        <v>1927.9</v>
      </c>
      <c r="X55" s="228">
        <v>0</v>
      </c>
      <c r="Y55" s="229">
        <v>0</v>
      </c>
      <c r="Z55" s="228">
        <v>12.2</v>
      </c>
      <c r="AA55" s="228">
        <v>-0.2</v>
      </c>
      <c r="AB55" s="228">
        <v>12.4</v>
      </c>
      <c r="AC55" s="229">
        <v>6.1999999999999998E-3</v>
      </c>
      <c r="AD55" s="228">
        <v>12.2</v>
      </c>
      <c r="AE55" s="228">
        <v>-0.2</v>
      </c>
      <c r="AF55" s="228">
        <v>12.4</v>
      </c>
      <c r="AG55" s="229">
        <v>6.1999999999999998E-3</v>
      </c>
      <c r="AH55" s="228">
        <v>15.5</v>
      </c>
      <c r="AI55" s="228">
        <v>9.9</v>
      </c>
      <c r="AJ55" s="228">
        <v>5.6</v>
      </c>
      <c r="AK55" s="229">
        <v>7.7999999999999996E-3</v>
      </c>
      <c r="AL55" s="228">
        <v>-46.7</v>
      </c>
      <c r="AM55" s="228">
        <v>-40.200000000000003</v>
      </c>
      <c r="AN55" s="228">
        <v>-6.5</v>
      </c>
      <c r="AO55" s="229">
        <v>-2.3699999999999999E-2</v>
      </c>
      <c r="AP55" s="231">
        <v>1967.86</v>
      </c>
      <c r="AQ55" s="231">
        <v>1977.67</v>
      </c>
      <c r="AR55" s="228">
        <v>0</v>
      </c>
      <c r="AS55" s="228">
        <v>107</v>
      </c>
      <c r="AT55" s="228">
        <v>121</v>
      </c>
      <c r="AU55" s="228">
        <v>-14</v>
      </c>
      <c r="AV55" s="229">
        <v>-0.11799999999999999</v>
      </c>
      <c r="AW55" s="228">
        <v>103</v>
      </c>
      <c r="AX55" s="228">
        <v>119</v>
      </c>
      <c r="AY55" s="228">
        <v>-15</v>
      </c>
      <c r="AZ55" s="229">
        <v>-0.12889999999999999</v>
      </c>
      <c r="BA55" s="228">
        <v>4</v>
      </c>
      <c r="BB55" s="228">
        <v>3</v>
      </c>
      <c r="BC55" s="228">
        <v>1</v>
      </c>
      <c r="BD55" s="229">
        <v>0.3488</v>
      </c>
      <c r="BE55" s="228">
        <v>0</v>
      </c>
      <c r="BF55" s="228">
        <v>0</v>
      </c>
      <c r="BG55" s="228">
        <v>0</v>
      </c>
      <c r="BH55" s="229">
        <v>0</v>
      </c>
      <c r="BI55" s="228">
        <v>276</v>
      </c>
      <c r="BJ55" s="228">
        <v>154</v>
      </c>
      <c r="BK55" s="228">
        <v>122</v>
      </c>
      <c r="BL55" s="229">
        <v>0.79149999999999998</v>
      </c>
      <c r="BM55" s="228">
        <v>62</v>
      </c>
      <c r="BN55" s="228">
        <v>58</v>
      </c>
      <c r="BO55" s="228">
        <v>4</v>
      </c>
      <c r="BP55" s="229">
        <v>7.3800000000000004E-2</v>
      </c>
      <c r="BQ55" s="228">
        <v>445</v>
      </c>
      <c r="BR55" s="228">
        <v>333</v>
      </c>
      <c r="BS55" s="228">
        <v>112</v>
      </c>
      <c r="BT55" s="229">
        <v>0.33589999999999998</v>
      </c>
      <c r="BU55" s="230">
        <v>151859</v>
      </c>
      <c r="BV55" s="230">
        <v>335999</v>
      </c>
      <c r="BW55" s="230">
        <v>-184140</v>
      </c>
      <c r="BX55" s="229">
        <v>-0.54800000000000004</v>
      </c>
      <c r="BY55" s="228">
        <v>554</v>
      </c>
      <c r="BZ55" s="228">
        <v>540</v>
      </c>
      <c r="CA55" s="228">
        <v>15</v>
      </c>
      <c r="CB55" s="229">
        <v>2.7E-2</v>
      </c>
      <c r="CC55" s="228">
        <v>549</v>
      </c>
      <c r="CD55" s="228">
        <v>534</v>
      </c>
      <c r="CE55" s="228">
        <v>14</v>
      </c>
      <c r="CF55" s="229">
        <v>2.69E-2</v>
      </c>
      <c r="CG55" s="228">
        <v>5</v>
      </c>
      <c r="CH55" s="228">
        <v>5</v>
      </c>
      <c r="CI55" s="228">
        <v>0</v>
      </c>
      <c r="CJ55" s="229">
        <v>3.85E-2</v>
      </c>
      <c r="CK55" s="228">
        <v>0</v>
      </c>
      <c r="CL55" s="228">
        <v>0</v>
      </c>
      <c r="CM55" s="228">
        <v>0</v>
      </c>
      <c r="CN55" s="229">
        <v>0</v>
      </c>
      <c r="CO55" s="228">
        <v>203</v>
      </c>
      <c r="CP55" s="228">
        <v>172</v>
      </c>
      <c r="CQ55" s="228">
        <v>31</v>
      </c>
      <c r="CR55" s="229">
        <v>0.1802</v>
      </c>
      <c r="CS55" s="228">
        <v>105</v>
      </c>
      <c r="CT55" s="228">
        <v>104</v>
      </c>
      <c r="CU55" s="228">
        <v>1</v>
      </c>
      <c r="CV55" s="229">
        <v>8.0000000000000002E-3</v>
      </c>
      <c r="CW55" s="228">
        <v>862</v>
      </c>
      <c r="CX55" s="228">
        <v>816</v>
      </c>
      <c r="CY55" s="228">
        <v>46</v>
      </c>
      <c r="CZ55" s="229">
        <v>5.6899999999999999E-2</v>
      </c>
      <c r="DA55" s="228">
        <v>29.56</v>
      </c>
      <c r="DB55" s="228">
        <v>30.71</v>
      </c>
      <c r="DC55" s="228">
        <v>-1.1499999999999999</v>
      </c>
      <c r="DD55" s="228">
        <v>-1.1499999999999999</v>
      </c>
      <c r="DE55" s="228">
        <v>33.99</v>
      </c>
      <c r="DF55" s="228">
        <v>34.049999999999997</v>
      </c>
      <c r="DG55" s="228">
        <v>-4.43</v>
      </c>
      <c r="DH55" s="228">
        <v>-0.06</v>
      </c>
      <c r="DI55" s="228">
        <v>29.17</v>
      </c>
      <c r="DJ55" s="228">
        <v>30.65</v>
      </c>
      <c r="DK55" s="228">
        <v>-1.48</v>
      </c>
      <c r="DL55" s="228">
        <v>-1.48</v>
      </c>
      <c r="DM55" s="228">
        <v>31.32</v>
      </c>
      <c r="DN55" s="228">
        <v>30.88</v>
      </c>
      <c r="DO55" s="228">
        <v>0.44</v>
      </c>
      <c r="DP55" s="228">
        <v>0.44</v>
      </c>
      <c r="DQ55" s="228">
        <v>0.52</v>
      </c>
      <c r="DR55" s="228">
        <v>0.61</v>
      </c>
      <c r="DS55" s="228">
        <v>-0.09</v>
      </c>
      <c r="DT55" s="229">
        <v>-0.14749999999999999</v>
      </c>
      <c r="DU55" s="231">
        <v>2100</v>
      </c>
      <c r="DV55" s="231">
        <v>1900</v>
      </c>
      <c r="DW55" s="228">
        <v>0.22</v>
      </c>
      <c r="DX55" s="228">
        <v>0.37</v>
      </c>
      <c r="DY55" s="228">
        <v>-0.15</v>
      </c>
      <c r="DZ55" s="229">
        <v>-0.40539999999999998</v>
      </c>
      <c r="EA55" s="229">
        <v>9.7999999999999997E-3</v>
      </c>
      <c r="EB55" s="230">
        <v>26325</v>
      </c>
      <c r="EC55" s="229">
        <v>1.6999999999999999E-3</v>
      </c>
      <c r="ED55" s="229">
        <v>9.7999999999999997E-3</v>
      </c>
      <c r="EE55" s="228">
        <v>9.81</v>
      </c>
      <c r="EF55" s="229">
        <v>5.0000000000000001E-3</v>
      </c>
      <c r="EG55" s="230">
        <v>74689</v>
      </c>
      <c r="EH55" s="230">
        <v>204393</v>
      </c>
      <c r="EI55" s="229">
        <v>-0.63460000000000005</v>
      </c>
      <c r="EJ55" s="229">
        <v>0.49180000000000001</v>
      </c>
      <c r="EK55" s="228">
        <v>290.52999999999997</v>
      </c>
      <c r="EL55" s="228">
        <v>61.21</v>
      </c>
      <c r="EM55" s="228">
        <v>106.12</v>
      </c>
      <c r="EN55" s="228">
        <v>28.19</v>
      </c>
      <c r="EO55" s="228">
        <v>457.86</v>
      </c>
      <c r="EP55" s="228">
        <v>340.35</v>
      </c>
      <c r="EQ55" s="228">
        <v>117.51</v>
      </c>
      <c r="ER55" s="229">
        <v>0.3453</v>
      </c>
      <c r="ES55" s="228">
        <v>210.91</v>
      </c>
      <c r="ET55" s="228">
        <v>99.07</v>
      </c>
      <c r="EU55" s="228">
        <v>554.15</v>
      </c>
      <c r="EV55" s="231">
        <v>12425160</v>
      </c>
      <c r="EW55" s="228">
        <v>864.14</v>
      </c>
      <c r="EX55" s="228">
        <v>811.06</v>
      </c>
      <c r="EY55" s="228">
        <v>53.08</v>
      </c>
      <c r="EZ55" s="229">
        <v>6.54E-2</v>
      </c>
      <c r="FA55" s="229">
        <v>0.3493</v>
      </c>
      <c r="FB55" s="227" t="s">
        <v>555</v>
      </c>
      <c r="FC55">
        <f t="shared" si="0"/>
        <v>5</v>
      </c>
    </row>
    <row r="56" spans="1:159" ht="17.25" thickBot="1" x14ac:dyDescent="0.3">
      <c r="A56" s="226">
        <v>46148</v>
      </c>
      <c r="B56" s="227" t="s">
        <v>614</v>
      </c>
      <c r="C56" s="227" t="s">
        <v>599</v>
      </c>
      <c r="D56" s="228">
        <v>2075</v>
      </c>
      <c r="E56" s="228">
        <v>20</v>
      </c>
      <c r="F56" s="228">
        <v>473.7</v>
      </c>
      <c r="G56" s="228">
        <v>461.4</v>
      </c>
      <c r="H56" s="228">
        <v>12.3</v>
      </c>
      <c r="I56" s="229">
        <v>2.6700000000000002E-2</v>
      </c>
      <c r="J56" s="228">
        <v>471</v>
      </c>
      <c r="K56" s="228">
        <v>459.5</v>
      </c>
      <c r="L56" s="228">
        <v>11.5</v>
      </c>
      <c r="M56" s="229">
        <v>2.5000000000000001E-2</v>
      </c>
      <c r="N56" s="228">
        <v>473.7</v>
      </c>
      <c r="O56" s="228">
        <v>461.4</v>
      </c>
      <c r="P56" s="228">
        <v>12.3</v>
      </c>
      <c r="Q56" s="229">
        <v>2.6700000000000002E-2</v>
      </c>
      <c r="R56" s="228">
        <v>476.05</v>
      </c>
      <c r="S56" s="228">
        <v>463.65</v>
      </c>
      <c r="T56" s="228">
        <v>12.4</v>
      </c>
      <c r="U56" s="229">
        <v>2.6700000000000002E-2</v>
      </c>
      <c r="V56" s="228">
        <v>478.7</v>
      </c>
      <c r="W56" s="228">
        <v>461.5</v>
      </c>
      <c r="X56" s="228">
        <v>17.2</v>
      </c>
      <c r="Y56" s="229">
        <v>3.73E-2</v>
      </c>
      <c r="Z56" s="228">
        <v>2.7</v>
      </c>
      <c r="AA56" s="228">
        <v>1.9</v>
      </c>
      <c r="AB56" s="228">
        <v>0.8</v>
      </c>
      <c r="AC56" s="229">
        <v>5.7000000000000002E-3</v>
      </c>
      <c r="AD56" s="228">
        <v>2.7</v>
      </c>
      <c r="AE56" s="228">
        <v>1.9</v>
      </c>
      <c r="AF56" s="228">
        <v>0.8</v>
      </c>
      <c r="AG56" s="229">
        <v>5.7000000000000002E-3</v>
      </c>
      <c r="AH56" s="228">
        <v>5.05</v>
      </c>
      <c r="AI56" s="228">
        <v>4.1500000000000004</v>
      </c>
      <c r="AJ56" s="228">
        <v>0.9</v>
      </c>
      <c r="AK56" s="229">
        <v>1.0699999999999999E-2</v>
      </c>
      <c r="AL56" s="228">
        <v>7.7</v>
      </c>
      <c r="AM56" s="228">
        <v>2</v>
      </c>
      <c r="AN56" s="228">
        <v>5.7</v>
      </c>
      <c r="AO56" s="229">
        <v>1.6299999999999999E-2</v>
      </c>
      <c r="AP56" s="228">
        <v>468.02</v>
      </c>
      <c r="AQ56" s="228">
        <v>472.07</v>
      </c>
      <c r="AR56" s="228">
        <v>0</v>
      </c>
      <c r="AS56" s="228">
        <v>260</v>
      </c>
      <c r="AT56" s="228">
        <v>496</v>
      </c>
      <c r="AU56" s="228">
        <v>-236</v>
      </c>
      <c r="AV56" s="229">
        <v>-0.47589999999999999</v>
      </c>
      <c r="AW56" s="228">
        <v>251</v>
      </c>
      <c r="AX56" s="228">
        <v>478</v>
      </c>
      <c r="AY56" s="228">
        <v>-227</v>
      </c>
      <c r="AZ56" s="229">
        <v>-0.47449999999999998</v>
      </c>
      <c r="BA56" s="228">
        <v>9</v>
      </c>
      <c r="BB56" s="228">
        <v>18</v>
      </c>
      <c r="BC56" s="228">
        <v>-10</v>
      </c>
      <c r="BD56" s="229">
        <v>-0.5272</v>
      </c>
      <c r="BE56" s="228">
        <v>0</v>
      </c>
      <c r="BF56" s="228">
        <v>0</v>
      </c>
      <c r="BG56" s="228">
        <v>0</v>
      </c>
      <c r="BH56" s="229">
        <v>0.33329999999999999</v>
      </c>
      <c r="BI56" s="228">
        <v>378</v>
      </c>
      <c r="BJ56" s="228">
        <v>629</v>
      </c>
      <c r="BK56" s="228">
        <v>-252</v>
      </c>
      <c r="BL56" s="229">
        <v>-0.40010000000000001</v>
      </c>
      <c r="BM56" s="228">
        <v>212</v>
      </c>
      <c r="BN56" s="228">
        <v>830</v>
      </c>
      <c r="BO56" s="228">
        <v>-618</v>
      </c>
      <c r="BP56" s="229">
        <v>-0.74480000000000002</v>
      </c>
      <c r="BQ56" s="228">
        <v>849</v>
      </c>
      <c r="BR56" s="230">
        <v>1956</v>
      </c>
      <c r="BS56" s="230">
        <v>-1106</v>
      </c>
      <c r="BT56" s="229">
        <v>-0.56559999999999999</v>
      </c>
      <c r="BU56" s="230">
        <v>2430013</v>
      </c>
      <c r="BV56" s="230">
        <v>4782248</v>
      </c>
      <c r="BW56" s="230">
        <v>-2352235</v>
      </c>
      <c r="BX56" s="229">
        <v>-0.4919</v>
      </c>
      <c r="BY56" s="230">
        <v>1384</v>
      </c>
      <c r="BZ56" s="230">
        <v>1447</v>
      </c>
      <c r="CA56" s="228">
        <v>-62</v>
      </c>
      <c r="CB56" s="229">
        <v>-4.3099999999999999E-2</v>
      </c>
      <c r="CC56" s="230">
        <v>1368</v>
      </c>
      <c r="CD56" s="230">
        <v>1432</v>
      </c>
      <c r="CE56" s="228">
        <v>-63</v>
      </c>
      <c r="CF56" s="229">
        <v>-4.41E-2</v>
      </c>
      <c r="CG56" s="228">
        <v>15</v>
      </c>
      <c r="CH56" s="228">
        <v>14</v>
      </c>
      <c r="CI56" s="228">
        <v>1</v>
      </c>
      <c r="CJ56" s="229">
        <v>7.7499999999999999E-2</v>
      </c>
      <c r="CK56" s="228">
        <v>1</v>
      </c>
      <c r="CL56" s="228">
        <v>1</v>
      </c>
      <c r="CM56" s="228">
        <v>0</v>
      </c>
      <c r="CN56" s="229">
        <v>-0.36359999999999998</v>
      </c>
      <c r="CO56" s="228">
        <v>338</v>
      </c>
      <c r="CP56" s="228">
        <v>311</v>
      </c>
      <c r="CQ56" s="228">
        <v>28</v>
      </c>
      <c r="CR56" s="229">
        <v>8.9599999999999999E-2</v>
      </c>
      <c r="CS56" s="228">
        <v>199</v>
      </c>
      <c r="CT56" s="228">
        <v>201</v>
      </c>
      <c r="CU56" s="228">
        <v>-2</v>
      </c>
      <c r="CV56" s="229">
        <v>-1.17E-2</v>
      </c>
      <c r="CW56" s="230">
        <v>1921</v>
      </c>
      <c r="CX56" s="230">
        <v>1958</v>
      </c>
      <c r="CY56" s="228">
        <v>-37</v>
      </c>
      <c r="CZ56" s="229">
        <v>-1.89E-2</v>
      </c>
      <c r="DA56" s="228">
        <v>35.340000000000003</v>
      </c>
      <c r="DB56" s="228">
        <v>36.19</v>
      </c>
      <c r="DC56" s="228">
        <v>-0.85</v>
      </c>
      <c r="DD56" s="228">
        <v>-0.85</v>
      </c>
      <c r="DE56" s="228">
        <v>38.99</v>
      </c>
      <c r="DF56" s="228">
        <v>38.93</v>
      </c>
      <c r="DG56" s="228">
        <v>-3.65</v>
      </c>
      <c r="DH56" s="228">
        <v>0.06</v>
      </c>
      <c r="DI56" s="228">
        <v>34.85</v>
      </c>
      <c r="DJ56" s="228">
        <v>35.479999999999997</v>
      </c>
      <c r="DK56" s="228">
        <v>-0.63</v>
      </c>
      <c r="DL56" s="228">
        <v>-0.63</v>
      </c>
      <c r="DM56" s="228">
        <v>36.229999999999997</v>
      </c>
      <c r="DN56" s="228">
        <v>36.729999999999997</v>
      </c>
      <c r="DO56" s="228">
        <v>-0.5</v>
      </c>
      <c r="DP56" s="228">
        <v>-0.5</v>
      </c>
      <c r="DQ56" s="228">
        <v>0.59</v>
      </c>
      <c r="DR56" s="228">
        <v>0.65</v>
      </c>
      <c r="DS56" s="228">
        <v>-0.06</v>
      </c>
      <c r="DT56" s="229">
        <v>-9.2299999999999993E-2</v>
      </c>
      <c r="DU56" s="228">
        <v>500</v>
      </c>
      <c r="DV56" s="228">
        <v>440</v>
      </c>
      <c r="DW56" s="228">
        <v>0.56000000000000005</v>
      </c>
      <c r="DX56" s="228">
        <v>1.32</v>
      </c>
      <c r="DY56" s="228">
        <v>-0.76</v>
      </c>
      <c r="DZ56" s="229">
        <v>-0.57579999999999998</v>
      </c>
      <c r="EA56" s="229">
        <v>1.14E-2</v>
      </c>
      <c r="EB56" s="230">
        <v>317475</v>
      </c>
      <c r="EC56" s="229">
        <v>5.0000000000000001E-3</v>
      </c>
      <c r="ED56" s="229">
        <v>1.14E-2</v>
      </c>
      <c r="EE56" s="228">
        <v>4.05</v>
      </c>
      <c r="EF56" s="229">
        <v>8.6999999999999994E-3</v>
      </c>
      <c r="EG56" s="230">
        <v>975029</v>
      </c>
      <c r="EH56" s="230">
        <v>1969544</v>
      </c>
      <c r="EI56" s="229">
        <v>-0.50490000000000002</v>
      </c>
      <c r="EJ56" s="229">
        <v>0.4012</v>
      </c>
      <c r="EK56" s="228">
        <v>394.2</v>
      </c>
      <c r="EL56" s="228">
        <v>204.32</v>
      </c>
      <c r="EM56" s="228">
        <v>257.04000000000002</v>
      </c>
      <c r="EN56" s="228">
        <v>27.77</v>
      </c>
      <c r="EO56" s="228">
        <v>855.57</v>
      </c>
      <c r="EP56" s="231">
        <v>1927.6</v>
      </c>
      <c r="EQ56" s="231">
        <v>-1072.03</v>
      </c>
      <c r="ER56" s="229">
        <v>-0.55610000000000004</v>
      </c>
      <c r="ES56" s="228">
        <v>349.65</v>
      </c>
      <c r="ET56" s="228">
        <v>185.29</v>
      </c>
      <c r="EU56" s="231">
        <v>1384.24</v>
      </c>
      <c r="EV56" s="231">
        <v>83072620</v>
      </c>
      <c r="EW56" s="231">
        <v>1919.18</v>
      </c>
      <c r="EX56" s="231">
        <v>1915.79</v>
      </c>
      <c r="EY56" s="228">
        <v>3.39</v>
      </c>
      <c r="EZ56" s="229">
        <v>1.8E-3</v>
      </c>
      <c r="FA56" s="229">
        <v>0.48820000000000002</v>
      </c>
      <c r="FB56" s="227" t="s">
        <v>691</v>
      </c>
      <c r="FC56">
        <f t="shared" si="0"/>
        <v>16</v>
      </c>
    </row>
    <row r="57" spans="1:159" ht="17.25" thickBot="1" x14ac:dyDescent="0.3">
      <c r="A57" s="226">
        <v>46148</v>
      </c>
      <c r="B57" s="227" t="s">
        <v>170</v>
      </c>
      <c r="C57" s="227" t="s">
        <v>205</v>
      </c>
      <c r="D57" s="228">
        <v>100</v>
      </c>
      <c r="E57" s="228">
        <v>20</v>
      </c>
      <c r="F57" s="231">
        <v>6738.5</v>
      </c>
      <c r="G57" s="231">
        <v>6667</v>
      </c>
      <c r="H57" s="228">
        <v>71.5</v>
      </c>
      <c r="I57" s="229">
        <v>1.0699999999999999E-2</v>
      </c>
      <c r="J57" s="231">
        <v>6702</v>
      </c>
      <c r="K57" s="231">
        <v>6651</v>
      </c>
      <c r="L57" s="228">
        <v>51</v>
      </c>
      <c r="M57" s="229">
        <v>7.7000000000000002E-3</v>
      </c>
      <c r="N57" s="231">
        <v>6738.5</v>
      </c>
      <c r="O57" s="231">
        <v>6667</v>
      </c>
      <c r="P57" s="228">
        <v>71.5</v>
      </c>
      <c r="Q57" s="229">
        <v>1.0699999999999999E-2</v>
      </c>
      <c r="R57" s="231">
        <v>6783</v>
      </c>
      <c r="S57" s="231">
        <v>6710</v>
      </c>
      <c r="T57" s="228">
        <v>73</v>
      </c>
      <c r="U57" s="229">
        <v>1.09E-2</v>
      </c>
      <c r="V57" s="231">
        <v>6787</v>
      </c>
      <c r="W57" s="231">
        <v>6716</v>
      </c>
      <c r="X57" s="228">
        <v>71</v>
      </c>
      <c r="Y57" s="229">
        <v>1.06E-2</v>
      </c>
      <c r="Z57" s="228">
        <v>36.5</v>
      </c>
      <c r="AA57" s="228">
        <v>16</v>
      </c>
      <c r="AB57" s="228">
        <v>20.5</v>
      </c>
      <c r="AC57" s="229">
        <v>5.4000000000000003E-3</v>
      </c>
      <c r="AD57" s="228">
        <v>36.5</v>
      </c>
      <c r="AE57" s="228">
        <v>16</v>
      </c>
      <c r="AF57" s="228">
        <v>20.5</v>
      </c>
      <c r="AG57" s="229">
        <v>5.4000000000000003E-3</v>
      </c>
      <c r="AH57" s="228">
        <v>81</v>
      </c>
      <c r="AI57" s="228">
        <v>59</v>
      </c>
      <c r="AJ57" s="228">
        <v>22</v>
      </c>
      <c r="AK57" s="229">
        <v>1.21E-2</v>
      </c>
      <c r="AL57" s="228">
        <v>85</v>
      </c>
      <c r="AM57" s="228">
        <v>65</v>
      </c>
      <c r="AN57" s="228">
        <v>20</v>
      </c>
      <c r="AO57" s="229">
        <v>1.2699999999999999E-2</v>
      </c>
      <c r="AP57" s="231">
        <v>6743.26</v>
      </c>
      <c r="AQ57" s="231">
        <v>6769.38</v>
      </c>
      <c r="AR57" s="228">
        <v>0</v>
      </c>
      <c r="AS57" s="228">
        <v>211</v>
      </c>
      <c r="AT57" s="228">
        <v>108</v>
      </c>
      <c r="AU57" s="228">
        <v>103</v>
      </c>
      <c r="AV57" s="229">
        <v>0.95809999999999995</v>
      </c>
      <c r="AW57" s="228">
        <v>206</v>
      </c>
      <c r="AX57" s="228">
        <v>104</v>
      </c>
      <c r="AY57" s="228">
        <v>102</v>
      </c>
      <c r="AZ57" s="229">
        <v>0.9748</v>
      </c>
      <c r="BA57" s="228">
        <v>4</v>
      </c>
      <c r="BB57" s="228">
        <v>3</v>
      </c>
      <c r="BC57" s="228">
        <v>1</v>
      </c>
      <c r="BD57" s="229">
        <v>0.4884</v>
      </c>
      <c r="BE57" s="228">
        <v>0</v>
      </c>
      <c r="BF57" s="228">
        <v>0</v>
      </c>
      <c r="BG57" s="228">
        <v>0</v>
      </c>
      <c r="BH57" s="229">
        <v>0</v>
      </c>
      <c r="BI57" s="228">
        <v>755</v>
      </c>
      <c r="BJ57" s="228">
        <v>550</v>
      </c>
      <c r="BK57" s="228">
        <v>205</v>
      </c>
      <c r="BL57" s="229">
        <v>0.37340000000000001</v>
      </c>
      <c r="BM57" s="228">
        <v>339</v>
      </c>
      <c r="BN57" s="228">
        <v>240</v>
      </c>
      <c r="BO57" s="228">
        <v>99</v>
      </c>
      <c r="BP57" s="229">
        <v>0.41110000000000002</v>
      </c>
      <c r="BQ57" s="230">
        <v>1305</v>
      </c>
      <c r="BR57" s="228">
        <v>898</v>
      </c>
      <c r="BS57" s="228">
        <v>407</v>
      </c>
      <c r="BT57" s="229">
        <v>0.4536</v>
      </c>
      <c r="BU57" s="230">
        <v>331939</v>
      </c>
      <c r="BV57" s="230">
        <v>205766</v>
      </c>
      <c r="BW57" s="230">
        <v>126173</v>
      </c>
      <c r="BX57" s="229">
        <v>0.61319999999999997</v>
      </c>
      <c r="BY57" s="230">
        <v>1626</v>
      </c>
      <c r="BZ57" s="230">
        <v>1643</v>
      </c>
      <c r="CA57" s="228">
        <v>-17</v>
      </c>
      <c r="CB57" s="229">
        <v>-1.03E-2</v>
      </c>
      <c r="CC57" s="230">
        <v>1430</v>
      </c>
      <c r="CD57" s="230">
        <v>1446</v>
      </c>
      <c r="CE57" s="228">
        <v>-16</v>
      </c>
      <c r="CF57" s="229">
        <v>-1.12E-2</v>
      </c>
      <c r="CG57" s="228">
        <v>196</v>
      </c>
      <c r="CH57" s="228">
        <v>197</v>
      </c>
      <c r="CI57" s="228">
        <v>-1</v>
      </c>
      <c r="CJ57" s="229">
        <v>-2.7000000000000001E-3</v>
      </c>
      <c r="CK57" s="228">
        <v>0</v>
      </c>
      <c r="CL57" s="228">
        <v>1</v>
      </c>
      <c r="CM57" s="228">
        <v>0</v>
      </c>
      <c r="CN57" s="229">
        <v>-0.22220000000000001</v>
      </c>
      <c r="CO57" s="228">
        <v>477</v>
      </c>
      <c r="CP57" s="228">
        <v>433</v>
      </c>
      <c r="CQ57" s="228">
        <v>44</v>
      </c>
      <c r="CR57" s="229">
        <v>0.10199999999999999</v>
      </c>
      <c r="CS57" s="228">
        <v>322</v>
      </c>
      <c r="CT57" s="228">
        <v>279</v>
      </c>
      <c r="CU57" s="228">
        <v>43</v>
      </c>
      <c r="CV57" s="229">
        <v>0.15240000000000001</v>
      </c>
      <c r="CW57" s="230">
        <v>2425</v>
      </c>
      <c r="CX57" s="230">
        <v>2355</v>
      </c>
      <c r="CY57" s="228">
        <v>70</v>
      </c>
      <c r="CZ57" s="229">
        <v>2.9600000000000001E-2</v>
      </c>
      <c r="DA57" s="228">
        <v>27.36</v>
      </c>
      <c r="DB57" s="228">
        <v>28.76</v>
      </c>
      <c r="DC57" s="228">
        <v>-1.4</v>
      </c>
      <c r="DD57" s="228">
        <v>-1.4</v>
      </c>
      <c r="DE57" s="228">
        <v>29.27</v>
      </c>
      <c r="DF57" s="228">
        <v>29.33</v>
      </c>
      <c r="DG57" s="228">
        <v>-1.91</v>
      </c>
      <c r="DH57" s="228">
        <v>-0.06</v>
      </c>
      <c r="DI57" s="228">
        <v>27.21</v>
      </c>
      <c r="DJ57" s="228">
        <v>28.56</v>
      </c>
      <c r="DK57" s="228">
        <v>-1.35</v>
      </c>
      <c r="DL57" s="228">
        <v>-1.35</v>
      </c>
      <c r="DM57" s="228">
        <v>27.72</v>
      </c>
      <c r="DN57" s="228">
        <v>29.22</v>
      </c>
      <c r="DO57" s="228">
        <v>-1.5</v>
      </c>
      <c r="DP57" s="228">
        <v>-1.5</v>
      </c>
      <c r="DQ57" s="228">
        <v>0.67</v>
      </c>
      <c r="DR57" s="228">
        <v>0.65</v>
      </c>
      <c r="DS57" s="228">
        <v>0.02</v>
      </c>
      <c r="DT57" s="229">
        <v>3.0800000000000001E-2</v>
      </c>
      <c r="DU57" s="231">
        <v>7300</v>
      </c>
      <c r="DV57" s="231">
        <v>6500</v>
      </c>
      <c r="DW57" s="228">
        <v>0.45</v>
      </c>
      <c r="DX57" s="228">
        <v>0.44</v>
      </c>
      <c r="DY57" s="228">
        <v>0.01</v>
      </c>
      <c r="DZ57" s="229">
        <v>2.2700000000000001E-2</v>
      </c>
      <c r="EA57" s="229">
        <v>0.121</v>
      </c>
      <c r="EB57" s="230">
        <v>293000</v>
      </c>
      <c r="EC57" s="229">
        <v>6.6E-3</v>
      </c>
      <c r="ED57" s="229">
        <v>0.121</v>
      </c>
      <c r="EE57" s="228">
        <v>26.12</v>
      </c>
      <c r="EF57" s="229">
        <v>3.8999999999999998E-3</v>
      </c>
      <c r="EG57" s="230">
        <v>170820</v>
      </c>
      <c r="EH57" s="230">
        <v>104626</v>
      </c>
      <c r="EI57" s="229">
        <v>0.63270000000000004</v>
      </c>
      <c r="EJ57" s="229">
        <v>0.51459999999999995</v>
      </c>
      <c r="EK57" s="228">
        <v>791.2</v>
      </c>
      <c r="EL57" s="228">
        <v>325.54000000000002</v>
      </c>
      <c r="EM57" s="228">
        <v>211.02</v>
      </c>
      <c r="EN57" s="228">
        <v>20.29</v>
      </c>
      <c r="EO57" s="231">
        <v>1327.76</v>
      </c>
      <c r="EP57" s="228">
        <v>909.15</v>
      </c>
      <c r="EQ57" s="228">
        <v>418.61</v>
      </c>
      <c r="ER57" s="229">
        <v>0.46039999999999998</v>
      </c>
      <c r="ES57" s="228">
        <v>488.56</v>
      </c>
      <c r="ET57" s="228">
        <v>301.22000000000003</v>
      </c>
      <c r="EU57" s="231">
        <v>1627.77</v>
      </c>
      <c r="EV57" s="231">
        <v>15815194</v>
      </c>
      <c r="EW57" s="231">
        <v>2417.5500000000002</v>
      </c>
      <c r="EX57" s="231">
        <v>2326.06</v>
      </c>
      <c r="EY57" s="228">
        <v>91.49</v>
      </c>
      <c r="EZ57" s="229">
        <v>3.9300000000000002E-2</v>
      </c>
      <c r="FA57" s="229">
        <v>0.22750000000000001</v>
      </c>
      <c r="FB57" s="227" t="s">
        <v>691</v>
      </c>
      <c r="FC57">
        <f t="shared" si="0"/>
        <v>196</v>
      </c>
    </row>
    <row r="58" spans="1:159" ht="17.25" thickBot="1" x14ac:dyDescent="0.3">
      <c r="A58" s="226">
        <v>46148</v>
      </c>
      <c r="B58" s="227" t="s">
        <v>184</v>
      </c>
      <c r="C58" s="227" t="s">
        <v>512</v>
      </c>
      <c r="D58" s="228">
        <v>50</v>
      </c>
      <c r="E58" s="228">
        <v>20</v>
      </c>
      <c r="F58" s="231">
        <v>11360</v>
      </c>
      <c r="G58" s="231">
        <v>11277</v>
      </c>
      <c r="H58" s="228">
        <v>83</v>
      </c>
      <c r="I58" s="229">
        <v>7.4000000000000003E-3</v>
      </c>
      <c r="J58" s="231">
        <v>11299</v>
      </c>
      <c r="K58" s="231">
        <v>11253</v>
      </c>
      <c r="L58" s="228">
        <v>46</v>
      </c>
      <c r="M58" s="229">
        <v>4.1000000000000003E-3</v>
      </c>
      <c r="N58" s="231">
        <v>11360</v>
      </c>
      <c r="O58" s="231">
        <v>11277</v>
      </c>
      <c r="P58" s="228">
        <v>83</v>
      </c>
      <c r="Q58" s="229">
        <v>7.4000000000000003E-3</v>
      </c>
      <c r="R58" s="231">
        <v>11308</v>
      </c>
      <c r="S58" s="231">
        <v>11222</v>
      </c>
      <c r="T58" s="228">
        <v>86</v>
      </c>
      <c r="U58" s="229">
        <v>7.7000000000000002E-3</v>
      </c>
      <c r="V58" s="231">
        <v>11290</v>
      </c>
      <c r="W58" s="231">
        <v>11204</v>
      </c>
      <c r="X58" s="228">
        <v>86</v>
      </c>
      <c r="Y58" s="229">
        <v>7.7000000000000002E-3</v>
      </c>
      <c r="Z58" s="228">
        <v>61</v>
      </c>
      <c r="AA58" s="228">
        <v>24</v>
      </c>
      <c r="AB58" s="228">
        <v>37</v>
      </c>
      <c r="AC58" s="229">
        <v>5.4000000000000003E-3</v>
      </c>
      <c r="AD58" s="228">
        <v>61</v>
      </c>
      <c r="AE58" s="228">
        <v>24</v>
      </c>
      <c r="AF58" s="228">
        <v>37</v>
      </c>
      <c r="AG58" s="229">
        <v>5.4000000000000003E-3</v>
      </c>
      <c r="AH58" s="228">
        <v>9</v>
      </c>
      <c r="AI58" s="228">
        <v>-31</v>
      </c>
      <c r="AJ58" s="228">
        <v>40</v>
      </c>
      <c r="AK58" s="229">
        <v>8.0000000000000004E-4</v>
      </c>
      <c r="AL58" s="228">
        <v>-9</v>
      </c>
      <c r="AM58" s="228">
        <v>-49</v>
      </c>
      <c r="AN58" s="228">
        <v>40</v>
      </c>
      <c r="AO58" s="229">
        <v>-8.0000000000000004E-4</v>
      </c>
      <c r="AP58" s="231">
        <v>11302.71</v>
      </c>
      <c r="AQ58" s="231">
        <v>11248.1</v>
      </c>
      <c r="AR58" s="228">
        <v>0</v>
      </c>
      <c r="AS58" s="228">
        <v>551</v>
      </c>
      <c r="AT58" s="228">
        <v>820</v>
      </c>
      <c r="AU58" s="228">
        <v>-269</v>
      </c>
      <c r="AV58" s="229">
        <v>-0.32829999999999998</v>
      </c>
      <c r="AW58" s="228">
        <v>493</v>
      </c>
      <c r="AX58" s="228">
        <v>733</v>
      </c>
      <c r="AY58" s="228">
        <v>-239</v>
      </c>
      <c r="AZ58" s="229">
        <v>-0.32650000000000001</v>
      </c>
      <c r="BA58" s="228">
        <v>50</v>
      </c>
      <c r="BB58" s="228">
        <v>73</v>
      </c>
      <c r="BC58" s="228">
        <v>-23</v>
      </c>
      <c r="BD58" s="229">
        <v>-0.31469999999999998</v>
      </c>
      <c r="BE58" s="228">
        <v>7</v>
      </c>
      <c r="BF58" s="228">
        <v>14</v>
      </c>
      <c r="BG58" s="228">
        <v>-7</v>
      </c>
      <c r="BH58" s="229">
        <v>-0.49380000000000002</v>
      </c>
      <c r="BI58" s="230">
        <v>1223</v>
      </c>
      <c r="BJ58" s="230">
        <v>1705</v>
      </c>
      <c r="BK58" s="228">
        <v>-483</v>
      </c>
      <c r="BL58" s="229">
        <v>-0.28299999999999997</v>
      </c>
      <c r="BM58" s="228">
        <v>542</v>
      </c>
      <c r="BN58" s="228">
        <v>887</v>
      </c>
      <c r="BO58" s="228">
        <v>-344</v>
      </c>
      <c r="BP58" s="229">
        <v>-0.38829999999999998</v>
      </c>
      <c r="BQ58" s="230">
        <v>2316</v>
      </c>
      <c r="BR58" s="230">
        <v>3411</v>
      </c>
      <c r="BS58" s="230">
        <v>-1096</v>
      </c>
      <c r="BT58" s="229">
        <v>-0.32119999999999999</v>
      </c>
      <c r="BU58" s="230">
        <v>409541</v>
      </c>
      <c r="BV58" s="230">
        <v>587595</v>
      </c>
      <c r="BW58" s="230">
        <v>-178054</v>
      </c>
      <c r="BX58" s="229">
        <v>-0.30299999999999999</v>
      </c>
      <c r="BY58" s="230">
        <v>3570</v>
      </c>
      <c r="BZ58" s="230">
        <v>3517</v>
      </c>
      <c r="CA58" s="228">
        <v>53</v>
      </c>
      <c r="CB58" s="229">
        <v>1.5100000000000001E-2</v>
      </c>
      <c r="CC58" s="230">
        <v>3352</v>
      </c>
      <c r="CD58" s="230">
        <v>3313</v>
      </c>
      <c r="CE58" s="228">
        <v>38</v>
      </c>
      <c r="CF58" s="229">
        <v>1.15E-2</v>
      </c>
      <c r="CG58" s="228">
        <v>196</v>
      </c>
      <c r="CH58" s="228">
        <v>184</v>
      </c>
      <c r="CI58" s="228">
        <v>12</v>
      </c>
      <c r="CJ58" s="229">
        <v>6.4500000000000002E-2</v>
      </c>
      <c r="CK58" s="228">
        <v>23</v>
      </c>
      <c r="CL58" s="228">
        <v>19</v>
      </c>
      <c r="CM58" s="228">
        <v>3</v>
      </c>
      <c r="CN58" s="229">
        <v>0.1691</v>
      </c>
      <c r="CO58" s="230">
        <v>1348</v>
      </c>
      <c r="CP58" s="230">
        <v>1217</v>
      </c>
      <c r="CQ58" s="228">
        <v>131</v>
      </c>
      <c r="CR58" s="229">
        <v>0.1075</v>
      </c>
      <c r="CS58" s="230">
        <v>1156</v>
      </c>
      <c r="CT58" s="230">
        <v>1123</v>
      </c>
      <c r="CU58" s="228">
        <v>34</v>
      </c>
      <c r="CV58" s="229">
        <v>3.0099999999999998E-2</v>
      </c>
      <c r="CW58" s="230">
        <v>6075</v>
      </c>
      <c r="CX58" s="230">
        <v>5857</v>
      </c>
      <c r="CY58" s="228">
        <v>218</v>
      </c>
      <c r="CZ58" s="229">
        <v>3.7199999999999997E-2</v>
      </c>
      <c r="DA58" s="228">
        <v>47.48</v>
      </c>
      <c r="DB58" s="228">
        <v>48.55</v>
      </c>
      <c r="DC58" s="228">
        <v>-1.07</v>
      </c>
      <c r="DD58" s="228">
        <v>-1.07</v>
      </c>
      <c r="DE58" s="228">
        <v>48.71</v>
      </c>
      <c r="DF58" s="228">
        <v>48.83</v>
      </c>
      <c r="DG58" s="228">
        <v>-1.23</v>
      </c>
      <c r="DH58" s="228">
        <v>-0.12</v>
      </c>
      <c r="DI58" s="228">
        <v>47.29</v>
      </c>
      <c r="DJ58" s="228">
        <v>48.45</v>
      </c>
      <c r="DK58" s="228">
        <v>-1.1599999999999999</v>
      </c>
      <c r="DL58" s="228">
        <v>-1.1599999999999999</v>
      </c>
      <c r="DM58" s="228">
        <v>47.91</v>
      </c>
      <c r="DN58" s="228">
        <v>48.75</v>
      </c>
      <c r="DO58" s="228">
        <v>-0.84</v>
      </c>
      <c r="DP58" s="228">
        <v>-0.84</v>
      </c>
      <c r="DQ58" s="228">
        <v>0.86</v>
      </c>
      <c r="DR58" s="228">
        <v>0.92</v>
      </c>
      <c r="DS58" s="228">
        <v>-0.06</v>
      </c>
      <c r="DT58" s="229">
        <v>-6.5199999999999994E-2</v>
      </c>
      <c r="DU58" s="231">
        <v>12000</v>
      </c>
      <c r="DV58" s="231">
        <v>11000</v>
      </c>
      <c r="DW58" s="228">
        <v>0.44</v>
      </c>
      <c r="DX58" s="228">
        <v>0.52</v>
      </c>
      <c r="DY58" s="228">
        <v>-0.08</v>
      </c>
      <c r="DZ58" s="229">
        <v>-0.15379999999999999</v>
      </c>
      <c r="EA58" s="229">
        <v>6.13E-2</v>
      </c>
      <c r="EB58" s="230">
        <v>179200</v>
      </c>
      <c r="EC58" s="229">
        <v>-4.5999999999999999E-3</v>
      </c>
      <c r="ED58" s="229">
        <v>6.13E-2</v>
      </c>
      <c r="EE58" s="228">
        <v>-54.61</v>
      </c>
      <c r="EF58" s="229">
        <v>-4.7999999999999996E-3</v>
      </c>
      <c r="EG58" s="230">
        <v>117419</v>
      </c>
      <c r="EH58" s="230">
        <v>145204</v>
      </c>
      <c r="EI58" s="229">
        <v>-0.19139999999999999</v>
      </c>
      <c r="EJ58" s="229">
        <v>0.28670000000000001</v>
      </c>
      <c r="EK58" s="231">
        <v>1309.3599999999999</v>
      </c>
      <c r="EL58" s="228">
        <v>522.39</v>
      </c>
      <c r="EM58" s="228">
        <v>547.44000000000005</v>
      </c>
      <c r="EN58" s="228">
        <v>118.71</v>
      </c>
      <c r="EO58" s="231">
        <v>2379.1799999999998</v>
      </c>
      <c r="EP58" s="231">
        <v>3533.27</v>
      </c>
      <c r="EQ58" s="231">
        <v>-1154.0899999999999</v>
      </c>
      <c r="ER58" s="229">
        <v>-0.3266</v>
      </c>
      <c r="ES58" s="231">
        <v>1402.4</v>
      </c>
      <c r="ET58" s="231">
        <v>1086.69</v>
      </c>
      <c r="EU58" s="231">
        <v>3569.24</v>
      </c>
      <c r="EV58" s="231">
        <v>6478285</v>
      </c>
      <c r="EW58" s="231">
        <v>6058.32</v>
      </c>
      <c r="EX58" s="231">
        <v>5809.77</v>
      </c>
      <c r="EY58" s="228">
        <v>248.55</v>
      </c>
      <c r="EZ58" s="229">
        <v>4.2799999999999998E-2</v>
      </c>
      <c r="FA58" s="229">
        <v>0.82540000000000002</v>
      </c>
      <c r="FB58" s="227" t="s">
        <v>555</v>
      </c>
      <c r="FC58">
        <f t="shared" si="0"/>
        <v>218</v>
      </c>
    </row>
    <row r="59" spans="1:159" ht="17.25" thickBot="1" x14ac:dyDescent="0.3">
      <c r="A59" s="226">
        <v>46148</v>
      </c>
      <c r="B59" s="227" t="s">
        <v>206</v>
      </c>
      <c r="C59" s="227" t="s">
        <v>207</v>
      </c>
      <c r="D59" s="228">
        <v>825</v>
      </c>
      <c r="E59" s="228">
        <v>20</v>
      </c>
      <c r="F59" s="228">
        <v>614</v>
      </c>
      <c r="G59" s="228">
        <v>599.1</v>
      </c>
      <c r="H59" s="228">
        <v>14.9</v>
      </c>
      <c r="I59" s="229">
        <v>2.4899999999999999E-2</v>
      </c>
      <c r="J59" s="228">
        <v>609.6</v>
      </c>
      <c r="K59" s="228">
        <v>597.29999999999995</v>
      </c>
      <c r="L59" s="228">
        <v>12.3</v>
      </c>
      <c r="M59" s="229">
        <v>2.06E-2</v>
      </c>
      <c r="N59" s="228">
        <v>614</v>
      </c>
      <c r="O59" s="228">
        <v>599.1</v>
      </c>
      <c r="P59" s="228">
        <v>14.9</v>
      </c>
      <c r="Q59" s="229">
        <v>2.4899999999999999E-2</v>
      </c>
      <c r="R59" s="228">
        <v>617.75</v>
      </c>
      <c r="S59" s="228">
        <v>602.70000000000005</v>
      </c>
      <c r="T59" s="228">
        <v>15.05</v>
      </c>
      <c r="U59" s="229">
        <v>2.5000000000000001E-2</v>
      </c>
      <c r="V59" s="228">
        <v>618.4</v>
      </c>
      <c r="W59" s="228">
        <v>602.65</v>
      </c>
      <c r="X59" s="228">
        <v>15.75</v>
      </c>
      <c r="Y59" s="229">
        <v>2.6100000000000002E-2</v>
      </c>
      <c r="Z59" s="228">
        <v>4.4000000000000004</v>
      </c>
      <c r="AA59" s="228">
        <v>1.8</v>
      </c>
      <c r="AB59" s="228">
        <v>2.6</v>
      </c>
      <c r="AC59" s="229">
        <v>7.1999999999999998E-3</v>
      </c>
      <c r="AD59" s="228">
        <v>4.4000000000000004</v>
      </c>
      <c r="AE59" s="228">
        <v>1.8</v>
      </c>
      <c r="AF59" s="228">
        <v>2.6</v>
      </c>
      <c r="AG59" s="229">
        <v>7.1999999999999998E-3</v>
      </c>
      <c r="AH59" s="228">
        <v>8.15</v>
      </c>
      <c r="AI59" s="228">
        <v>5.4</v>
      </c>
      <c r="AJ59" s="228">
        <v>2.75</v>
      </c>
      <c r="AK59" s="229">
        <v>1.34E-2</v>
      </c>
      <c r="AL59" s="228">
        <v>8.8000000000000007</v>
      </c>
      <c r="AM59" s="228">
        <v>5.35</v>
      </c>
      <c r="AN59" s="228">
        <v>3.45</v>
      </c>
      <c r="AO59" s="229">
        <v>1.44E-2</v>
      </c>
      <c r="AP59" s="228">
        <v>608.16999999999996</v>
      </c>
      <c r="AQ59" s="228">
        <v>612.41999999999996</v>
      </c>
      <c r="AR59" s="228">
        <v>0</v>
      </c>
      <c r="AS59" s="228">
        <v>284</v>
      </c>
      <c r="AT59" s="228">
        <v>254</v>
      </c>
      <c r="AU59" s="228">
        <v>30</v>
      </c>
      <c r="AV59" s="229">
        <v>0.1183</v>
      </c>
      <c r="AW59" s="228">
        <v>268</v>
      </c>
      <c r="AX59" s="228">
        <v>241</v>
      </c>
      <c r="AY59" s="228">
        <v>27</v>
      </c>
      <c r="AZ59" s="229">
        <v>0.11169999999999999</v>
      </c>
      <c r="BA59" s="228">
        <v>13</v>
      </c>
      <c r="BB59" s="228">
        <v>11</v>
      </c>
      <c r="BC59" s="228">
        <v>2</v>
      </c>
      <c r="BD59" s="229">
        <v>0.1822</v>
      </c>
      <c r="BE59" s="228">
        <v>2</v>
      </c>
      <c r="BF59" s="228">
        <v>1</v>
      </c>
      <c r="BG59" s="228">
        <v>1</v>
      </c>
      <c r="BH59" s="229">
        <v>0.76919999999999999</v>
      </c>
      <c r="BI59" s="228">
        <v>686</v>
      </c>
      <c r="BJ59" s="228">
        <v>639</v>
      </c>
      <c r="BK59" s="228">
        <v>47</v>
      </c>
      <c r="BL59" s="229">
        <v>7.3800000000000004E-2</v>
      </c>
      <c r="BM59" s="228">
        <v>298</v>
      </c>
      <c r="BN59" s="228">
        <v>292</v>
      </c>
      <c r="BO59" s="228">
        <v>6</v>
      </c>
      <c r="BP59" s="229">
        <v>2.01E-2</v>
      </c>
      <c r="BQ59" s="230">
        <v>1268</v>
      </c>
      <c r="BR59" s="230">
        <v>1185</v>
      </c>
      <c r="BS59" s="228">
        <v>83</v>
      </c>
      <c r="BT59" s="229">
        <v>7.0099999999999996E-2</v>
      </c>
      <c r="BU59" s="230">
        <v>2634554</v>
      </c>
      <c r="BV59" s="230">
        <v>3671434</v>
      </c>
      <c r="BW59" s="230">
        <v>-1036880</v>
      </c>
      <c r="BX59" s="229">
        <v>-0.28239999999999998</v>
      </c>
      <c r="BY59" s="230">
        <v>2808</v>
      </c>
      <c r="BZ59" s="230">
        <v>2806</v>
      </c>
      <c r="CA59" s="228">
        <v>1</v>
      </c>
      <c r="CB59" s="229">
        <v>5.0000000000000001E-4</v>
      </c>
      <c r="CC59" s="230">
        <v>2619</v>
      </c>
      <c r="CD59" s="230">
        <v>2620</v>
      </c>
      <c r="CE59" s="228">
        <v>-2</v>
      </c>
      <c r="CF59" s="229">
        <v>-6.9999999999999999E-4</v>
      </c>
      <c r="CG59" s="228">
        <v>185</v>
      </c>
      <c r="CH59" s="228">
        <v>183</v>
      </c>
      <c r="CI59" s="228">
        <v>2</v>
      </c>
      <c r="CJ59" s="229">
        <v>9.1000000000000004E-3</v>
      </c>
      <c r="CK59" s="228">
        <v>4</v>
      </c>
      <c r="CL59" s="228">
        <v>2</v>
      </c>
      <c r="CM59" s="228">
        <v>2</v>
      </c>
      <c r="CN59" s="229">
        <v>0.65</v>
      </c>
      <c r="CO59" s="228">
        <v>500</v>
      </c>
      <c r="CP59" s="228">
        <v>499</v>
      </c>
      <c r="CQ59" s="228">
        <v>1</v>
      </c>
      <c r="CR59" s="229">
        <v>2.3999999999999998E-3</v>
      </c>
      <c r="CS59" s="228">
        <v>366</v>
      </c>
      <c r="CT59" s="228">
        <v>361</v>
      </c>
      <c r="CU59" s="228">
        <v>5</v>
      </c>
      <c r="CV59" s="229">
        <v>1.4500000000000001E-2</v>
      </c>
      <c r="CW59" s="230">
        <v>3674</v>
      </c>
      <c r="CX59" s="230">
        <v>3666</v>
      </c>
      <c r="CY59" s="228">
        <v>8</v>
      </c>
      <c r="CZ59" s="229">
        <v>2.0999999999999999E-3</v>
      </c>
      <c r="DA59" s="228">
        <v>35.44</v>
      </c>
      <c r="DB59" s="228">
        <v>36.39</v>
      </c>
      <c r="DC59" s="228">
        <v>-0.95</v>
      </c>
      <c r="DD59" s="228">
        <v>-0.95</v>
      </c>
      <c r="DE59" s="228">
        <v>37.799999999999997</v>
      </c>
      <c r="DF59" s="228">
        <v>37.799999999999997</v>
      </c>
      <c r="DG59" s="228">
        <v>-2.36</v>
      </c>
      <c r="DH59" s="228">
        <v>0</v>
      </c>
      <c r="DI59" s="228">
        <v>35.04</v>
      </c>
      <c r="DJ59" s="228">
        <v>36.22</v>
      </c>
      <c r="DK59" s="228">
        <v>-1.18</v>
      </c>
      <c r="DL59" s="228">
        <v>-1.18</v>
      </c>
      <c r="DM59" s="228">
        <v>36.369999999999997</v>
      </c>
      <c r="DN59" s="228">
        <v>36.76</v>
      </c>
      <c r="DO59" s="228">
        <v>-0.39</v>
      </c>
      <c r="DP59" s="228">
        <v>-0.39</v>
      </c>
      <c r="DQ59" s="228">
        <v>0.73</v>
      </c>
      <c r="DR59" s="228">
        <v>0.72</v>
      </c>
      <c r="DS59" s="228">
        <v>0.01</v>
      </c>
      <c r="DT59" s="229">
        <v>1.3899999999999999E-2</v>
      </c>
      <c r="DU59" s="228">
        <v>600</v>
      </c>
      <c r="DV59" s="228">
        <v>600</v>
      </c>
      <c r="DW59" s="228">
        <v>0.43</v>
      </c>
      <c r="DX59" s="228">
        <v>0.46</v>
      </c>
      <c r="DY59" s="228">
        <v>-0.03</v>
      </c>
      <c r="DZ59" s="229">
        <v>-6.5199999999999994E-2</v>
      </c>
      <c r="EA59" s="229">
        <v>6.7299999999999999E-2</v>
      </c>
      <c r="EB59" s="230">
        <v>3026150</v>
      </c>
      <c r="EC59" s="229">
        <v>6.1000000000000004E-3</v>
      </c>
      <c r="ED59" s="229">
        <v>6.7299999999999999E-2</v>
      </c>
      <c r="EE59" s="228">
        <v>4.25</v>
      </c>
      <c r="EF59" s="229">
        <v>7.0000000000000001E-3</v>
      </c>
      <c r="EG59" s="230">
        <v>973653</v>
      </c>
      <c r="EH59" s="230">
        <v>1412250</v>
      </c>
      <c r="EI59" s="229">
        <v>-0.31059999999999999</v>
      </c>
      <c r="EJ59" s="229">
        <v>0.36959999999999998</v>
      </c>
      <c r="EK59" s="228">
        <v>714.41</v>
      </c>
      <c r="EL59" s="228">
        <v>292.42</v>
      </c>
      <c r="EM59" s="228">
        <v>281.7</v>
      </c>
      <c r="EN59" s="228">
        <v>55.22</v>
      </c>
      <c r="EO59" s="231">
        <v>1288.53</v>
      </c>
      <c r="EP59" s="231">
        <v>1200.8499999999999</v>
      </c>
      <c r="EQ59" s="228">
        <v>87.67</v>
      </c>
      <c r="ER59" s="229">
        <v>7.2999999999999995E-2</v>
      </c>
      <c r="ES59" s="228">
        <v>511.09</v>
      </c>
      <c r="ET59" s="228">
        <v>351.65</v>
      </c>
      <c r="EU59" s="231">
        <v>2808.86</v>
      </c>
      <c r="EV59" s="231">
        <v>96251298</v>
      </c>
      <c r="EW59" s="231">
        <v>3671.61</v>
      </c>
      <c r="EX59" s="231">
        <v>3592.69</v>
      </c>
      <c r="EY59" s="228">
        <v>78.92</v>
      </c>
      <c r="EZ59" s="229">
        <v>2.1999999999999999E-2</v>
      </c>
      <c r="FA59" s="229">
        <v>0.62170000000000003</v>
      </c>
      <c r="FB59" s="227" t="s">
        <v>555</v>
      </c>
      <c r="FC59">
        <f t="shared" si="0"/>
        <v>189</v>
      </c>
    </row>
    <row r="60" spans="1:159" ht="17.25" thickBot="1" x14ac:dyDescent="0.3">
      <c r="A60" s="226">
        <v>46148</v>
      </c>
      <c r="B60" s="227" t="s">
        <v>614</v>
      </c>
      <c r="C60" s="227" t="s">
        <v>582</v>
      </c>
      <c r="D60" s="228">
        <v>150</v>
      </c>
      <c r="E60" s="228">
        <v>20</v>
      </c>
      <c r="F60" s="231">
        <v>4432.6000000000004</v>
      </c>
      <c r="G60" s="231">
        <v>4370</v>
      </c>
      <c r="H60" s="228">
        <v>62.6</v>
      </c>
      <c r="I60" s="229">
        <v>1.43E-2</v>
      </c>
      <c r="J60" s="231">
        <v>4432.2</v>
      </c>
      <c r="K60" s="231">
        <v>4358.7</v>
      </c>
      <c r="L60" s="228">
        <v>73.5</v>
      </c>
      <c r="M60" s="229">
        <v>1.6899999999999998E-2</v>
      </c>
      <c r="N60" s="231">
        <v>4432.6000000000004</v>
      </c>
      <c r="O60" s="231">
        <v>4370</v>
      </c>
      <c r="P60" s="228">
        <v>62.6</v>
      </c>
      <c r="Q60" s="229">
        <v>1.43E-2</v>
      </c>
      <c r="R60" s="231">
        <v>4425.7</v>
      </c>
      <c r="S60" s="231">
        <v>4362.3</v>
      </c>
      <c r="T60" s="228">
        <v>63.4</v>
      </c>
      <c r="U60" s="229">
        <v>1.4500000000000001E-2</v>
      </c>
      <c r="V60" s="231">
        <v>4424.5</v>
      </c>
      <c r="W60" s="231">
        <v>4357.3999999999996</v>
      </c>
      <c r="X60" s="228">
        <v>67.099999999999994</v>
      </c>
      <c r="Y60" s="229">
        <v>1.54E-2</v>
      </c>
      <c r="Z60" s="228">
        <v>0.4</v>
      </c>
      <c r="AA60" s="228">
        <v>11.3</v>
      </c>
      <c r="AB60" s="228">
        <v>-10.9</v>
      </c>
      <c r="AC60" s="229">
        <v>1E-4</v>
      </c>
      <c r="AD60" s="228">
        <v>0.4</v>
      </c>
      <c r="AE60" s="228">
        <v>11.3</v>
      </c>
      <c r="AF60" s="228">
        <v>-10.9</v>
      </c>
      <c r="AG60" s="229">
        <v>1E-4</v>
      </c>
      <c r="AH60" s="228">
        <v>-6.5</v>
      </c>
      <c r="AI60" s="228">
        <v>3.6</v>
      </c>
      <c r="AJ60" s="228">
        <v>-10.1</v>
      </c>
      <c r="AK60" s="229">
        <v>-1.5E-3</v>
      </c>
      <c r="AL60" s="228">
        <v>-7.7</v>
      </c>
      <c r="AM60" s="228">
        <v>-1.3</v>
      </c>
      <c r="AN60" s="228">
        <v>-6.4</v>
      </c>
      <c r="AO60" s="229">
        <v>-1.6999999999999999E-3</v>
      </c>
      <c r="AP60" s="231">
        <v>4411.71</v>
      </c>
      <c r="AQ60" s="231">
        <v>4407.1000000000004</v>
      </c>
      <c r="AR60" s="228">
        <v>0</v>
      </c>
      <c r="AS60" s="228">
        <v>240</v>
      </c>
      <c r="AT60" s="228">
        <v>213</v>
      </c>
      <c r="AU60" s="228">
        <v>27</v>
      </c>
      <c r="AV60" s="229">
        <v>0.1246</v>
      </c>
      <c r="AW60" s="228">
        <v>224</v>
      </c>
      <c r="AX60" s="228">
        <v>203</v>
      </c>
      <c r="AY60" s="228">
        <v>20</v>
      </c>
      <c r="AZ60" s="229">
        <v>0.1008</v>
      </c>
      <c r="BA60" s="228">
        <v>14</v>
      </c>
      <c r="BB60" s="228">
        <v>9</v>
      </c>
      <c r="BC60" s="228">
        <v>5</v>
      </c>
      <c r="BD60" s="229">
        <v>0.62119999999999997</v>
      </c>
      <c r="BE60" s="228">
        <v>2</v>
      </c>
      <c r="BF60" s="228">
        <v>1</v>
      </c>
      <c r="BG60" s="228">
        <v>1</v>
      </c>
      <c r="BH60" s="229">
        <v>0.45450000000000002</v>
      </c>
      <c r="BI60" s="230">
        <v>1434</v>
      </c>
      <c r="BJ60" s="230">
        <v>1567</v>
      </c>
      <c r="BK60" s="228">
        <v>-133</v>
      </c>
      <c r="BL60" s="229">
        <v>-8.4599999999999995E-2</v>
      </c>
      <c r="BM60" s="228">
        <v>537</v>
      </c>
      <c r="BN60" s="228">
        <v>654</v>
      </c>
      <c r="BO60" s="228">
        <v>-118</v>
      </c>
      <c r="BP60" s="229">
        <v>-0.17979999999999999</v>
      </c>
      <c r="BQ60" s="230">
        <v>2211</v>
      </c>
      <c r="BR60" s="230">
        <v>2434</v>
      </c>
      <c r="BS60" s="228">
        <v>-224</v>
      </c>
      <c r="BT60" s="229">
        <v>-9.1899999999999996E-2</v>
      </c>
      <c r="BU60" s="230">
        <v>420373</v>
      </c>
      <c r="BV60" s="230">
        <v>339522</v>
      </c>
      <c r="BW60" s="230">
        <v>80851</v>
      </c>
      <c r="BX60" s="229">
        <v>0.23810000000000001</v>
      </c>
      <c r="BY60" s="230">
        <v>1764</v>
      </c>
      <c r="BZ60" s="230">
        <v>1779</v>
      </c>
      <c r="CA60" s="228">
        <v>-15</v>
      </c>
      <c r="CB60" s="229">
        <v>-8.3999999999999995E-3</v>
      </c>
      <c r="CC60" s="230">
        <v>1721</v>
      </c>
      <c r="CD60" s="230">
        <v>1732</v>
      </c>
      <c r="CE60" s="228">
        <v>-11</v>
      </c>
      <c r="CF60" s="229">
        <v>-6.3E-3</v>
      </c>
      <c r="CG60" s="228">
        <v>40</v>
      </c>
      <c r="CH60" s="228">
        <v>43</v>
      </c>
      <c r="CI60" s="228">
        <v>-4</v>
      </c>
      <c r="CJ60" s="229">
        <v>-8.1299999999999997E-2</v>
      </c>
      <c r="CK60" s="228">
        <v>4</v>
      </c>
      <c r="CL60" s="228">
        <v>4</v>
      </c>
      <c r="CM60" s="228">
        <v>-1</v>
      </c>
      <c r="CN60" s="229">
        <v>-0.1515</v>
      </c>
      <c r="CO60" s="228">
        <v>723</v>
      </c>
      <c r="CP60" s="228">
        <v>844</v>
      </c>
      <c r="CQ60" s="228">
        <v>-121</v>
      </c>
      <c r="CR60" s="229">
        <v>-0.1434</v>
      </c>
      <c r="CS60" s="228">
        <v>380</v>
      </c>
      <c r="CT60" s="228">
        <v>378</v>
      </c>
      <c r="CU60" s="228">
        <v>2</v>
      </c>
      <c r="CV60" s="229">
        <v>6.4999999999999997E-3</v>
      </c>
      <c r="CW60" s="230">
        <v>2868</v>
      </c>
      <c r="CX60" s="230">
        <v>3001</v>
      </c>
      <c r="CY60" s="228">
        <v>-134</v>
      </c>
      <c r="CZ60" s="229">
        <v>-4.4499999999999998E-2</v>
      </c>
      <c r="DA60" s="228">
        <v>27.64</v>
      </c>
      <c r="DB60" s="228">
        <v>28.52</v>
      </c>
      <c r="DC60" s="228">
        <v>-0.88</v>
      </c>
      <c r="DD60" s="228">
        <v>-0.88</v>
      </c>
      <c r="DE60" s="228">
        <v>33.42</v>
      </c>
      <c r="DF60" s="228">
        <v>33.450000000000003</v>
      </c>
      <c r="DG60" s="228">
        <v>-5.78</v>
      </c>
      <c r="DH60" s="228">
        <v>-0.03</v>
      </c>
      <c r="DI60" s="228">
        <v>27.76</v>
      </c>
      <c r="DJ60" s="228">
        <v>28.4</v>
      </c>
      <c r="DK60" s="228">
        <v>-0.64</v>
      </c>
      <c r="DL60" s="228">
        <v>-0.64</v>
      </c>
      <c r="DM60" s="228">
        <v>27.3</v>
      </c>
      <c r="DN60" s="228">
        <v>28.83</v>
      </c>
      <c r="DO60" s="228">
        <v>-1.53</v>
      </c>
      <c r="DP60" s="228">
        <v>-1.53</v>
      </c>
      <c r="DQ60" s="228">
        <v>0.53</v>
      </c>
      <c r="DR60" s="228">
        <v>0.45</v>
      </c>
      <c r="DS60" s="228">
        <v>0.08</v>
      </c>
      <c r="DT60" s="229">
        <v>0.17780000000000001</v>
      </c>
      <c r="DU60" s="231">
        <v>5000</v>
      </c>
      <c r="DV60" s="231">
        <v>4000</v>
      </c>
      <c r="DW60" s="228">
        <v>0.37</v>
      </c>
      <c r="DX60" s="228">
        <v>0.42</v>
      </c>
      <c r="DY60" s="228">
        <v>-0.05</v>
      </c>
      <c r="DZ60" s="229">
        <v>-0.11899999999999999</v>
      </c>
      <c r="EA60" s="229">
        <v>2.47E-2</v>
      </c>
      <c r="EB60" s="230">
        <v>107700</v>
      </c>
      <c r="EC60" s="229">
        <v>-1.6000000000000001E-3</v>
      </c>
      <c r="ED60" s="229">
        <v>2.47E-2</v>
      </c>
      <c r="EE60" s="228">
        <v>-4.6100000000000003</v>
      </c>
      <c r="EF60" s="229">
        <v>-1E-3</v>
      </c>
      <c r="EG60" s="230">
        <v>205769</v>
      </c>
      <c r="EH60" s="230">
        <v>101363</v>
      </c>
      <c r="EI60" s="229">
        <v>1.03</v>
      </c>
      <c r="EJ60" s="229">
        <v>0.48949999999999999</v>
      </c>
      <c r="EK60" s="231">
        <v>1512.18</v>
      </c>
      <c r="EL60" s="228">
        <v>524.44000000000005</v>
      </c>
      <c r="EM60" s="228">
        <v>238.88</v>
      </c>
      <c r="EN60" s="228">
        <v>56.33</v>
      </c>
      <c r="EO60" s="231">
        <v>2275.5</v>
      </c>
      <c r="EP60" s="231">
        <v>2487.5700000000002</v>
      </c>
      <c r="EQ60" s="228">
        <v>-212.08</v>
      </c>
      <c r="ER60" s="229">
        <v>-8.5300000000000001E-2</v>
      </c>
      <c r="ES60" s="228">
        <v>765.93</v>
      </c>
      <c r="ET60" s="228">
        <v>365.88</v>
      </c>
      <c r="EU60" s="231">
        <v>1764.35</v>
      </c>
      <c r="EV60" s="231">
        <v>16494391</v>
      </c>
      <c r="EW60" s="231">
        <v>2896.16</v>
      </c>
      <c r="EX60" s="231">
        <v>3009.34</v>
      </c>
      <c r="EY60" s="228">
        <v>-113.18</v>
      </c>
      <c r="EZ60" s="229">
        <v>-3.7600000000000001E-2</v>
      </c>
      <c r="FA60" s="229">
        <v>0.39219999999999999</v>
      </c>
      <c r="FB60" s="227" t="s">
        <v>691</v>
      </c>
      <c r="FC60">
        <f t="shared" si="0"/>
        <v>43</v>
      </c>
    </row>
    <row r="61" spans="1:159" ht="17.25" thickBot="1" x14ac:dyDescent="0.3">
      <c r="A61" s="226">
        <v>46148</v>
      </c>
      <c r="B61" s="227" t="s">
        <v>170</v>
      </c>
      <c r="C61" s="227" t="s">
        <v>208</v>
      </c>
      <c r="D61" s="228">
        <v>625</v>
      </c>
      <c r="E61" s="228">
        <v>20</v>
      </c>
      <c r="F61" s="231">
        <v>1305.5</v>
      </c>
      <c r="G61" s="231">
        <v>1268.5999999999999</v>
      </c>
      <c r="H61" s="228">
        <v>36.9</v>
      </c>
      <c r="I61" s="229">
        <v>2.9100000000000001E-2</v>
      </c>
      <c r="J61" s="231">
        <v>1311</v>
      </c>
      <c r="K61" s="231">
        <v>1271.2</v>
      </c>
      <c r="L61" s="228">
        <v>39.799999999999997</v>
      </c>
      <c r="M61" s="229">
        <v>3.1300000000000001E-2</v>
      </c>
      <c r="N61" s="231">
        <v>1305.5</v>
      </c>
      <c r="O61" s="231">
        <v>1268.5999999999999</v>
      </c>
      <c r="P61" s="228">
        <v>36.9</v>
      </c>
      <c r="Q61" s="229">
        <v>2.9100000000000001E-2</v>
      </c>
      <c r="R61" s="231">
        <v>1305.3</v>
      </c>
      <c r="S61" s="231">
        <v>1268.4000000000001</v>
      </c>
      <c r="T61" s="228">
        <v>36.9</v>
      </c>
      <c r="U61" s="229">
        <v>2.9100000000000001E-2</v>
      </c>
      <c r="V61" s="231">
        <v>1299</v>
      </c>
      <c r="W61" s="231">
        <v>1265.4000000000001</v>
      </c>
      <c r="X61" s="228">
        <v>33.6</v>
      </c>
      <c r="Y61" s="229">
        <v>2.6599999999999999E-2</v>
      </c>
      <c r="Z61" s="228">
        <v>-5.5</v>
      </c>
      <c r="AA61" s="228">
        <v>-2.6</v>
      </c>
      <c r="AB61" s="228">
        <v>-2.9</v>
      </c>
      <c r="AC61" s="229">
        <v>-4.1999999999999997E-3</v>
      </c>
      <c r="AD61" s="228">
        <v>-5.5</v>
      </c>
      <c r="AE61" s="228">
        <v>-2.6</v>
      </c>
      <c r="AF61" s="228">
        <v>-2.9</v>
      </c>
      <c r="AG61" s="229">
        <v>-4.1999999999999997E-3</v>
      </c>
      <c r="AH61" s="228">
        <v>-5.7</v>
      </c>
      <c r="AI61" s="228">
        <v>-2.8</v>
      </c>
      <c r="AJ61" s="228">
        <v>-2.9</v>
      </c>
      <c r="AK61" s="229">
        <v>-4.3E-3</v>
      </c>
      <c r="AL61" s="228">
        <v>-12</v>
      </c>
      <c r="AM61" s="228">
        <v>-5.8</v>
      </c>
      <c r="AN61" s="228">
        <v>-6.2</v>
      </c>
      <c r="AO61" s="229">
        <v>-9.1999999999999998E-3</v>
      </c>
      <c r="AP61" s="231">
        <v>1302.45</v>
      </c>
      <c r="AQ61" s="231">
        <v>1301.27</v>
      </c>
      <c r="AR61" s="228">
        <v>0</v>
      </c>
      <c r="AS61" s="228">
        <v>658</v>
      </c>
      <c r="AT61" s="228">
        <v>382</v>
      </c>
      <c r="AU61" s="228">
        <v>276</v>
      </c>
      <c r="AV61" s="229">
        <v>0.72150000000000003</v>
      </c>
      <c r="AW61" s="228">
        <v>623</v>
      </c>
      <c r="AX61" s="228">
        <v>359</v>
      </c>
      <c r="AY61" s="228">
        <v>264</v>
      </c>
      <c r="AZ61" s="229">
        <v>0.73419999999999996</v>
      </c>
      <c r="BA61" s="228">
        <v>33</v>
      </c>
      <c r="BB61" s="228">
        <v>22</v>
      </c>
      <c r="BC61" s="228">
        <v>11</v>
      </c>
      <c r="BD61" s="229">
        <v>0.50190000000000001</v>
      </c>
      <c r="BE61" s="228">
        <v>2</v>
      </c>
      <c r="BF61" s="228">
        <v>1</v>
      </c>
      <c r="BG61" s="228">
        <v>1</v>
      </c>
      <c r="BH61" s="229">
        <v>0.93330000000000002</v>
      </c>
      <c r="BI61" s="230">
        <v>3111</v>
      </c>
      <c r="BJ61" s="230">
        <v>1081</v>
      </c>
      <c r="BK61" s="230">
        <v>2029</v>
      </c>
      <c r="BL61" s="229">
        <v>1.8771</v>
      </c>
      <c r="BM61" s="230">
        <v>1229</v>
      </c>
      <c r="BN61" s="228">
        <v>490</v>
      </c>
      <c r="BO61" s="228">
        <v>739</v>
      </c>
      <c r="BP61" s="229">
        <v>1.5097</v>
      </c>
      <c r="BQ61" s="230">
        <v>4998</v>
      </c>
      <c r="BR61" s="230">
        <v>1953</v>
      </c>
      <c r="BS61" s="230">
        <v>3045</v>
      </c>
      <c r="BT61" s="229">
        <v>1.5589</v>
      </c>
      <c r="BU61" s="230">
        <v>3434521</v>
      </c>
      <c r="BV61" s="230">
        <v>1046223</v>
      </c>
      <c r="BW61" s="230">
        <v>2388298</v>
      </c>
      <c r="BX61" s="229">
        <v>2.2827999999999999</v>
      </c>
      <c r="BY61" s="230">
        <v>2376</v>
      </c>
      <c r="BZ61" s="230">
        <v>2225</v>
      </c>
      <c r="CA61" s="228">
        <v>151</v>
      </c>
      <c r="CB61" s="229">
        <v>6.8099999999999994E-2</v>
      </c>
      <c r="CC61" s="230">
        <v>2304</v>
      </c>
      <c r="CD61" s="230">
        <v>2165</v>
      </c>
      <c r="CE61" s="228">
        <v>139</v>
      </c>
      <c r="CF61" s="229">
        <v>6.4399999999999999E-2</v>
      </c>
      <c r="CG61" s="228">
        <v>66</v>
      </c>
      <c r="CH61" s="228">
        <v>56</v>
      </c>
      <c r="CI61" s="228">
        <v>11</v>
      </c>
      <c r="CJ61" s="229">
        <v>0.19209999999999999</v>
      </c>
      <c r="CK61" s="228">
        <v>6</v>
      </c>
      <c r="CL61" s="228">
        <v>4</v>
      </c>
      <c r="CM61" s="228">
        <v>1</v>
      </c>
      <c r="CN61" s="229">
        <v>0.32690000000000002</v>
      </c>
      <c r="CO61" s="230">
        <v>1314</v>
      </c>
      <c r="CP61" s="230">
        <v>1249</v>
      </c>
      <c r="CQ61" s="228">
        <v>65</v>
      </c>
      <c r="CR61" s="229">
        <v>5.2200000000000003E-2</v>
      </c>
      <c r="CS61" s="228">
        <v>682</v>
      </c>
      <c r="CT61" s="228">
        <v>573</v>
      </c>
      <c r="CU61" s="228">
        <v>109</v>
      </c>
      <c r="CV61" s="229">
        <v>0.18959999999999999</v>
      </c>
      <c r="CW61" s="230">
        <v>4372</v>
      </c>
      <c r="CX61" s="230">
        <v>4047</v>
      </c>
      <c r="CY61" s="228">
        <v>325</v>
      </c>
      <c r="CZ61" s="229">
        <v>8.0399999999999999E-2</v>
      </c>
      <c r="DA61" s="228">
        <v>31.17</v>
      </c>
      <c r="DB61" s="228">
        <v>30.34</v>
      </c>
      <c r="DC61" s="228">
        <v>0.83</v>
      </c>
      <c r="DD61" s="228">
        <v>0.83</v>
      </c>
      <c r="DE61" s="228">
        <v>28.82</v>
      </c>
      <c r="DF61" s="228">
        <v>28.59</v>
      </c>
      <c r="DG61" s="228">
        <v>2.35</v>
      </c>
      <c r="DH61" s="228">
        <v>0.23</v>
      </c>
      <c r="DI61" s="228">
        <v>31.41</v>
      </c>
      <c r="DJ61" s="228">
        <v>30.63</v>
      </c>
      <c r="DK61" s="228">
        <v>0.78</v>
      </c>
      <c r="DL61" s="228">
        <v>0.78</v>
      </c>
      <c r="DM61" s="228">
        <v>30.57</v>
      </c>
      <c r="DN61" s="228">
        <v>29.69</v>
      </c>
      <c r="DO61" s="228">
        <v>0.88</v>
      </c>
      <c r="DP61" s="228">
        <v>0.88</v>
      </c>
      <c r="DQ61" s="228">
        <v>0.52</v>
      </c>
      <c r="DR61" s="228">
        <v>0.46</v>
      </c>
      <c r="DS61" s="228">
        <v>0.06</v>
      </c>
      <c r="DT61" s="229">
        <v>0.13039999999999999</v>
      </c>
      <c r="DU61" s="231">
        <v>1400</v>
      </c>
      <c r="DV61" s="231">
        <v>1300</v>
      </c>
      <c r="DW61" s="228">
        <v>0.4</v>
      </c>
      <c r="DX61" s="228">
        <v>0.45</v>
      </c>
      <c r="DY61" s="228">
        <v>-0.05</v>
      </c>
      <c r="DZ61" s="229">
        <v>-0.1111</v>
      </c>
      <c r="EA61" s="229">
        <v>3.0300000000000001E-2</v>
      </c>
      <c r="EB61" s="230">
        <v>458750</v>
      </c>
      <c r="EC61" s="229">
        <v>-2.0000000000000001E-4</v>
      </c>
      <c r="ED61" s="229">
        <v>3.0300000000000001E-2</v>
      </c>
      <c r="EE61" s="228">
        <v>-1.18</v>
      </c>
      <c r="EF61" s="229">
        <v>-8.9999999999999998E-4</v>
      </c>
      <c r="EG61" s="230">
        <v>1547705</v>
      </c>
      <c r="EH61" s="230">
        <v>408318</v>
      </c>
      <c r="EI61" s="229">
        <v>2.7904</v>
      </c>
      <c r="EJ61" s="229">
        <v>0.4506</v>
      </c>
      <c r="EK61" s="231">
        <v>3256.98</v>
      </c>
      <c r="EL61" s="231">
        <v>1222.57</v>
      </c>
      <c r="EM61" s="228">
        <v>656.24</v>
      </c>
      <c r="EN61" s="228">
        <v>70.64</v>
      </c>
      <c r="EO61" s="231">
        <v>5135.79</v>
      </c>
      <c r="EP61" s="231">
        <v>1974.57</v>
      </c>
      <c r="EQ61" s="231">
        <v>3161.22</v>
      </c>
      <c r="ER61" s="229">
        <v>1.601</v>
      </c>
      <c r="ES61" s="231">
        <v>1377.88</v>
      </c>
      <c r="ET61" s="228">
        <v>663.78</v>
      </c>
      <c r="EU61" s="231">
        <v>2376.13</v>
      </c>
      <c r="EV61" s="231">
        <v>61026255</v>
      </c>
      <c r="EW61" s="231">
        <v>4417.79</v>
      </c>
      <c r="EX61" s="231">
        <v>4031.86</v>
      </c>
      <c r="EY61" s="228">
        <v>385.93</v>
      </c>
      <c r="EZ61" s="229">
        <v>9.5699999999999993E-2</v>
      </c>
      <c r="FA61" s="229">
        <v>0.54879999999999995</v>
      </c>
      <c r="FB61" s="227" t="s">
        <v>555</v>
      </c>
      <c r="FC61">
        <f t="shared" si="0"/>
        <v>72</v>
      </c>
    </row>
    <row r="62" spans="1:159" ht="17.25" thickBot="1" x14ac:dyDescent="0.3">
      <c r="A62" s="226">
        <v>46148</v>
      </c>
      <c r="B62" s="227" t="s">
        <v>162</v>
      </c>
      <c r="C62" s="227" t="s">
        <v>209</v>
      </c>
      <c r="D62" s="228">
        <v>100</v>
      </c>
      <c r="E62" s="228">
        <v>20</v>
      </c>
      <c r="F62" s="231">
        <v>7349.5</v>
      </c>
      <c r="G62" s="231">
        <v>7317.5</v>
      </c>
      <c r="H62" s="228">
        <v>32</v>
      </c>
      <c r="I62" s="229">
        <v>4.4000000000000003E-3</v>
      </c>
      <c r="J62" s="231">
        <v>7310.5</v>
      </c>
      <c r="K62" s="231">
        <v>7301.5</v>
      </c>
      <c r="L62" s="228">
        <v>9</v>
      </c>
      <c r="M62" s="229">
        <v>1.1999999999999999E-3</v>
      </c>
      <c r="N62" s="231">
        <v>7349.5</v>
      </c>
      <c r="O62" s="231">
        <v>7317.5</v>
      </c>
      <c r="P62" s="228">
        <v>32</v>
      </c>
      <c r="Q62" s="229">
        <v>4.4000000000000003E-3</v>
      </c>
      <c r="R62" s="231">
        <v>7402</v>
      </c>
      <c r="S62" s="231">
        <v>7368</v>
      </c>
      <c r="T62" s="228">
        <v>34</v>
      </c>
      <c r="U62" s="229">
        <v>4.5999999999999999E-3</v>
      </c>
      <c r="V62" s="231">
        <v>7435</v>
      </c>
      <c r="W62" s="231">
        <v>7402.5</v>
      </c>
      <c r="X62" s="228">
        <v>32.5</v>
      </c>
      <c r="Y62" s="229">
        <v>4.4000000000000003E-3</v>
      </c>
      <c r="Z62" s="228">
        <v>39</v>
      </c>
      <c r="AA62" s="228">
        <v>16</v>
      </c>
      <c r="AB62" s="228">
        <v>23</v>
      </c>
      <c r="AC62" s="229">
        <v>5.3E-3</v>
      </c>
      <c r="AD62" s="228">
        <v>39</v>
      </c>
      <c r="AE62" s="228">
        <v>16</v>
      </c>
      <c r="AF62" s="228">
        <v>23</v>
      </c>
      <c r="AG62" s="229">
        <v>5.3E-3</v>
      </c>
      <c r="AH62" s="228">
        <v>91.5</v>
      </c>
      <c r="AI62" s="228">
        <v>66.5</v>
      </c>
      <c r="AJ62" s="228">
        <v>25</v>
      </c>
      <c r="AK62" s="229">
        <v>1.2500000000000001E-2</v>
      </c>
      <c r="AL62" s="228">
        <v>124.5</v>
      </c>
      <c r="AM62" s="228">
        <v>101</v>
      </c>
      <c r="AN62" s="228">
        <v>23.5</v>
      </c>
      <c r="AO62" s="229">
        <v>1.7000000000000001E-2</v>
      </c>
      <c r="AP62" s="231">
        <v>7302.6</v>
      </c>
      <c r="AQ62" s="231">
        <v>7359.82</v>
      </c>
      <c r="AR62" s="228">
        <v>0</v>
      </c>
      <c r="AS62" s="228">
        <v>445</v>
      </c>
      <c r="AT62" s="228">
        <v>323</v>
      </c>
      <c r="AU62" s="228">
        <v>121</v>
      </c>
      <c r="AV62" s="229">
        <v>0.37490000000000001</v>
      </c>
      <c r="AW62" s="228">
        <v>426</v>
      </c>
      <c r="AX62" s="228">
        <v>309</v>
      </c>
      <c r="AY62" s="228">
        <v>116</v>
      </c>
      <c r="AZ62" s="229">
        <v>0.3765</v>
      </c>
      <c r="BA62" s="228">
        <v>17</v>
      </c>
      <c r="BB62" s="228">
        <v>13</v>
      </c>
      <c r="BC62" s="228">
        <v>4</v>
      </c>
      <c r="BD62" s="229">
        <v>0.3216</v>
      </c>
      <c r="BE62" s="228">
        <v>2</v>
      </c>
      <c r="BF62" s="228">
        <v>2</v>
      </c>
      <c r="BG62" s="228">
        <v>1</v>
      </c>
      <c r="BH62" s="229">
        <v>0.4783</v>
      </c>
      <c r="BI62" s="230">
        <v>1057</v>
      </c>
      <c r="BJ62" s="228">
        <v>729</v>
      </c>
      <c r="BK62" s="228">
        <v>328</v>
      </c>
      <c r="BL62" s="229">
        <v>0.44940000000000002</v>
      </c>
      <c r="BM62" s="228">
        <v>535</v>
      </c>
      <c r="BN62" s="228">
        <v>412</v>
      </c>
      <c r="BO62" s="228">
        <v>123</v>
      </c>
      <c r="BP62" s="229">
        <v>0.29980000000000001</v>
      </c>
      <c r="BQ62" s="230">
        <v>2037</v>
      </c>
      <c r="BR62" s="230">
        <v>1464</v>
      </c>
      <c r="BS62" s="228">
        <v>572</v>
      </c>
      <c r="BT62" s="229">
        <v>0.39090000000000003</v>
      </c>
      <c r="BU62" s="230">
        <v>418184</v>
      </c>
      <c r="BV62" s="230">
        <v>502307</v>
      </c>
      <c r="BW62" s="230">
        <v>-84123</v>
      </c>
      <c r="BX62" s="229">
        <v>-0.16750000000000001</v>
      </c>
      <c r="BY62" s="230">
        <v>2499</v>
      </c>
      <c r="BZ62" s="230">
        <v>2624</v>
      </c>
      <c r="CA62" s="228">
        <v>-125</v>
      </c>
      <c r="CB62" s="229">
        <v>-4.7600000000000003E-2</v>
      </c>
      <c r="CC62" s="230">
        <v>2093</v>
      </c>
      <c r="CD62" s="230">
        <v>2222</v>
      </c>
      <c r="CE62" s="228">
        <v>-129</v>
      </c>
      <c r="CF62" s="229">
        <v>-5.8200000000000002E-2</v>
      </c>
      <c r="CG62" s="228">
        <v>402</v>
      </c>
      <c r="CH62" s="228">
        <v>398</v>
      </c>
      <c r="CI62" s="228">
        <v>4</v>
      </c>
      <c r="CJ62" s="229">
        <v>1.03E-2</v>
      </c>
      <c r="CK62" s="228">
        <v>4</v>
      </c>
      <c r="CL62" s="228">
        <v>4</v>
      </c>
      <c r="CM62" s="228">
        <v>0</v>
      </c>
      <c r="CN62" s="229">
        <v>0.1154</v>
      </c>
      <c r="CO62" s="228">
        <v>824</v>
      </c>
      <c r="CP62" s="228">
        <v>767</v>
      </c>
      <c r="CQ62" s="228">
        <v>58</v>
      </c>
      <c r="CR62" s="229">
        <v>7.5300000000000006E-2</v>
      </c>
      <c r="CS62" s="228">
        <v>627</v>
      </c>
      <c r="CT62" s="228">
        <v>627</v>
      </c>
      <c r="CU62" s="228">
        <v>-1</v>
      </c>
      <c r="CV62" s="229">
        <v>-1.1999999999999999E-3</v>
      </c>
      <c r="CW62" s="230">
        <v>3950</v>
      </c>
      <c r="CX62" s="230">
        <v>4018</v>
      </c>
      <c r="CY62" s="228">
        <v>-68</v>
      </c>
      <c r="CZ62" s="229">
        <v>-1.6899999999999998E-2</v>
      </c>
      <c r="DA62" s="228">
        <v>32.4</v>
      </c>
      <c r="DB62" s="228">
        <v>33.020000000000003</v>
      </c>
      <c r="DC62" s="228">
        <v>-0.62</v>
      </c>
      <c r="DD62" s="228">
        <v>-0.62</v>
      </c>
      <c r="DE62" s="228">
        <v>33.409999999999997</v>
      </c>
      <c r="DF62" s="228">
        <v>33.5</v>
      </c>
      <c r="DG62" s="228">
        <v>-1.01</v>
      </c>
      <c r="DH62" s="228">
        <v>-0.09</v>
      </c>
      <c r="DI62" s="228">
        <v>31.94</v>
      </c>
      <c r="DJ62" s="228">
        <v>32.619999999999997</v>
      </c>
      <c r="DK62" s="228">
        <v>-0.68</v>
      </c>
      <c r="DL62" s="228">
        <v>-0.68</v>
      </c>
      <c r="DM62" s="228">
        <v>33.31</v>
      </c>
      <c r="DN62" s="228">
        <v>33.72</v>
      </c>
      <c r="DO62" s="228">
        <v>-0.41</v>
      </c>
      <c r="DP62" s="228">
        <v>-0.41</v>
      </c>
      <c r="DQ62" s="228">
        <v>0.76</v>
      </c>
      <c r="DR62" s="228">
        <v>0.82</v>
      </c>
      <c r="DS62" s="228">
        <v>-0.06</v>
      </c>
      <c r="DT62" s="229">
        <v>-7.3200000000000001E-2</v>
      </c>
      <c r="DU62" s="231">
        <v>7300</v>
      </c>
      <c r="DV62" s="231">
        <v>6800</v>
      </c>
      <c r="DW62" s="228">
        <v>0.51</v>
      </c>
      <c r="DX62" s="228">
        <v>0.56000000000000005</v>
      </c>
      <c r="DY62" s="228">
        <v>-0.05</v>
      </c>
      <c r="DZ62" s="229">
        <v>-8.9300000000000004E-2</v>
      </c>
      <c r="EA62" s="229">
        <v>0.16250000000000001</v>
      </c>
      <c r="EB62" s="230">
        <v>546300</v>
      </c>
      <c r="EC62" s="229">
        <v>7.1000000000000004E-3</v>
      </c>
      <c r="ED62" s="229">
        <v>0.16250000000000001</v>
      </c>
      <c r="EE62" s="228">
        <v>57.22</v>
      </c>
      <c r="EF62" s="229">
        <v>7.7999999999999996E-3</v>
      </c>
      <c r="EG62" s="230">
        <v>194954</v>
      </c>
      <c r="EH62" s="230">
        <v>261281</v>
      </c>
      <c r="EI62" s="229">
        <v>-0.25390000000000001</v>
      </c>
      <c r="EJ62" s="229">
        <v>0.4662</v>
      </c>
      <c r="EK62" s="231">
        <v>1106.06</v>
      </c>
      <c r="EL62" s="228">
        <v>517.91</v>
      </c>
      <c r="EM62" s="228">
        <v>442.04</v>
      </c>
      <c r="EN62" s="228">
        <v>56.8</v>
      </c>
      <c r="EO62" s="231">
        <v>2066.0100000000002</v>
      </c>
      <c r="EP62" s="231">
        <v>1489.17</v>
      </c>
      <c r="EQ62" s="228">
        <v>576.84</v>
      </c>
      <c r="ER62" s="229">
        <v>0.38740000000000002</v>
      </c>
      <c r="ES62" s="228">
        <v>852.58</v>
      </c>
      <c r="ET62" s="228">
        <v>593.46</v>
      </c>
      <c r="EU62" s="231">
        <v>2501.6799999999998</v>
      </c>
      <c r="EV62" s="231">
        <v>20960143</v>
      </c>
      <c r="EW62" s="231">
        <v>3947.71</v>
      </c>
      <c r="EX62" s="231">
        <v>4000.69</v>
      </c>
      <c r="EY62" s="228">
        <v>-52.98</v>
      </c>
      <c r="EZ62" s="229">
        <v>-1.32E-2</v>
      </c>
      <c r="FA62" s="229">
        <v>0.25640000000000002</v>
      </c>
      <c r="FB62" s="227" t="s">
        <v>691</v>
      </c>
      <c r="FC62">
        <f t="shared" si="0"/>
        <v>406</v>
      </c>
    </row>
    <row r="63" spans="1:159" ht="17.25" thickBot="1" x14ac:dyDescent="0.3">
      <c r="A63" s="226">
        <v>46148</v>
      </c>
      <c r="B63" s="227" t="s">
        <v>614</v>
      </c>
      <c r="C63" s="227" t="s">
        <v>664</v>
      </c>
      <c r="D63" s="228">
        <v>2425</v>
      </c>
      <c r="E63" s="228">
        <v>20</v>
      </c>
      <c r="F63" s="228">
        <v>257.83</v>
      </c>
      <c r="G63" s="228">
        <v>249.94</v>
      </c>
      <c r="H63" s="228">
        <v>7.89</v>
      </c>
      <c r="I63" s="229">
        <v>3.1600000000000003E-2</v>
      </c>
      <c r="J63" s="228">
        <v>256.05</v>
      </c>
      <c r="K63" s="228">
        <v>248.47</v>
      </c>
      <c r="L63" s="228">
        <v>7.58</v>
      </c>
      <c r="M63" s="229">
        <v>3.0499999999999999E-2</v>
      </c>
      <c r="N63" s="228">
        <v>257.83</v>
      </c>
      <c r="O63" s="228">
        <v>249.94</v>
      </c>
      <c r="P63" s="228">
        <v>7.89</v>
      </c>
      <c r="Q63" s="229">
        <v>3.1600000000000003E-2</v>
      </c>
      <c r="R63" s="228">
        <v>259.29000000000002</v>
      </c>
      <c r="S63" s="228">
        <v>251.47</v>
      </c>
      <c r="T63" s="228">
        <v>7.82</v>
      </c>
      <c r="U63" s="229">
        <v>3.1099999999999999E-2</v>
      </c>
      <c r="V63" s="228">
        <v>260.58</v>
      </c>
      <c r="W63" s="228">
        <v>253.04</v>
      </c>
      <c r="X63" s="228">
        <v>7.54</v>
      </c>
      <c r="Y63" s="229">
        <v>2.98E-2</v>
      </c>
      <c r="Z63" s="228">
        <v>1.78</v>
      </c>
      <c r="AA63" s="228">
        <v>1.47</v>
      </c>
      <c r="AB63" s="228">
        <v>0.31</v>
      </c>
      <c r="AC63" s="229">
        <v>7.0000000000000001E-3</v>
      </c>
      <c r="AD63" s="228">
        <v>1.78</v>
      </c>
      <c r="AE63" s="228">
        <v>1.47</v>
      </c>
      <c r="AF63" s="228">
        <v>0.31</v>
      </c>
      <c r="AG63" s="229">
        <v>7.0000000000000001E-3</v>
      </c>
      <c r="AH63" s="228">
        <v>3.24</v>
      </c>
      <c r="AI63" s="228">
        <v>3</v>
      </c>
      <c r="AJ63" s="228">
        <v>0.24</v>
      </c>
      <c r="AK63" s="229">
        <v>1.2699999999999999E-2</v>
      </c>
      <c r="AL63" s="228">
        <v>4.53</v>
      </c>
      <c r="AM63" s="228">
        <v>4.57</v>
      </c>
      <c r="AN63" s="228">
        <v>-0.04</v>
      </c>
      <c r="AO63" s="229">
        <v>1.77E-2</v>
      </c>
      <c r="AP63" s="228">
        <v>255.06</v>
      </c>
      <c r="AQ63" s="228">
        <v>256.32</v>
      </c>
      <c r="AR63" s="228">
        <v>0</v>
      </c>
      <c r="AS63" s="228">
        <v>833</v>
      </c>
      <c r="AT63" s="228">
        <v>549</v>
      </c>
      <c r="AU63" s="228">
        <v>284</v>
      </c>
      <c r="AV63" s="229">
        <v>0.51770000000000005</v>
      </c>
      <c r="AW63" s="228">
        <v>738</v>
      </c>
      <c r="AX63" s="228">
        <v>485</v>
      </c>
      <c r="AY63" s="228">
        <v>252</v>
      </c>
      <c r="AZ63" s="229">
        <v>0.51990000000000003</v>
      </c>
      <c r="BA63" s="228">
        <v>89</v>
      </c>
      <c r="BB63" s="228">
        <v>59</v>
      </c>
      <c r="BC63" s="228">
        <v>29</v>
      </c>
      <c r="BD63" s="229">
        <v>0.49530000000000002</v>
      </c>
      <c r="BE63" s="228">
        <v>7</v>
      </c>
      <c r="BF63" s="228">
        <v>4</v>
      </c>
      <c r="BG63" s="228">
        <v>3</v>
      </c>
      <c r="BH63" s="229">
        <v>0.57969999999999999</v>
      </c>
      <c r="BI63" s="230">
        <v>2220</v>
      </c>
      <c r="BJ63" s="230">
        <v>1522</v>
      </c>
      <c r="BK63" s="228">
        <v>698</v>
      </c>
      <c r="BL63" s="229">
        <v>0.45850000000000002</v>
      </c>
      <c r="BM63" s="230">
        <v>1311</v>
      </c>
      <c r="BN63" s="228">
        <v>896</v>
      </c>
      <c r="BO63" s="228">
        <v>414</v>
      </c>
      <c r="BP63" s="229">
        <v>0.46229999999999999</v>
      </c>
      <c r="BQ63" s="230">
        <v>4364</v>
      </c>
      <c r="BR63" s="230">
        <v>2968</v>
      </c>
      <c r="BS63" s="230">
        <v>1396</v>
      </c>
      <c r="BT63" s="229">
        <v>0.47060000000000002</v>
      </c>
      <c r="BU63" s="230">
        <v>35059081</v>
      </c>
      <c r="BV63" s="230">
        <v>31395709</v>
      </c>
      <c r="BW63" s="230">
        <v>3663372</v>
      </c>
      <c r="BX63" s="229">
        <v>0.1167</v>
      </c>
      <c r="BY63" s="230">
        <v>5442</v>
      </c>
      <c r="BZ63" s="230">
        <v>5392</v>
      </c>
      <c r="CA63" s="228">
        <v>50</v>
      </c>
      <c r="CB63" s="229">
        <v>9.2999999999999992E-3</v>
      </c>
      <c r="CC63" s="230">
        <v>4928</v>
      </c>
      <c r="CD63" s="230">
        <v>4916</v>
      </c>
      <c r="CE63" s="228">
        <v>13</v>
      </c>
      <c r="CF63" s="229">
        <v>2.5999999999999999E-3</v>
      </c>
      <c r="CG63" s="228">
        <v>491</v>
      </c>
      <c r="CH63" s="228">
        <v>455</v>
      </c>
      <c r="CI63" s="228">
        <v>37</v>
      </c>
      <c r="CJ63" s="229">
        <v>8.1100000000000005E-2</v>
      </c>
      <c r="CK63" s="228">
        <v>22</v>
      </c>
      <c r="CL63" s="228">
        <v>21</v>
      </c>
      <c r="CM63" s="228">
        <v>1</v>
      </c>
      <c r="CN63" s="229">
        <v>2.6499999999999999E-2</v>
      </c>
      <c r="CO63" s="230">
        <v>2303</v>
      </c>
      <c r="CP63" s="230">
        <v>2442</v>
      </c>
      <c r="CQ63" s="228">
        <v>-140</v>
      </c>
      <c r="CR63" s="229">
        <v>-5.7200000000000001E-2</v>
      </c>
      <c r="CS63" s="230">
        <v>1314</v>
      </c>
      <c r="CT63" s="230">
        <v>1336</v>
      </c>
      <c r="CU63" s="228">
        <v>-23</v>
      </c>
      <c r="CV63" s="229">
        <v>-1.7100000000000001E-2</v>
      </c>
      <c r="CW63" s="230">
        <v>9058</v>
      </c>
      <c r="CX63" s="230">
        <v>9170</v>
      </c>
      <c r="CY63" s="228">
        <v>-112</v>
      </c>
      <c r="CZ63" s="229">
        <v>-1.2200000000000001E-2</v>
      </c>
      <c r="DA63" s="228">
        <v>37.04</v>
      </c>
      <c r="DB63" s="228">
        <v>39.229999999999997</v>
      </c>
      <c r="DC63" s="228">
        <v>-2.19</v>
      </c>
      <c r="DD63" s="228">
        <v>-2.19</v>
      </c>
      <c r="DE63" s="228">
        <v>45.52</v>
      </c>
      <c r="DF63" s="228">
        <v>45.45</v>
      </c>
      <c r="DG63" s="228">
        <v>-8.48</v>
      </c>
      <c r="DH63" s="228">
        <v>7.0000000000000007E-2</v>
      </c>
      <c r="DI63" s="228">
        <v>36.94</v>
      </c>
      <c r="DJ63" s="228">
        <v>39.47</v>
      </c>
      <c r="DK63" s="228">
        <v>-2.5299999999999998</v>
      </c>
      <c r="DL63" s="228">
        <v>-2.5299999999999998</v>
      </c>
      <c r="DM63" s="228">
        <v>37.200000000000003</v>
      </c>
      <c r="DN63" s="228">
        <v>38.82</v>
      </c>
      <c r="DO63" s="228">
        <v>-1.62</v>
      </c>
      <c r="DP63" s="228">
        <v>-1.62</v>
      </c>
      <c r="DQ63" s="228">
        <v>0.56999999999999995</v>
      </c>
      <c r="DR63" s="228">
        <v>0.55000000000000004</v>
      </c>
      <c r="DS63" s="228">
        <v>0.02</v>
      </c>
      <c r="DT63" s="229">
        <v>3.6400000000000002E-2</v>
      </c>
      <c r="DU63" s="228">
        <v>260</v>
      </c>
      <c r="DV63" s="228">
        <v>250</v>
      </c>
      <c r="DW63" s="228">
        <v>0.59</v>
      </c>
      <c r="DX63" s="228">
        <v>0.59</v>
      </c>
      <c r="DY63" s="228">
        <v>0</v>
      </c>
      <c r="DZ63" s="229">
        <v>0</v>
      </c>
      <c r="EA63" s="229">
        <v>9.4299999999999995E-2</v>
      </c>
      <c r="EB63" s="230">
        <v>18456675</v>
      </c>
      <c r="EC63" s="229">
        <v>5.7000000000000002E-3</v>
      </c>
      <c r="ED63" s="229">
        <v>9.4299999999999995E-2</v>
      </c>
      <c r="EE63" s="228">
        <v>1.26</v>
      </c>
      <c r="EF63" s="229">
        <v>4.8999999999999998E-3</v>
      </c>
      <c r="EG63" s="230">
        <v>16942598</v>
      </c>
      <c r="EH63" s="230">
        <v>11905097</v>
      </c>
      <c r="EI63" s="229">
        <v>0.42309999999999998</v>
      </c>
      <c r="EJ63" s="229">
        <v>0.48330000000000001</v>
      </c>
      <c r="EK63" s="231">
        <v>2323.5</v>
      </c>
      <c r="EL63" s="231">
        <v>1263.02</v>
      </c>
      <c r="EM63" s="228">
        <v>824.79</v>
      </c>
      <c r="EN63" s="228">
        <v>219.74</v>
      </c>
      <c r="EO63" s="231">
        <v>4411.3100000000004</v>
      </c>
      <c r="EP63" s="231">
        <v>2976.88</v>
      </c>
      <c r="EQ63" s="231">
        <v>1434.43</v>
      </c>
      <c r="ER63" s="229">
        <v>0.4819</v>
      </c>
      <c r="ES63" s="231">
        <v>2370.88</v>
      </c>
      <c r="ET63" s="231">
        <v>1246.55</v>
      </c>
      <c r="EU63" s="231">
        <v>5444.84</v>
      </c>
      <c r="EV63" s="231">
        <v>1366821859</v>
      </c>
      <c r="EW63" s="231">
        <v>9062.27</v>
      </c>
      <c r="EX63" s="231">
        <v>9007.9500000000007</v>
      </c>
      <c r="EY63" s="228">
        <v>54.32</v>
      </c>
      <c r="EZ63" s="229">
        <v>6.0000000000000001E-3</v>
      </c>
      <c r="FA63" s="229">
        <v>0.25700000000000001</v>
      </c>
      <c r="FB63" s="227" t="s">
        <v>555</v>
      </c>
      <c r="FC63">
        <f t="shared" si="0"/>
        <v>514</v>
      </c>
    </row>
    <row r="64" spans="1:159" ht="17.25" thickBot="1" x14ac:dyDescent="0.3">
      <c r="A64" s="226">
        <v>46148</v>
      </c>
      <c r="B64" s="227" t="s">
        <v>162</v>
      </c>
      <c r="C64" s="227" t="s">
        <v>211</v>
      </c>
      <c r="D64" s="228">
        <v>1800</v>
      </c>
      <c r="E64" s="228">
        <v>20</v>
      </c>
      <c r="F64" s="228">
        <v>353.3</v>
      </c>
      <c r="G64" s="228">
        <v>362.6</v>
      </c>
      <c r="H64" s="228">
        <v>-9.3000000000000007</v>
      </c>
      <c r="I64" s="229">
        <v>-2.5600000000000001E-2</v>
      </c>
      <c r="J64" s="228">
        <v>351.7</v>
      </c>
      <c r="K64" s="228">
        <v>361.15</v>
      </c>
      <c r="L64" s="228">
        <v>-9.4499999999999993</v>
      </c>
      <c r="M64" s="229">
        <v>-2.6200000000000001E-2</v>
      </c>
      <c r="N64" s="228">
        <v>353.3</v>
      </c>
      <c r="O64" s="228">
        <v>362.6</v>
      </c>
      <c r="P64" s="228">
        <v>-9.3000000000000007</v>
      </c>
      <c r="Q64" s="229">
        <v>-2.5600000000000001E-2</v>
      </c>
      <c r="R64" s="228">
        <v>355.9</v>
      </c>
      <c r="S64" s="228">
        <v>365.1</v>
      </c>
      <c r="T64" s="228">
        <v>-9.1999999999999993</v>
      </c>
      <c r="U64" s="229">
        <v>-2.52E-2</v>
      </c>
      <c r="V64" s="228">
        <v>356.15</v>
      </c>
      <c r="W64" s="228">
        <v>365.45</v>
      </c>
      <c r="X64" s="228">
        <v>-9.3000000000000007</v>
      </c>
      <c r="Y64" s="229">
        <v>-2.5399999999999999E-2</v>
      </c>
      <c r="Z64" s="228">
        <v>1.6</v>
      </c>
      <c r="AA64" s="228">
        <v>1.45</v>
      </c>
      <c r="AB64" s="228">
        <v>0.15</v>
      </c>
      <c r="AC64" s="229">
        <v>4.4999999999999997E-3</v>
      </c>
      <c r="AD64" s="228">
        <v>1.6</v>
      </c>
      <c r="AE64" s="228">
        <v>1.45</v>
      </c>
      <c r="AF64" s="228">
        <v>0.15</v>
      </c>
      <c r="AG64" s="229">
        <v>4.4999999999999997E-3</v>
      </c>
      <c r="AH64" s="228">
        <v>4.2</v>
      </c>
      <c r="AI64" s="228">
        <v>3.95</v>
      </c>
      <c r="AJ64" s="228">
        <v>0.25</v>
      </c>
      <c r="AK64" s="229">
        <v>1.1900000000000001E-2</v>
      </c>
      <c r="AL64" s="228">
        <v>4.45</v>
      </c>
      <c r="AM64" s="228">
        <v>4.3</v>
      </c>
      <c r="AN64" s="228">
        <v>0.15</v>
      </c>
      <c r="AO64" s="229">
        <v>1.2699999999999999E-2</v>
      </c>
      <c r="AP64" s="228">
        <v>352.04</v>
      </c>
      <c r="AQ64" s="228">
        <v>354.64</v>
      </c>
      <c r="AR64" s="228">
        <v>0</v>
      </c>
      <c r="AS64" s="228">
        <v>593</v>
      </c>
      <c r="AT64" s="228">
        <v>233</v>
      </c>
      <c r="AU64" s="228">
        <v>360</v>
      </c>
      <c r="AV64" s="229">
        <v>1.5455000000000001</v>
      </c>
      <c r="AW64" s="228">
        <v>553</v>
      </c>
      <c r="AX64" s="228">
        <v>220</v>
      </c>
      <c r="AY64" s="228">
        <v>333</v>
      </c>
      <c r="AZ64" s="229">
        <v>1.518</v>
      </c>
      <c r="BA64" s="228">
        <v>35</v>
      </c>
      <c r="BB64" s="228">
        <v>12</v>
      </c>
      <c r="BC64" s="228">
        <v>24</v>
      </c>
      <c r="BD64" s="229">
        <v>2.0162</v>
      </c>
      <c r="BE64" s="228">
        <v>4</v>
      </c>
      <c r="BF64" s="228">
        <v>1</v>
      </c>
      <c r="BG64" s="228">
        <v>3</v>
      </c>
      <c r="BH64" s="229">
        <v>1.9091</v>
      </c>
      <c r="BI64" s="230">
        <v>1712</v>
      </c>
      <c r="BJ64" s="230">
        <v>1044</v>
      </c>
      <c r="BK64" s="228">
        <v>669</v>
      </c>
      <c r="BL64" s="229">
        <v>0.64100000000000001</v>
      </c>
      <c r="BM64" s="230">
        <v>1116</v>
      </c>
      <c r="BN64" s="228">
        <v>376</v>
      </c>
      <c r="BO64" s="228">
        <v>739</v>
      </c>
      <c r="BP64" s="229">
        <v>1.9657</v>
      </c>
      <c r="BQ64" s="230">
        <v>3421</v>
      </c>
      <c r="BR64" s="230">
        <v>1652</v>
      </c>
      <c r="BS64" s="230">
        <v>1768</v>
      </c>
      <c r="BT64" s="229">
        <v>1.07</v>
      </c>
      <c r="BU64" s="230">
        <v>9660222</v>
      </c>
      <c r="BV64" s="230">
        <v>5774781</v>
      </c>
      <c r="BW64" s="230">
        <v>3885441</v>
      </c>
      <c r="BX64" s="229">
        <v>0.67279999999999995</v>
      </c>
      <c r="BY64" s="228">
        <v>945</v>
      </c>
      <c r="BZ64" s="228">
        <v>999</v>
      </c>
      <c r="CA64" s="228">
        <v>-54</v>
      </c>
      <c r="CB64" s="229">
        <v>-5.4300000000000001E-2</v>
      </c>
      <c r="CC64" s="228">
        <v>894</v>
      </c>
      <c r="CD64" s="228">
        <v>957</v>
      </c>
      <c r="CE64" s="228">
        <v>-64</v>
      </c>
      <c r="CF64" s="229">
        <v>-6.6799999999999998E-2</v>
      </c>
      <c r="CG64" s="228">
        <v>45</v>
      </c>
      <c r="CH64" s="228">
        <v>38</v>
      </c>
      <c r="CI64" s="228">
        <v>8</v>
      </c>
      <c r="CJ64" s="229">
        <v>0.2102</v>
      </c>
      <c r="CK64" s="228">
        <v>6</v>
      </c>
      <c r="CL64" s="228">
        <v>4</v>
      </c>
      <c r="CM64" s="228">
        <v>2</v>
      </c>
      <c r="CN64" s="229">
        <v>0.44440000000000002</v>
      </c>
      <c r="CO64" s="228">
        <v>622</v>
      </c>
      <c r="CP64" s="228">
        <v>535</v>
      </c>
      <c r="CQ64" s="228">
        <v>87</v>
      </c>
      <c r="CR64" s="229">
        <v>0.16320000000000001</v>
      </c>
      <c r="CS64" s="228">
        <v>377</v>
      </c>
      <c r="CT64" s="228">
        <v>312</v>
      </c>
      <c r="CU64" s="228">
        <v>65</v>
      </c>
      <c r="CV64" s="229">
        <v>0.20979999999999999</v>
      </c>
      <c r="CW64" s="230">
        <v>1944</v>
      </c>
      <c r="CX64" s="230">
        <v>1846</v>
      </c>
      <c r="CY64" s="228">
        <v>99</v>
      </c>
      <c r="CZ64" s="229">
        <v>5.3400000000000003E-2</v>
      </c>
      <c r="DA64" s="228">
        <v>33.85</v>
      </c>
      <c r="DB64" s="228">
        <v>33.83</v>
      </c>
      <c r="DC64" s="228">
        <v>0.02</v>
      </c>
      <c r="DD64" s="228">
        <v>0.02</v>
      </c>
      <c r="DE64" s="228">
        <v>36.06</v>
      </c>
      <c r="DF64" s="228">
        <v>35.979999999999997</v>
      </c>
      <c r="DG64" s="228">
        <v>-2.21</v>
      </c>
      <c r="DH64" s="228">
        <v>0.08</v>
      </c>
      <c r="DI64" s="228">
        <v>33.82</v>
      </c>
      <c r="DJ64" s="228">
        <v>33.81</v>
      </c>
      <c r="DK64" s="228">
        <v>0.01</v>
      </c>
      <c r="DL64" s="228">
        <v>0.01</v>
      </c>
      <c r="DM64" s="228">
        <v>33.880000000000003</v>
      </c>
      <c r="DN64" s="228">
        <v>33.880000000000003</v>
      </c>
      <c r="DO64" s="228">
        <v>0</v>
      </c>
      <c r="DP64" s="228">
        <v>0</v>
      </c>
      <c r="DQ64" s="228">
        <v>0.61</v>
      </c>
      <c r="DR64" s="228">
        <v>0.57999999999999996</v>
      </c>
      <c r="DS64" s="228">
        <v>0.03</v>
      </c>
      <c r="DT64" s="229">
        <v>5.1700000000000003E-2</v>
      </c>
      <c r="DU64" s="228">
        <v>380</v>
      </c>
      <c r="DV64" s="228">
        <v>350</v>
      </c>
      <c r="DW64" s="228">
        <v>0.65</v>
      </c>
      <c r="DX64" s="228">
        <v>0.36</v>
      </c>
      <c r="DY64" s="228">
        <v>0.28999999999999998</v>
      </c>
      <c r="DZ64" s="229">
        <v>0.80559999999999998</v>
      </c>
      <c r="EA64" s="229">
        <v>5.4199999999999998E-2</v>
      </c>
      <c r="EB64" s="230">
        <v>1175400</v>
      </c>
      <c r="EC64" s="229">
        <v>7.4000000000000003E-3</v>
      </c>
      <c r="ED64" s="229">
        <v>5.4199999999999998E-2</v>
      </c>
      <c r="EE64" s="228">
        <v>2.6</v>
      </c>
      <c r="EF64" s="229">
        <v>7.4000000000000003E-3</v>
      </c>
      <c r="EG64" s="230">
        <v>3023396</v>
      </c>
      <c r="EH64" s="230">
        <v>1929461</v>
      </c>
      <c r="EI64" s="229">
        <v>0.56699999999999995</v>
      </c>
      <c r="EJ64" s="229">
        <v>0.313</v>
      </c>
      <c r="EK64" s="231">
        <v>1816.67</v>
      </c>
      <c r="EL64" s="231">
        <v>1112.27</v>
      </c>
      <c r="EM64" s="228">
        <v>590.82000000000005</v>
      </c>
      <c r="EN64" s="228">
        <v>57.65</v>
      </c>
      <c r="EO64" s="231">
        <v>3519.76</v>
      </c>
      <c r="EP64" s="231">
        <v>1767.33</v>
      </c>
      <c r="EQ64" s="231">
        <v>1752.43</v>
      </c>
      <c r="ER64" s="229">
        <v>0.99160000000000004</v>
      </c>
      <c r="ES64" s="228">
        <v>652.04999999999995</v>
      </c>
      <c r="ET64" s="228">
        <v>370.94</v>
      </c>
      <c r="EU64" s="228">
        <v>945.13</v>
      </c>
      <c r="EV64" s="231">
        <v>50211048</v>
      </c>
      <c r="EW64" s="231">
        <v>1968.13</v>
      </c>
      <c r="EX64" s="231">
        <v>1897.56</v>
      </c>
      <c r="EY64" s="228">
        <v>70.569999999999993</v>
      </c>
      <c r="EZ64" s="229">
        <v>3.7199999999999997E-2</v>
      </c>
      <c r="FA64" s="229">
        <v>1.0961000000000001</v>
      </c>
      <c r="FB64" s="227" t="s">
        <v>567</v>
      </c>
      <c r="FC64">
        <f t="shared" si="0"/>
        <v>51</v>
      </c>
    </row>
    <row r="65" spans="1:159" ht="17.25" thickBot="1" x14ac:dyDescent="0.3">
      <c r="A65" s="226">
        <v>46148</v>
      </c>
      <c r="B65" s="227" t="s">
        <v>172</v>
      </c>
      <c r="C65" s="227" t="s">
        <v>212</v>
      </c>
      <c r="D65" s="228">
        <v>2500</v>
      </c>
      <c r="E65" s="228">
        <v>20</v>
      </c>
      <c r="F65" s="228">
        <v>295</v>
      </c>
      <c r="G65" s="228">
        <v>293.7</v>
      </c>
      <c r="H65" s="228">
        <v>1.3</v>
      </c>
      <c r="I65" s="229">
        <v>4.4000000000000003E-3</v>
      </c>
      <c r="J65" s="228">
        <v>293</v>
      </c>
      <c r="K65" s="228">
        <v>292.60000000000002</v>
      </c>
      <c r="L65" s="228">
        <v>0.4</v>
      </c>
      <c r="M65" s="229">
        <v>1.4E-3</v>
      </c>
      <c r="N65" s="228">
        <v>295</v>
      </c>
      <c r="O65" s="228">
        <v>293.7</v>
      </c>
      <c r="P65" s="228">
        <v>1.3</v>
      </c>
      <c r="Q65" s="229">
        <v>4.4000000000000003E-3</v>
      </c>
      <c r="R65" s="228">
        <v>296.55</v>
      </c>
      <c r="S65" s="228">
        <v>295.05</v>
      </c>
      <c r="T65" s="228">
        <v>1.5</v>
      </c>
      <c r="U65" s="229">
        <v>5.1000000000000004E-3</v>
      </c>
      <c r="V65" s="228">
        <v>297.3</v>
      </c>
      <c r="W65" s="228">
        <v>295.35000000000002</v>
      </c>
      <c r="X65" s="228">
        <v>1.95</v>
      </c>
      <c r="Y65" s="229">
        <v>6.6E-3</v>
      </c>
      <c r="Z65" s="228">
        <v>2</v>
      </c>
      <c r="AA65" s="228">
        <v>1.1000000000000001</v>
      </c>
      <c r="AB65" s="228">
        <v>0.9</v>
      </c>
      <c r="AC65" s="229">
        <v>6.7999999999999996E-3</v>
      </c>
      <c r="AD65" s="228">
        <v>2</v>
      </c>
      <c r="AE65" s="228">
        <v>1.1000000000000001</v>
      </c>
      <c r="AF65" s="228">
        <v>0.9</v>
      </c>
      <c r="AG65" s="229">
        <v>6.7999999999999996E-3</v>
      </c>
      <c r="AH65" s="228">
        <v>3.55</v>
      </c>
      <c r="AI65" s="228">
        <v>2.4500000000000002</v>
      </c>
      <c r="AJ65" s="228">
        <v>1.1000000000000001</v>
      </c>
      <c r="AK65" s="229">
        <v>1.21E-2</v>
      </c>
      <c r="AL65" s="228">
        <v>4.3</v>
      </c>
      <c r="AM65" s="228">
        <v>2.75</v>
      </c>
      <c r="AN65" s="228">
        <v>1.55</v>
      </c>
      <c r="AO65" s="229">
        <v>1.47E-2</v>
      </c>
      <c r="AP65" s="228">
        <v>294.51</v>
      </c>
      <c r="AQ65" s="228">
        <v>295.56</v>
      </c>
      <c r="AR65" s="228">
        <v>0</v>
      </c>
      <c r="AS65" s="228">
        <v>458</v>
      </c>
      <c r="AT65" s="228">
        <v>374</v>
      </c>
      <c r="AU65" s="228">
        <v>84</v>
      </c>
      <c r="AV65" s="229">
        <v>0.22539999999999999</v>
      </c>
      <c r="AW65" s="228">
        <v>413</v>
      </c>
      <c r="AX65" s="228">
        <v>330</v>
      </c>
      <c r="AY65" s="228">
        <v>83</v>
      </c>
      <c r="AZ65" s="229">
        <v>0.25090000000000001</v>
      </c>
      <c r="BA65" s="228">
        <v>43</v>
      </c>
      <c r="BB65" s="228">
        <v>39</v>
      </c>
      <c r="BC65" s="228">
        <v>4</v>
      </c>
      <c r="BD65" s="229">
        <v>9.5299999999999996E-2</v>
      </c>
      <c r="BE65" s="228">
        <v>2</v>
      </c>
      <c r="BF65" s="228">
        <v>4</v>
      </c>
      <c r="BG65" s="228">
        <v>-2</v>
      </c>
      <c r="BH65" s="229">
        <v>-0.51670000000000005</v>
      </c>
      <c r="BI65" s="230">
        <v>1237</v>
      </c>
      <c r="BJ65" s="230">
        <v>1405</v>
      </c>
      <c r="BK65" s="228">
        <v>-168</v>
      </c>
      <c r="BL65" s="229">
        <v>-0.1198</v>
      </c>
      <c r="BM65" s="228">
        <v>577</v>
      </c>
      <c r="BN65" s="228">
        <v>598</v>
      </c>
      <c r="BO65" s="228">
        <v>-21</v>
      </c>
      <c r="BP65" s="229">
        <v>-3.5200000000000002E-2</v>
      </c>
      <c r="BQ65" s="230">
        <v>2272</v>
      </c>
      <c r="BR65" s="230">
        <v>2377</v>
      </c>
      <c r="BS65" s="228">
        <v>-105</v>
      </c>
      <c r="BT65" s="229">
        <v>-4.4200000000000003E-2</v>
      </c>
      <c r="BU65" s="230">
        <v>10196261</v>
      </c>
      <c r="BV65" s="230">
        <v>5982972</v>
      </c>
      <c r="BW65" s="230">
        <v>4213289</v>
      </c>
      <c r="BX65" s="229">
        <v>0.70420000000000005</v>
      </c>
      <c r="BY65" s="230">
        <v>2510</v>
      </c>
      <c r="BZ65" s="230">
        <v>2477</v>
      </c>
      <c r="CA65" s="228">
        <v>33</v>
      </c>
      <c r="CB65" s="229">
        <v>1.35E-2</v>
      </c>
      <c r="CC65" s="230">
        <v>2282</v>
      </c>
      <c r="CD65" s="230">
        <v>2265</v>
      </c>
      <c r="CE65" s="228">
        <v>17</v>
      </c>
      <c r="CF65" s="229">
        <v>7.4999999999999997E-3</v>
      </c>
      <c r="CG65" s="228">
        <v>221</v>
      </c>
      <c r="CH65" s="228">
        <v>205</v>
      </c>
      <c r="CI65" s="228">
        <v>17</v>
      </c>
      <c r="CJ65" s="229">
        <v>8.0699999999999994E-2</v>
      </c>
      <c r="CK65" s="228">
        <v>7</v>
      </c>
      <c r="CL65" s="228">
        <v>7</v>
      </c>
      <c r="CM65" s="228">
        <v>0</v>
      </c>
      <c r="CN65" s="229">
        <v>-9.9000000000000008E-3</v>
      </c>
      <c r="CO65" s="230">
        <v>1042</v>
      </c>
      <c r="CP65" s="230">
        <v>1016</v>
      </c>
      <c r="CQ65" s="228">
        <v>27</v>
      </c>
      <c r="CR65" s="229">
        <v>2.6200000000000001E-2</v>
      </c>
      <c r="CS65" s="228">
        <v>596</v>
      </c>
      <c r="CT65" s="228">
        <v>578</v>
      </c>
      <c r="CU65" s="228">
        <v>18</v>
      </c>
      <c r="CV65" s="229">
        <v>3.04E-2</v>
      </c>
      <c r="CW65" s="230">
        <v>4148</v>
      </c>
      <c r="CX65" s="230">
        <v>4071</v>
      </c>
      <c r="CY65" s="228">
        <v>78</v>
      </c>
      <c r="CZ65" s="229">
        <v>1.9099999999999999E-2</v>
      </c>
      <c r="DA65" s="228">
        <v>28.37</v>
      </c>
      <c r="DB65" s="228">
        <v>28.63</v>
      </c>
      <c r="DC65" s="228">
        <v>-0.26</v>
      </c>
      <c r="DD65" s="228">
        <v>-0.26</v>
      </c>
      <c r="DE65" s="228">
        <v>31.71</v>
      </c>
      <c r="DF65" s="228">
        <v>31.79</v>
      </c>
      <c r="DG65" s="228">
        <v>-3.34</v>
      </c>
      <c r="DH65" s="228">
        <v>-0.08</v>
      </c>
      <c r="DI65" s="228">
        <v>28.57</v>
      </c>
      <c r="DJ65" s="228">
        <v>28.53</v>
      </c>
      <c r="DK65" s="228">
        <v>0.04</v>
      </c>
      <c r="DL65" s="228">
        <v>0.04</v>
      </c>
      <c r="DM65" s="228">
        <v>27.94</v>
      </c>
      <c r="DN65" s="228">
        <v>28.87</v>
      </c>
      <c r="DO65" s="228">
        <v>-0.93</v>
      </c>
      <c r="DP65" s="228">
        <v>-0.93</v>
      </c>
      <c r="DQ65" s="228">
        <v>0.56999999999999995</v>
      </c>
      <c r="DR65" s="228">
        <v>0.56999999999999995</v>
      </c>
      <c r="DS65" s="228">
        <v>0</v>
      </c>
      <c r="DT65" s="229">
        <v>0</v>
      </c>
      <c r="DU65" s="228">
        <v>300</v>
      </c>
      <c r="DV65" s="228">
        <v>290</v>
      </c>
      <c r="DW65" s="228">
        <v>0.47</v>
      </c>
      <c r="DX65" s="228">
        <v>0.43</v>
      </c>
      <c r="DY65" s="228">
        <v>0.04</v>
      </c>
      <c r="DZ65" s="229">
        <v>9.2999999999999999E-2</v>
      </c>
      <c r="EA65" s="229">
        <v>9.11E-2</v>
      </c>
      <c r="EB65" s="230">
        <v>7192500</v>
      </c>
      <c r="EC65" s="229">
        <v>5.3E-3</v>
      </c>
      <c r="ED65" s="229">
        <v>9.11E-2</v>
      </c>
      <c r="EE65" s="228">
        <v>1.05</v>
      </c>
      <c r="EF65" s="229">
        <v>3.5999999999999999E-3</v>
      </c>
      <c r="EG65" s="230">
        <v>5415410</v>
      </c>
      <c r="EH65" s="230">
        <v>2718018</v>
      </c>
      <c r="EI65" s="229">
        <v>0.99239999999999995</v>
      </c>
      <c r="EJ65" s="229">
        <v>0.53110000000000002</v>
      </c>
      <c r="EK65" s="231">
        <v>1306.23</v>
      </c>
      <c r="EL65" s="228">
        <v>566.89</v>
      </c>
      <c r="EM65" s="228">
        <v>457.61</v>
      </c>
      <c r="EN65" s="228">
        <v>114.89</v>
      </c>
      <c r="EO65" s="231">
        <v>2330.73</v>
      </c>
      <c r="EP65" s="231">
        <v>2441.65</v>
      </c>
      <c r="EQ65" s="228">
        <v>-110.92</v>
      </c>
      <c r="ER65" s="229">
        <v>-4.5400000000000003E-2</v>
      </c>
      <c r="ES65" s="231">
        <v>1076.94</v>
      </c>
      <c r="ET65" s="228">
        <v>573.39</v>
      </c>
      <c r="EU65" s="231">
        <v>2511.67</v>
      </c>
      <c r="EV65" s="231">
        <v>359450597</v>
      </c>
      <c r="EW65" s="231">
        <v>4161.99</v>
      </c>
      <c r="EX65" s="231">
        <v>4073.29</v>
      </c>
      <c r="EY65" s="228">
        <v>88.7</v>
      </c>
      <c r="EZ65" s="229">
        <v>2.18E-2</v>
      </c>
      <c r="FA65" s="229">
        <v>0.39119999999999999</v>
      </c>
      <c r="FB65" s="227" t="s">
        <v>555</v>
      </c>
      <c r="FC65">
        <f t="shared" si="0"/>
        <v>228</v>
      </c>
    </row>
    <row r="66" spans="1:159" ht="17.25" thickBot="1" x14ac:dyDescent="0.3">
      <c r="A66" s="226">
        <v>46148</v>
      </c>
      <c r="B66" s="227" t="s">
        <v>181</v>
      </c>
      <c r="C66" s="227" t="s">
        <v>480</v>
      </c>
      <c r="D66" s="228">
        <v>60</v>
      </c>
      <c r="E66" s="228">
        <v>20</v>
      </c>
      <c r="F66" s="231">
        <v>26552.7</v>
      </c>
      <c r="G66" s="231">
        <v>25824.3</v>
      </c>
      <c r="H66" s="228">
        <v>728.4</v>
      </c>
      <c r="I66" s="229">
        <v>2.8199999999999999E-2</v>
      </c>
      <c r="J66" s="231">
        <v>26392.75</v>
      </c>
      <c r="K66" s="231">
        <v>25716.9</v>
      </c>
      <c r="L66" s="228">
        <v>675.85</v>
      </c>
      <c r="M66" s="229">
        <v>2.63E-2</v>
      </c>
      <c r="N66" s="231">
        <v>26552.7</v>
      </c>
      <c r="O66" s="231">
        <v>25824.3</v>
      </c>
      <c r="P66" s="228">
        <v>728.4</v>
      </c>
      <c r="Q66" s="229">
        <v>2.8199999999999999E-2</v>
      </c>
      <c r="R66" s="228">
        <v>0</v>
      </c>
      <c r="S66" s="228">
        <v>0</v>
      </c>
      <c r="T66" s="228">
        <v>0</v>
      </c>
      <c r="U66" s="229">
        <v>0</v>
      </c>
      <c r="V66" s="228">
        <v>0</v>
      </c>
      <c r="W66" s="228">
        <v>0</v>
      </c>
      <c r="X66" s="228">
        <v>0</v>
      </c>
      <c r="Y66" s="229">
        <v>0</v>
      </c>
      <c r="Z66" s="228">
        <v>159.94999999999999</v>
      </c>
      <c r="AA66" s="228">
        <v>107.4</v>
      </c>
      <c r="AB66" s="228">
        <v>52.55</v>
      </c>
      <c r="AC66" s="229">
        <v>6.1000000000000004E-3</v>
      </c>
      <c r="AD66" s="228">
        <v>159.94999999999999</v>
      </c>
      <c r="AE66" s="228">
        <v>107.4</v>
      </c>
      <c r="AF66" s="228">
        <v>52.55</v>
      </c>
      <c r="AG66" s="229">
        <v>6.1000000000000004E-3</v>
      </c>
      <c r="AH66" s="228">
        <v>0</v>
      </c>
      <c r="AI66" s="228">
        <v>0</v>
      </c>
      <c r="AJ66" s="228">
        <v>0</v>
      </c>
      <c r="AK66" s="229">
        <v>0</v>
      </c>
      <c r="AL66" s="228">
        <v>0</v>
      </c>
      <c r="AM66" s="228">
        <v>0</v>
      </c>
      <c r="AN66" s="228">
        <v>0</v>
      </c>
      <c r="AO66" s="229">
        <v>0</v>
      </c>
      <c r="AP66" s="231">
        <v>26216.47</v>
      </c>
      <c r="AQ66" s="228">
        <v>0</v>
      </c>
      <c r="AR66" s="228">
        <v>0</v>
      </c>
      <c r="AS66" s="228">
        <v>40</v>
      </c>
      <c r="AT66" s="228">
        <v>16</v>
      </c>
      <c r="AU66" s="228">
        <v>24</v>
      </c>
      <c r="AV66" s="229">
        <v>1.4752000000000001</v>
      </c>
      <c r="AW66" s="228">
        <v>40</v>
      </c>
      <c r="AX66" s="228">
        <v>16</v>
      </c>
      <c r="AY66" s="228">
        <v>24</v>
      </c>
      <c r="AZ66" s="229">
        <v>1.4752000000000001</v>
      </c>
      <c r="BA66" s="228">
        <v>0</v>
      </c>
      <c r="BB66" s="228">
        <v>0</v>
      </c>
      <c r="BC66" s="228">
        <v>0</v>
      </c>
      <c r="BD66" s="229">
        <v>0</v>
      </c>
      <c r="BE66" s="228">
        <v>0</v>
      </c>
      <c r="BF66" s="228">
        <v>0</v>
      </c>
      <c r="BG66" s="228">
        <v>0</v>
      </c>
      <c r="BH66" s="229">
        <v>0</v>
      </c>
      <c r="BI66" s="228">
        <v>986</v>
      </c>
      <c r="BJ66" s="228">
        <v>651</v>
      </c>
      <c r="BK66" s="228">
        <v>335</v>
      </c>
      <c r="BL66" s="229">
        <v>0.5141</v>
      </c>
      <c r="BM66" s="228">
        <v>820</v>
      </c>
      <c r="BN66" s="228">
        <v>385</v>
      </c>
      <c r="BO66" s="228">
        <v>435</v>
      </c>
      <c r="BP66" s="229">
        <v>1.1316999999999999</v>
      </c>
      <c r="BQ66" s="230">
        <v>1846</v>
      </c>
      <c r="BR66" s="230">
        <v>1052</v>
      </c>
      <c r="BS66" s="228">
        <v>794</v>
      </c>
      <c r="BT66" s="229">
        <v>0.75449999999999995</v>
      </c>
      <c r="BU66" s="228">
        <v>0</v>
      </c>
      <c r="BV66" s="228">
        <v>0</v>
      </c>
      <c r="BW66" s="228">
        <v>0</v>
      </c>
      <c r="BX66" s="229">
        <v>0</v>
      </c>
      <c r="BY66" s="228">
        <v>75</v>
      </c>
      <c r="BZ66" s="228">
        <v>76</v>
      </c>
      <c r="CA66" s="228">
        <v>-1</v>
      </c>
      <c r="CB66" s="229">
        <v>-1.26E-2</v>
      </c>
      <c r="CC66" s="228">
        <v>75</v>
      </c>
      <c r="CD66" s="228">
        <v>76</v>
      </c>
      <c r="CE66" s="228">
        <v>-1</v>
      </c>
      <c r="CF66" s="229">
        <v>-1.26E-2</v>
      </c>
      <c r="CG66" s="228">
        <v>0</v>
      </c>
      <c r="CH66" s="228">
        <v>0</v>
      </c>
      <c r="CI66" s="228">
        <v>0</v>
      </c>
      <c r="CJ66" s="229">
        <v>0</v>
      </c>
      <c r="CK66" s="228">
        <v>0</v>
      </c>
      <c r="CL66" s="228">
        <v>0</v>
      </c>
      <c r="CM66" s="228">
        <v>0</v>
      </c>
      <c r="CN66" s="229">
        <v>0</v>
      </c>
      <c r="CO66" s="228">
        <v>508</v>
      </c>
      <c r="CP66" s="228">
        <v>443</v>
      </c>
      <c r="CQ66" s="228">
        <v>65</v>
      </c>
      <c r="CR66" s="229">
        <v>0.14749999999999999</v>
      </c>
      <c r="CS66" s="228">
        <v>404</v>
      </c>
      <c r="CT66" s="228">
        <v>308</v>
      </c>
      <c r="CU66" s="228">
        <v>95</v>
      </c>
      <c r="CV66" s="229">
        <v>0.30969999999999998</v>
      </c>
      <c r="CW66" s="228">
        <v>986</v>
      </c>
      <c r="CX66" s="228">
        <v>827</v>
      </c>
      <c r="CY66" s="228">
        <v>160</v>
      </c>
      <c r="CZ66" s="229">
        <v>0.1933</v>
      </c>
      <c r="DA66" s="228">
        <v>20.170000000000002</v>
      </c>
      <c r="DB66" s="228">
        <v>21.2</v>
      </c>
      <c r="DC66" s="228">
        <v>-1.03</v>
      </c>
      <c r="DD66" s="228">
        <v>-1.03</v>
      </c>
      <c r="DE66" s="228">
        <v>21.67</v>
      </c>
      <c r="DF66" s="228">
        <v>21.44</v>
      </c>
      <c r="DG66" s="228">
        <v>-1.5</v>
      </c>
      <c r="DH66" s="228">
        <v>0.23</v>
      </c>
      <c r="DI66" s="228">
        <v>18.420000000000002</v>
      </c>
      <c r="DJ66" s="228">
        <v>20.62</v>
      </c>
      <c r="DK66" s="228">
        <v>-2.2000000000000002</v>
      </c>
      <c r="DL66" s="228">
        <v>-2.2000000000000002</v>
      </c>
      <c r="DM66" s="228">
        <v>22.26</v>
      </c>
      <c r="DN66" s="228">
        <v>22.18</v>
      </c>
      <c r="DO66" s="228">
        <v>0.08</v>
      </c>
      <c r="DP66" s="228">
        <v>0.08</v>
      </c>
      <c r="DQ66" s="228">
        <v>0.79</v>
      </c>
      <c r="DR66" s="228">
        <v>0.7</v>
      </c>
      <c r="DS66" s="228">
        <v>0.09</v>
      </c>
      <c r="DT66" s="229">
        <v>0.12859999999999999</v>
      </c>
      <c r="DU66" s="231">
        <v>26000</v>
      </c>
      <c r="DV66" s="231">
        <v>26000</v>
      </c>
      <c r="DW66" s="228">
        <v>0.83</v>
      </c>
      <c r="DX66" s="228">
        <v>0.59</v>
      </c>
      <c r="DY66" s="228">
        <v>0.24</v>
      </c>
      <c r="DZ66" s="229">
        <v>0.40679999999999999</v>
      </c>
      <c r="EA66" s="229">
        <v>0</v>
      </c>
      <c r="EB66" s="228">
        <v>0</v>
      </c>
      <c r="EC66" s="229">
        <v>0</v>
      </c>
      <c r="ED66" s="229">
        <v>0</v>
      </c>
      <c r="EE66" s="228">
        <v>0</v>
      </c>
      <c r="EF66" s="229">
        <v>0</v>
      </c>
      <c r="EG66" s="228">
        <v>0</v>
      </c>
      <c r="EH66" s="228">
        <v>0</v>
      </c>
      <c r="EI66" s="229">
        <v>0</v>
      </c>
      <c r="EJ66" s="229">
        <v>0</v>
      </c>
      <c r="EK66" s="231">
        <v>1006.43</v>
      </c>
      <c r="EL66" s="228">
        <v>788.15</v>
      </c>
      <c r="EM66" s="228">
        <v>39.32</v>
      </c>
      <c r="EN66" s="228">
        <v>0</v>
      </c>
      <c r="EO66" s="231">
        <v>1833.9</v>
      </c>
      <c r="EP66" s="231">
        <v>1053.07</v>
      </c>
      <c r="EQ66" s="228">
        <v>780.83</v>
      </c>
      <c r="ER66" s="229">
        <v>0.74150000000000005</v>
      </c>
      <c r="ES66" s="228">
        <v>521.67999999999995</v>
      </c>
      <c r="ET66" s="228">
        <v>369.88</v>
      </c>
      <c r="EU66" s="228">
        <v>74.72</v>
      </c>
      <c r="EV66" s="228">
        <v>0</v>
      </c>
      <c r="EW66" s="228">
        <v>966.29</v>
      </c>
      <c r="EX66" s="228">
        <v>810.26</v>
      </c>
      <c r="EY66" s="228">
        <v>156.03</v>
      </c>
      <c r="EZ66" s="229">
        <v>0.19259999999999999</v>
      </c>
      <c r="FA66" s="229">
        <v>0</v>
      </c>
      <c r="FB66" s="227" t="s">
        <v>691</v>
      </c>
      <c r="FC66">
        <f t="shared" si="0"/>
        <v>0</v>
      </c>
    </row>
    <row r="67" spans="1:159" ht="17.25" thickBot="1" x14ac:dyDescent="0.3">
      <c r="A67" s="226">
        <v>46148</v>
      </c>
      <c r="B67" s="227" t="s">
        <v>162</v>
      </c>
      <c r="C67" s="227" t="s">
        <v>698</v>
      </c>
      <c r="D67" s="228">
        <v>25</v>
      </c>
      <c r="E67" s="228">
        <v>20</v>
      </c>
      <c r="F67" s="231">
        <v>20183</v>
      </c>
      <c r="G67" s="231">
        <v>18966</v>
      </c>
      <c r="H67" s="231">
        <v>1217</v>
      </c>
      <c r="I67" s="229">
        <v>6.4199999999999993E-2</v>
      </c>
      <c r="J67" s="231">
        <v>20173</v>
      </c>
      <c r="K67" s="231">
        <v>18963</v>
      </c>
      <c r="L67" s="231">
        <v>1210</v>
      </c>
      <c r="M67" s="229">
        <v>6.3799999999999996E-2</v>
      </c>
      <c r="N67" s="231">
        <v>20183</v>
      </c>
      <c r="O67" s="231">
        <v>18966</v>
      </c>
      <c r="P67" s="231">
        <v>1217</v>
      </c>
      <c r="Q67" s="229">
        <v>6.4199999999999993E-2</v>
      </c>
      <c r="R67" s="231">
        <v>20028</v>
      </c>
      <c r="S67" s="231">
        <v>18674</v>
      </c>
      <c r="T67" s="231">
        <v>1354</v>
      </c>
      <c r="U67" s="229">
        <v>7.2499999999999995E-2</v>
      </c>
      <c r="V67" s="231">
        <v>19878</v>
      </c>
      <c r="W67" s="231">
        <v>18594</v>
      </c>
      <c r="X67" s="231">
        <v>1284</v>
      </c>
      <c r="Y67" s="229">
        <v>6.9099999999999995E-2</v>
      </c>
      <c r="Z67" s="228">
        <v>10</v>
      </c>
      <c r="AA67" s="228">
        <v>3</v>
      </c>
      <c r="AB67" s="228">
        <v>7</v>
      </c>
      <c r="AC67" s="229">
        <v>5.0000000000000001E-4</v>
      </c>
      <c r="AD67" s="228">
        <v>10</v>
      </c>
      <c r="AE67" s="228">
        <v>3</v>
      </c>
      <c r="AF67" s="228">
        <v>7</v>
      </c>
      <c r="AG67" s="229">
        <v>5.0000000000000001E-4</v>
      </c>
      <c r="AH67" s="228">
        <v>-145</v>
      </c>
      <c r="AI67" s="228">
        <v>-289</v>
      </c>
      <c r="AJ67" s="228">
        <v>144</v>
      </c>
      <c r="AK67" s="229">
        <v>-7.1999999999999998E-3</v>
      </c>
      <c r="AL67" s="228">
        <v>-295</v>
      </c>
      <c r="AM67" s="228">
        <v>-369</v>
      </c>
      <c r="AN67" s="228">
        <v>74</v>
      </c>
      <c r="AO67" s="229">
        <v>-1.46E-2</v>
      </c>
      <c r="AP67" s="231">
        <v>20094.27</v>
      </c>
      <c r="AQ67" s="231">
        <v>19944.150000000001</v>
      </c>
      <c r="AR67" s="228">
        <v>0</v>
      </c>
      <c r="AS67" s="228">
        <v>275</v>
      </c>
      <c r="AT67" s="228">
        <v>121</v>
      </c>
      <c r="AU67" s="228">
        <v>154</v>
      </c>
      <c r="AV67" s="229">
        <v>1.2737000000000001</v>
      </c>
      <c r="AW67" s="228">
        <v>228</v>
      </c>
      <c r="AX67" s="228">
        <v>108</v>
      </c>
      <c r="AY67" s="228">
        <v>120</v>
      </c>
      <c r="AZ67" s="229">
        <v>1.1153999999999999</v>
      </c>
      <c r="BA67" s="228">
        <v>42</v>
      </c>
      <c r="BB67" s="228">
        <v>11</v>
      </c>
      <c r="BC67" s="228">
        <v>31</v>
      </c>
      <c r="BD67" s="229">
        <v>2.6858</v>
      </c>
      <c r="BE67" s="228">
        <v>4</v>
      </c>
      <c r="BF67" s="228">
        <v>1</v>
      </c>
      <c r="BG67" s="228">
        <v>3</v>
      </c>
      <c r="BH67" s="229">
        <v>2</v>
      </c>
      <c r="BI67" s="230">
        <v>1264</v>
      </c>
      <c r="BJ67" s="228">
        <v>284</v>
      </c>
      <c r="BK67" s="228">
        <v>980</v>
      </c>
      <c r="BL67" s="229">
        <v>3.4563999999999999</v>
      </c>
      <c r="BM67" s="228">
        <v>389</v>
      </c>
      <c r="BN67" s="228">
        <v>126</v>
      </c>
      <c r="BO67" s="228">
        <v>263</v>
      </c>
      <c r="BP67" s="229">
        <v>2.0872999999999999</v>
      </c>
      <c r="BQ67" s="230">
        <v>1927</v>
      </c>
      <c r="BR67" s="228">
        <v>530</v>
      </c>
      <c r="BS67" s="230">
        <v>1397</v>
      </c>
      <c r="BT67" s="229">
        <v>2.6341999999999999</v>
      </c>
      <c r="BU67" s="230">
        <v>275979</v>
      </c>
      <c r="BV67" s="230">
        <v>142314</v>
      </c>
      <c r="BW67" s="230">
        <v>133665</v>
      </c>
      <c r="BX67" s="229">
        <v>0.93920000000000003</v>
      </c>
      <c r="BY67" s="228">
        <v>593</v>
      </c>
      <c r="BZ67" s="228">
        <v>589</v>
      </c>
      <c r="CA67" s="228">
        <v>4</v>
      </c>
      <c r="CB67" s="229">
        <v>6.8999999999999999E-3</v>
      </c>
      <c r="CC67" s="228">
        <v>542</v>
      </c>
      <c r="CD67" s="228">
        <v>556</v>
      </c>
      <c r="CE67" s="228">
        <v>-14</v>
      </c>
      <c r="CF67" s="229">
        <v>-2.58E-2</v>
      </c>
      <c r="CG67" s="228">
        <v>47</v>
      </c>
      <c r="CH67" s="228">
        <v>29</v>
      </c>
      <c r="CI67" s="228">
        <v>18</v>
      </c>
      <c r="CJ67" s="229">
        <v>0.6391</v>
      </c>
      <c r="CK67" s="228">
        <v>4</v>
      </c>
      <c r="CL67" s="228">
        <v>4</v>
      </c>
      <c r="CM67" s="228">
        <v>0</v>
      </c>
      <c r="CN67" s="229">
        <v>2.7400000000000001E-2</v>
      </c>
      <c r="CO67" s="228">
        <v>315</v>
      </c>
      <c r="CP67" s="228">
        <v>325</v>
      </c>
      <c r="CQ67" s="228">
        <v>-10</v>
      </c>
      <c r="CR67" s="229">
        <v>-3.0499999999999999E-2</v>
      </c>
      <c r="CS67" s="228">
        <v>142</v>
      </c>
      <c r="CT67" s="228">
        <v>110</v>
      </c>
      <c r="CU67" s="228">
        <v>32</v>
      </c>
      <c r="CV67" s="229">
        <v>0.29199999999999998</v>
      </c>
      <c r="CW67" s="230">
        <v>1049</v>
      </c>
      <c r="CX67" s="230">
        <v>1023</v>
      </c>
      <c r="CY67" s="228">
        <v>26</v>
      </c>
      <c r="CZ67" s="229">
        <v>2.5600000000000001E-2</v>
      </c>
      <c r="DA67" s="228">
        <v>52.81</v>
      </c>
      <c r="DB67" s="228">
        <v>54.34</v>
      </c>
      <c r="DC67" s="228">
        <v>-1.53</v>
      </c>
      <c r="DD67" s="228">
        <v>-1.53</v>
      </c>
      <c r="DE67" s="228">
        <v>65.739999999999995</v>
      </c>
      <c r="DF67" s="228">
        <v>65.36</v>
      </c>
      <c r="DG67" s="228">
        <v>-12.93</v>
      </c>
      <c r="DH67" s="228">
        <v>0.38</v>
      </c>
      <c r="DI67" s="228">
        <v>52.74</v>
      </c>
      <c r="DJ67" s="228">
        <v>54.91</v>
      </c>
      <c r="DK67" s="228">
        <v>-2.17</v>
      </c>
      <c r="DL67" s="228">
        <v>-2.17</v>
      </c>
      <c r="DM67" s="228">
        <v>53.05</v>
      </c>
      <c r="DN67" s="228">
        <v>53.06</v>
      </c>
      <c r="DO67" s="228">
        <v>-0.01</v>
      </c>
      <c r="DP67" s="228">
        <v>-0.01</v>
      </c>
      <c r="DQ67" s="228">
        <v>0.45</v>
      </c>
      <c r="DR67" s="228">
        <v>0.34</v>
      </c>
      <c r="DS67" s="228">
        <v>0.11</v>
      </c>
      <c r="DT67" s="229">
        <v>0.32350000000000001</v>
      </c>
      <c r="DU67" s="231">
        <v>23000</v>
      </c>
      <c r="DV67" s="231">
        <v>19000</v>
      </c>
      <c r="DW67" s="228">
        <v>0.31</v>
      </c>
      <c r="DX67" s="228">
        <v>0.44</v>
      </c>
      <c r="DY67" s="228">
        <v>-0.13</v>
      </c>
      <c r="DZ67" s="229">
        <v>-0.29549999999999998</v>
      </c>
      <c r="EA67" s="229">
        <v>8.5599999999999996E-2</v>
      </c>
      <c r="EB67" s="230">
        <v>16025</v>
      </c>
      <c r="EC67" s="229">
        <v>-7.7000000000000002E-3</v>
      </c>
      <c r="ED67" s="229">
        <v>8.5599999999999996E-2</v>
      </c>
      <c r="EE67" s="228">
        <v>-150.12</v>
      </c>
      <c r="EF67" s="229">
        <v>-7.4999999999999997E-3</v>
      </c>
      <c r="EG67" s="230">
        <v>76932</v>
      </c>
      <c r="EH67" s="230">
        <v>43973</v>
      </c>
      <c r="EI67" s="229">
        <v>0.74950000000000006</v>
      </c>
      <c r="EJ67" s="229">
        <v>0.27879999999999999</v>
      </c>
      <c r="EK67" s="231">
        <v>1391.29</v>
      </c>
      <c r="EL67" s="228">
        <v>365.06</v>
      </c>
      <c r="EM67" s="228">
        <v>272.95999999999998</v>
      </c>
      <c r="EN67" s="228">
        <v>36.049999999999997</v>
      </c>
      <c r="EO67" s="231">
        <v>2029.32</v>
      </c>
      <c r="EP67" s="228">
        <v>538.30999999999995</v>
      </c>
      <c r="EQ67" s="231">
        <v>1491.01</v>
      </c>
      <c r="ER67" s="229">
        <v>2.7698</v>
      </c>
      <c r="ES67" s="228">
        <v>352.63</v>
      </c>
      <c r="ET67" s="228">
        <v>130.61000000000001</v>
      </c>
      <c r="EU67" s="228">
        <v>592.41</v>
      </c>
      <c r="EV67" s="231">
        <v>736885</v>
      </c>
      <c r="EW67" s="231">
        <v>1075.6400000000001</v>
      </c>
      <c r="EX67" s="231">
        <v>1014.37</v>
      </c>
      <c r="EY67" s="228">
        <v>61.27</v>
      </c>
      <c r="EZ67" s="229">
        <v>6.0400000000000002E-2</v>
      </c>
      <c r="FA67" s="229">
        <v>0.70550000000000002</v>
      </c>
      <c r="FB67" s="227" t="s">
        <v>555</v>
      </c>
      <c r="FC67">
        <f t="shared" ref="FC67:FC130" si="1">BY67-CC67</f>
        <v>51</v>
      </c>
    </row>
    <row r="68" spans="1:159" ht="17.25" thickBot="1" x14ac:dyDescent="0.3">
      <c r="A68" s="226">
        <v>46148</v>
      </c>
      <c r="B68" s="227" t="s">
        <v>170</v>
      </c>
      <c r="C68" s="227" t="s">
        <v>674</v>
      </c>
      <c r="D68" s="228">
        <v>775</v>
      </c>
      <c r="E68" s="228">
        <v>20</v>
      </c>
      <c r="F68" s="228">
        <v>964.25</v>
      </c>
      <c r="G68" s="228">
        <v>952.05</v>
      </c>
      <c r="H68" s="228">
        <v>12.2</v>
      </c>
      <c r="I68" s="229">
        <v>1.2800000000000001E-2</v>
      </c>
      <c r="J68" s="228">
        <v>956.9</v>
      </c>
      <c r="K68" s="228">
        <v>949.55</v>
      </c>
      <c r="L68" s="228">
        <v>7.35</v>
      </c>
      <c r="M68" s="229">
        <v>7.7000000000000002E-3</v>
      </c>
      <c r="N68" s="228">
        <v>964.25</v>
      </c>
      <c r="O68" s="228">
        <v>952.05</v>
      </c>
      <c r="P68" s="228">
        <v>12.2</v>
      </c>
      <c r="Q68" s="229">
        <v>1.2800000000000001E-2</v>
      </c>
      <c r="R68" s="228">
        <v>970.15</v>
      </c>
      <c r="S68" s="228">
        <v>957.4</v>
      </c>
      <c r="T68" s="228">
        <v>12.75</v>
      </c>
      <c r="U68" s="229">
        <v>1.3299999999999999E-2</v>
      </c>
      <c r="V68" s="228">
        <v>973.1</v>
      </c>
      <c r="W68" s="228">
        <v>955</v>
      </c>
      <c r="X68" s="228">
        <v>18.100000000000001</v>
      </c>
      <c r="Y68" s="229">
        <v>1.9E-2</v>
      </c>
      <c r="Z68" s="228">
        <v>7.35</v>
      </c>
      <c r="AA68" s="228">
        <v>2.5</v>
      </c>
      <c r="AB68" s="228">
        <v>4.8499999999999996</v>
      </c>
      <c r="AC68" s="229">
        <v>7.7000000000000002E-3</v>
      </c>
      <c r="AD68" s="228">
        <v>7.35</v>
      </c>
      <c r="AE68" s="228">
        <v>2.5</v>
      </c>
      <c r="AF68" s="228">
        <v>4.8499999999999996</v>
      </c>
      <c r="AG68" s="229">
        <v>7.7000000000000002E-3</v>
      </c>
      <c r="AH68" s="228">
        <v>13.25</v>
      </c>
      <c r="AI68" s="228">
        <v>7.85</v>
      </c>
      <c r="AJ68" s="228">
        <v>5.4</v>
      </c>
      <c r="AK68" s="229">
        <v>1.38E-2</v>
      </c>
      <c r="AL68" s="228">
        <v>16.2</v>
      </c>
      <c r="AM68" s="228">
        <v>5.45</v>
      </c>
      <c r="AN68" s="228">
        <v>10.75</v>
      </c>
      <c r="AO68" s="229">
        <v>1.6899999999999998E-2</v>
      </c>
      <c r="AP68" s="228">
        <v>958.07</v>
      </c>
      <c r="AQ68" s="228">
        <v>964.42</v>
      </c>
      <c r="AR68" s="228">
        <v>0</v>
      </c>
      <c r="AS68" s="228">
        <v>82</v>
      </c>
      <c r="AT68" s="228">
        <v>62</v>
      </c>
      <c r="AU68" s="228">
        <v>20</v>
      </c>
      <c r="AV68" s="229">
        <v>0.32769999999999999</v>
      </c>
      <c r="AW68" s="228">
        <v>79</v>
      </c>
      <c r="AX68" s="228">
        <v>56</v>
      </c>
      <c r="AY68" s="228">
        <v>23</v>
      </c>
      <c r="AZ68" s="229">
        <v>0.41539999999999999</v>
      </c>
      <c r="BA68" s="228">
        <v>2</v>
      </c>
      <c r="BB68" s="228">
        <v>5</v>
      </c>
      <c r="BC68" s="228">
        <v>-3</v>
      </c>
      <c r="BD68" s="229">
        <v>-0.60560000000000003</v>
      </c>
      <c r="BE68" s="228">
        <v>0</v>
      </c>
      <c r="BF68" s="228">
        <v>0</v>
      </c>
      <c r="BG68" s="228">
        <v>0</v>
      </c>
      <c r="BH68" s="229">
        <v>0.5</v>
      </c>
      <c r="BI68" s="228">
        <v>158</v>
      </c>
      <c r="BJ68" s="228">
        <v>120</v>
      </c>
      <c r="BK68" s="228">
        <v>38</v>
      </c>
      <c r="BL68" s="229">
        <v>0.31919999999999998</v>
      </c>
      <c r="BM68" s="228">
        <v>49</v>
      </c>
      <c r="BN68" s="228">
        <v>41</v>
      </c>
      <c r="BO68" s="228">
        <v>8</v>
      </c>
      <c r="BP68" s="229">
        <v>0.20150000000000001</v>
      </c>
      <c r="BQ68" s="228">
        <v>290</v>
      </c>
      <c r="BR68" s="228">
        <v>223</v>
      </c>
      <c r="BS68" s="228">
        <v>67</v>
      </c>
      <c r="BT68" s="229">
        <v>0.29980000000000001</v>
      </c>
      <c r="BU68" s="230">
        <v>850685</v>
      </c>
      <c r="BV68" s="230">
        <v>957385</v>
      </c>
      <c r="BW68" s="230">
        <v>-106700</v>
      </c>
      <c r="BX68" s="229">
        <v>-0.1114</v>
      </c>
      <c r="BY68" s="228">
        <v>906</v>
      </c>
      <c r="BZ68" s="228">
        <v>910</v>
      </c>
      <c r="CA68" s="228">
        <v>-3</v>
      </c>
      <c r="CB68" s="229">
        <v>-3.5000000000000001E-3</v>
      </c>
      <c r="CC68" s="228">
        <v>721</v>
      </c>
      <c r="CD68" s="228">
        <v>725</v>
      </c>
      <c r="CE68" s="228">
        <v>-4</v>
      </c>
      <c r="CF68" s="229">
        <v>-5.3E-3</v>
      </c>
      <c r="CG68" s="228">
        <v>185</v>
      </c>
      <c r="CH68" s="228">
        <v>184</v>
      </c>
      <c r="CI68" s="228">
        <v>1</v>
      </c>
      <c r="CJ68" s="229">
        <v>3.2000000000000002E-3</v>
      </c>
      <c r="CK68" s="228">
        <v>0</v>
      </c>
      <c r="CL68" s="228">
        <v>0</v>
      </c>
      <c r="CM68" s="228">
        <v>0</v>
      </c>
      <c r="CN68" s="229">
        <v>0.2</v>
      </c>
      <c r="CO68" s="228">
        <v>187</v>
      </c>
      <c r="CP68" s="228">
        <v>159</v>
      </c>
      <c r="CQ68" s="228">
        <v>28</v>
      </c>
      <c r="CR68" s="229">
        <v>0.17319999999999999</v>
      </c>
      <c r="CS68" s="228">
        <v>75</v>
      </c>
      <c r="CT68" s="228">
        <v>79</v>
      </c>
      <c r="CU68" s="228">
        <v>-4</v>
      </c>
      <c r="CV68" s="229">
        <v>-5.57E-2</v>
      </c>
      <c r="CW68" s="230">
        <v>1168</v>
      </c>
      <c r="CX68" s="230">
        <v>1148</v>
      </c>
      <c r="CY68" s="228">
        <v>20</v>
      </c>
      <c r="CZ68" s="229">
        <v>1.7399999999999999E-2</v>
      </c>
      <c r="DA68" s="228">
        <v>28.89</v>
      </c>
      <c r="DB68" s="228">
        <v>30.43</v>
      </c>
      <c r="DC68" s="228">
        <v>-1.54</v>
      </c>
      <c r="DD68" s="228">
        <v>-1.54</v>
      </c>
      <c r="DE68" s="228">
        <v>35.15</v>
      </c>
      <c r="DF68" s="228">
        <v>35.229999999999997</v>
      </c>
      <c r="DG68" s="228">
        <v>-6.26</v>
      </c>
      <c r="DH68" s="228">
        <v>-0.08</v>
      </c>
      <c r="DI68" s="228">
        <v>28.36</v>
      </c>
      <c r="DJ68" s="228">
        <v>29.88</v>
      </c>
      <c r="DK68" s="228">
        <v>-1.52</v>
      </c>
      <c r="DL68" s="228">
        <v>-1.52</v>
      </c>
      <c r="DM68" s="228">
        <v>30.59</v>
      </c>
      <c r="DN68" s="228">
        <v>32.049999999999997</v>
      </c>
      <c r="DO68" s="228">
        <v>-1.46</v>
      </c>
      <c r="DP68" s="228">
        <v>-1.46</v>
      </c>
      <c r="DQ68" s="228">
        <v>0.4</v>
      </c>
      <c r="DR68" s="228">
        <v>0.5</v>
      </c>
      <c r="DS68" s="228">
        <v>-0.1</v>
      </c>
      <c r="DT68" s="229">
        <v>-0.2</v>
      </c>
      <c r="DU68" s="231">
        <v>1000</v>
      </c>
      <c r="DV68" s="228">
        <v>900</v>
      </c>
      <c r="DW68" s="228">
        <v>0.31</v>
      </c>
      <c r="DX68" s="228">
        <v>0.34</v>
      </c>
      <c r="DY68" s="228">
        <v>-0.03</v>
      </c>
      <c r="DZ68" s="229">
        <v>-8.8200000000000001E-2</v>
      </c>
      <c r="EA68" s="229">
        <v>0.20449999999999999</v>
      </c>
      <c r="EB68" s="230">
        <v>1915025</v>
      </c>
      <c r="EC68" s="229">
        <v>6.1000000000000004E-3</v>
      </c>
      <c r="ED68" s="229">
        <v>0.20449999999999999</v>
      </c>
      <c r="EE68" s="228">
        <v>6.35</v>
      </c>
      <c r="EF68" s="229">
        <v>6.6E-3</v>
      </c>
      <c r="EG68" s="230">
        <v>441905</v>
      </c>
      <c r="EH68" s="230">
        <v>466043</v>
      </c>
      <c r="EI68" s="229">
        <v>-5.1799999999999999E-2</v>
      </c>
      <c r="EJ68" s="229">
        <v>0.51949999999999996</v>
      </c>
      <c r="EK68" s="228">
        <v>165.09</v>
      </c>
      <c r="EL68" s="228">
        <v>47.98</v>
      </c>
      <c r="EM68" s="228">
        <v>81.25</v>
      </c>
      <c r="EN68" s="228">
        <v>11.13</v>
      </c>
      <c r="EO68" s="228">
        <v>294.31</v>
      </c>
      <c r="EP68" s="228">
        <v>225.56</v>
      </c>
      <c r="EQ68" s="228">
        <v>68.760000000000005</v>
      </c>
      <c r="ER68" s="229">
        <v>0.30480000000000002</v>
      </c>
      <c r="ES68" s="228">
        <v>188</v>
      </c>
      <c r="ET68" s="228">
        <v>70.86</v>
      </c>
      <c r="EU68" s="228">
        <v>907.53</v>
      </c>
      <c r="EV68" s="231">
        <v>70894446</v>
      </c>
      <c r="EW68" s="231">
        <v>1166.3900000000001</v>
      </c>
      <c r="EX68" s="231">
        <v>1132.6600000000001</v>
      </c>
      <c r="EY68" s="228">
        <v>33.729999999999997</v>
      </c>
      <c r="EZ68" s="229">
        <v>2.98E-2</v>
      </c>
      <c r="FA68" s="229">
        <v>0.1709</v>
      </c>
      <c r="FB68" s="227" t="s">
        <v>691</v>
      </c>
      <c r="FC68">
        <f t="shared" si="1"/>
        <v>185</v>
      </c>
    </row>
    <row r="69" spans="1:159" ht="17.25" thickBot="1" x14ac:dyDescent="0.3">
      <c r="A69" s="226">
        <v>46148</v>
      </c>
      <c r="B69" s="227" t="s">
        <v>193</v>
      </c>
      <c r="C69" s="227" t="s">
        <v>213</v>
      </c>
      <c r="D69" s="228">
        <v>3150</v>
      </c>
      <c r="E69" s="228">
        <v>20</v>
      </c>
      <c r="F69" s="228">
        <v>166.36</v>
      </c>
      <c r="G69" s="228">
        <v>164.58</v>
      </c>
      <c r="H69" s="228">
        <v>1.78</v>
      </c>
      <c r="I69" s="229">
        <v>1.0800000000000001E-2</v>
      </c>
      <c r="J69" s="228">
        <v>165.68</v>
      </c>
      <c r="K69" s="228">
        <v>163.69999999999999</v>
      </c>
      <c r="L69" s="228">
        <v>1.98</v>
      </c>
      <c r="M69" s="229">
        <v>1.21E-2</v>
      </c>
      <c r="N69" s="228">
        <v>166.36</v>
      </c>
      <c r="O69" s="228">
        <v>164.58</v>
      </c>
      <c r="P69" s="228">
        <v>1.78</v>
      </c>
      <c r="Q69" s="229">
        <v>1.0800000000000001E-2</v>
      </c>
      <c r="R69" s="228">
        <v>167.35</v>
      </c>
      <c r="S69" s="228">
        <v>165.72</v>
      </c>
      <c r="T69" s="228">
        <v>1.63</v>
      </c>
      <c r="U69" s="229">
        <v>9.7999999999999997E-3</v>
      </c>
      <c r="V69" s="228">
        <v>168.5</v>
      </c>
      <c r="W69" s="228">
        <v>166.2</v>
      </c>
      <c r="X69" s="228">
        <v>2.2999999999999998</v>
      </c>
      <c r="Y69" s="229">
        <v>1.38E-2</v>
      </c>
      <c r="Z69" s="228">
        <v>0.68</v>
      </c>
      <c r="AA69" s="228">
        <v>0.88</v>
      </c>
      <c r="AB69" s="228">
        <v>-0.2</v>
      </c>
      <c r="AC69" s="229">
        <v>4.1000000000000003E-3</v>
      </c>
      <c r="AD69" s="228">
        <v>0.68</v>
      </c>
      <c r="AE69" s="228">
        <v>0.88</v>
      </c>
      <c r="AF69" s="228">
        <v>-0.2</v>
      </c>
      <c r="AG69" s="229">
        <v>4.1000000000000003E-3</v>
      </c>
      <c r="AH69" s="228">
        <v>1.67</v>
      </c>
      <c r="AI69" s="228">
        <v>2.02</v>
      </c>
      <c r="AJ69" s="228">
        <v>-0.35</v>
      </c>
      <c r="AK69" s="229">
        <v>1.01E-2</v>
      </c>
      <c r="AL69" s="228">
        <v>2.82</v>
      </c>
      <c r="AM69" s="228">
        <v>2.5</v>
      </c>
      <c r="AN69" s="228">
        <v>0.32</v>
      </c>
      <c r="AO69" s="229">
        <v>1.7000000000000001E-2</v>
      </c>
      <c r="AP69" s="228">
        <v>165.62</v>
      </c>
      <c r="AQ69" s="228">
        <v>166.89</v>
      </c>
      <c r="AR69" s="228">
        <v>0</v>
      </c>
      <c r="AS69" s="228">
        <v>82</v>
      </c>
      <c r="AT69" s="228">
        <v>160</v>
      </c>
      <c r="AU69" s="228">
        <v>-78</v>
      </c>
      <c r="AV69" s="229">
        <v>-0.48870000000000002</v>
      </c>
      <c r="AW69" s="228">
        <v>76</v>
      </c>
      <c r="AX69" s="228">
        <v>155</v>
      </c>
      <c r="AY69" s="228">
        <v>-78</v>
      </c>
      <c r="AZ69" s="229">
        <v>-0.50580000000000003</v>
      </c>
      <c r="BA69" s="228">
        <v>4</v>
      </c>
      <c r="BB69" s="228">
        <v>5</v>
      </c>
      <c r="BC69" s="228">
        <v>0</v>
      </c>
      <c r="BD69" s="229">
        <v>-9.1999999999999998E-2</v>
      </c>
      <c r="BE69" s="228">
        <v>1</v>
      </c>
      <c r="BF69" s="228">
        <v>1</v>
      </c>
      <c r="BG69" s="228">
        <v>0</v>
      </c>
      <c r="BH69" s="229">
        <v>0.64290000000000003</v>
      </c>
      <c r="BI69" s="228">
        <v>219</v>
      </c>
      <c r="BJ69" s="228">
        <v>188</v>
      </c>
      <c r="BK69" s="228">
        <v>31</v>
      </c>
      <c r="BL69" s="229">
        <v>0.1656</v>
      </c>
      <c r="BM69" s="228">
        <v>105</v>
      </c>
      <c r="BN69" s="228">
        <v>110</v>
      </c>
      <c r="BO69" s="228">
        <v>-5</v>
      </c>
      <c r="BP69" s="229">
        <v>-4.1500000000000002E-2</v>
      </c>
      <c r="BQ69" s="228">
        <v>406</v>
      </c>
      <c r="BR69" s="228">
        <v>458</v>
      </c>
      <c r="BS69" s="228">
        <v>-52</v>
      </c>
      <c r="BT69" s="229">
        <v>-0.11260000000000001</v>
      </c>
      <c r="BU69" s="230">
        <v>4701896</v>
      </c>
      <c r="BV69" s="230">
        <v>14785432</v>
      </c>
      <c r="BW69" s="230">
        <v>-10083536</v>
      </c>
      <c r="BX69" s="229">
        <v>-0.68200000000000005</v>
      </c>
      <c r="BY69" s="230">
        <v>1238</v>
      </c>
      <c r="BZ69" s="230">
        <v>1233</v>
      </c>
      <c r="CA69" s="228">
        <v>5</v>
      </c>
      <c r="CB69" s="229">
        <v>3.8999999999999998E-3</v>
      </c>
      <c r="CC69" s="230">
        <v>1137</v>
      </c>
      <c r="CD69" s="230">
        <v>1133</v>
      </c>
      <c r="CE69" s="228">
        <v>4</v>
      </c>
      <c r="CF69" s="229">
        <v>3.3E-3</v>
      </c>
      <c r="CG69" s="228">
        <v>99</v>
      </c>
      <c r="CH69" s="228">
        <v>99</v>
      </c>
      <c r="CI69" s="228">
        <v>0</v>
      </c>
      <c r="CJ69" s="229">
        <v>1.6000000000000001E-3</v>
      </c>
      <c r="CK69" s="228">
        <v>2</v>
      </c>
      <c r="CL69" s="228">
        <v>1</v>
      </c>
      <c r="CM69" s="228">
        <v>1</v>
      </c>
      <c r="CN69" s="229">
        <v>0.88890000000000002</v>
      </c>
      <c r="CO69" s="228">
        <v>333</v>
      </c>
      <c r="CP69" s="228">
        <v>295</v>
      </c>
      <c r="CQ69" s="228">
        <v>38</v>
      </c>
      <c r="CR69" s="229">
        <v>0.12909999999999999</v>
      </c>
      <c r="CS69" s="228">
        <v>317</v>
      </c>
      <c r="CT69" s="228">
        <v>305</v>
      </c>
      <c r="CU69" s="228">
        <v>12</v>
      </c>
      <c r="CV69" s="229">
        <v>4.0099999999999997E-2</v>
      </c>
      <c r="CW69" s="230">
        <v>1888</v>
      </c>
      <c r="CX69" s="230">
        <v>1832</v>
      </c>
      <c r="CY69" s="228">
        <v>55</v>
      </c>
      <c r="CZ69" s="229">
        <v>3.0099999999999998E-2</v>
      </c>
      <c r="DA69" s="228">
        <v>30.33</v>
      </c>
      <c r="DB69" s="228">
        <v>30.41</v>
      </c>
      <c r="DC69" s="228">
        <v>-0.08</v>
      </c>
      <c r="DD69" s="228">
        <v>-0.08</v>
      </c>
      <c r="DE69" s="228">
        <v>35.03</v>
      </c>
      <c r="DF69" s="228">
        <v>35.090000000000003</v>
      </c>
      <c r="DG69" s="228">
        <v>-4.7</v>
      </c>
      <c r="DH69" s="228">
        <v>-0.06</v>
      </c>
      <c r="DI69" s="228">
        <v>29.85</v>
      </c>
      <c r="DJ69" s="228">
        <v>30.16</v>
      </c>
      <c r="DK69" s="228">
        <v>-0.31</v>
      </c>
      <c r="DL69" s="228">
        <v>-0.31</v>
      </c>
      <c r="DM69" s="228">
        <v>31.34</v>
      </c>
      <c r="DN69" s="228">
        <v>30.83</v>
      </c>
      <c r="DO69" s="228">
        <v>0.51</v>
      </c>
      <c r="DP69" s="228">
        <v>0.51</v>
      </c>
      <c r="DQ69" s="228">
        <v>0.95</v>
      </c>
      <c r="DR69" s="228">
        <v>1.03</v>
      </c>
      <c r="DS69" s="228">
        <v>-0.08</v>
      </c>
      <c r="DT69" s="229">
        <v>-7.7700000000000005E-2</v>
      </c>
      <c r="DU69" s="228">
        <v>170</v>
      </c>
      <c r="DV69" s="228">
        <v>192</v>
      </c>
      <c r="DW69" s="228">
        <v>0.48</v>
      </c>
      <c r="DX69" s="228">
        <v>0.57999999999999996</v>
      </c>
      <c r="DY69" s="228">
        <v>-0.1</v>
      </c>
      <c r="DZ69" s="229">
        <v>-0.1724</v>
      </c>
      <c r="EA69" s="229">
        <v>8.1799999999999998E-2</v>
      </c>
      <c r="EB69" s="230">
        <v>6020550</v>
      </c>
      <c r="EC69" s="229">
        <v>6.0000000000000001E-3</v>
      </c>
      <c r="ED69" s="229">
        <v>8.1799999999999998E-2</v>
      </c>
      <c r="EE69" s="228">
        <v>1.27</v>
      </c>
      <c r="EF69" s="229">
        <v>7.7000000000000002E-3</v>
      </c>
      <c r="EG69" s="230">
        <v>2467478</v>
      </c>
      <c r="EH69" s="230">
        <v>10569164</v>
      </c>
      <c r="EI69" s="229">
        <v>-0.76649999999999996</v>
      </c>
      <c r="EJ69" s="229">
        <v>0.52480000000000004</v>
      </c>
      <c r="EK69" s="228">
        <v>231.36</v>
      </c>
      <c r="EL69" s="228">
        <v>103.11</v>
      </c>
      <c r="EM69" s="228">
        <v>81.64</v>
      </c>
      <c r="EN69" s="228">
        <v>29.54</v>
      </c>
      <c r="EO69" s="228">
        <v>416.1</v>
      </c>
      <c r="EP69" s="228">
        <v>464.92</v>
      </c>
      <c r="EQ69" s="228">
        <v>-48.82</v>
      </c>
      <c r="ER69" s="229">
        <v>-0.105</v>
      </c>
      <c r="ES69" s="228">
        <v>342.14</v>
      </c>
      <c r="ET69" s="228">
        <v>316.02</v>
      </c>
      <c r="EU69" s="231">
        <v>1238.6600000000001</v>
      </c>
      <c r="EV69" s="231">
        <v>471255857</v>
      </c>
      <c r="EW69" s="231">
        <v>1896.83</v>
      </c>
      <c r="EX69" s="231">
        <v>1826.6</v>
      </c>
      <c r="EY69" s="228">
        <v>70.23</v>
      </c>
      <c r="EZ69" s="229">
        <v>3.8399999999999997E-2</v>
      </c>
      <c r="FA69" s="229">
        <v>0.24079999999999999</v>
      </c>
      <c r="FB69" s="227" t="s">
        <v>555</v>
      </c>
      <c r="FC69">
        <f t="shared" si="1"/>
        <v>101</v>
      </c>
    </row>
    <row r="70" spans="1:159" ht="17.25" thickBot="1" x14ac:dyDescent="0.3">
      <c r="A70" s="226">
        <v>46148</v>
      </c>
      <c r="B70" s="227" t="s">
        <v>170</v>
      </c>
      <c r="C70" s="227" t="s">
        <v>214</v>
      </c>
      <c r="D70" s="228">
        <v>375</v>
      </c>
      <c r="E70" s="228">
        <v>20</v>
      </c>
      <c r="F70" s="231">
        <v>2390.6</v>
      </c>
      <c r="G70" s="231">
        <v>2433.1999999999998</v>
      </c>
      <c r="H70" s="228">
        <v>-42.6</v>
      </c>
      <c r="I70" s="229">
        <v>-1.7500000000000002E-2</v>
      </c>
      <c r="J70" s="231">
        <v>2377.6</v>
      </c>
      <c r="K70" s="231">
        <v>2417.9</v>
      </c>
      <c r="L70" s="228">
        <v>-40.299999999999997</v>
      </c>
      <c r="M70" s="229">
        <v>-1.67E-2</v>
      </c>
      <c r="N70" s="231">
        <v>2390.6</v>
      </c>
      <c r="O70" s="231">
        <v>2433.1999999999998</v>
      </c>
      <c r="P70" s="228">
        <v>-42.6</v>
      </c>
      <c r="Q70" s="229">
        <v>-1.7500000000000002E-2</v>
      </c>
      <c r="R70" s="231">
        <v>2399.1</v>
      </c>
      <c r="S70" s="231">
        <v>2449.6</v>
      </c>
      <c r="T70" s="228">
        <v>-50.5</v>
      </c>
      <c r="U70" s="229">
        <v>-2.06E-2</v>
      </c>
      <c r="V70" s="231">
        <v>2407.4</v>
      </c>
      <c r="W70" s="231">
        <v>2413.9</v>
      </c>
      <c r="X70" s="228">
        <v>-6.5</v>
      </c>
      <c r="Y70" s="229">
        <v>-2.7000000000000001E-3</v>
      </c>
      <c r="Z70" s="228">
        <v>13</v>
      </c>
      <c r="AA70" s="228">
        <v>15.3</v>
      </c>
      <c r="AB70" s="228">
        <v>-2.2999999999999998</v>
      </c>
      <c r="AC70" s="229">
        <v>5.4999999999999997E-3</v>
      </c>
      <c r="AD70" s="228">
        <v>13</v>
      </c>
      <c r="AE70" s="228">
        <v>15.3</v>
      </c>
      <c r="AF70" s="228">
        <v>-2.2999999999999998</v>
      </c>
      <c r="AG70" s="229">
        <v>5.4999999999999997E-3</v>
      </c>
      <c r="AH70" s="228">
        <v>21.5</v>
      </c>
      <c r="AI70" s="228">
        <v>31.7</v>
      </c>
      <c r="AJ70" s="228">
        <v>-10.199999999999999</v>
      </c>
      <c r="AK70" s="229">
        <v>8.9999999999999993E-3</v>
      </c>
      <c r="AL70" s="228">
        <v>29.8</v>
      </c>
      <c r="AM70" s="228">
        <v>-4</v>
      </c>
      <c r="AN70" s="228">
        <v>33.799999999999997</v>
      </c>
      <c r="AO70" s="229">
        <v>1.2500000000000001E-2</v>
      </c>
      <c r="AP70" s="231">
        <v>2417.3200000000002</v>
      </c>
      <c r="AQ70" s="231">
        <v>2426.71</v>
      </c>
      <c r="AR70" s="228">
        <v>0</v>
      </c>
      <c r="AS70" s="228">
        <v>787</v>
      </c>
      <c r="AT70" s="228">
        <v>289</v>
      </c>
      <c r="AU70" s="228">
        <v>499</v>
      </c>
      <c r="AV70" s="229">
        <v>1.7276</v>
      </c>
      <c r="AW70" s="228">
        <v>776</v>
      </c>
      <c r="AX70" s="228">
        <v>283</v>
      </c>
      <c r="AY70" s="228">
        <v>493</v>
      </c>
      <c r="AZ70" s="229">
        <v>1.7425999999999999</v>
      </c>
      <c r="BA70" s="228">
        <v>10</v>
      </c>
      <c r="BB70" s="228">
        <v>5</v>
      </c>
      <c r="BC70" s="228">
        <v>5</v>
      </c>
      <c r="BD70" s="229">
        <v>0.86890000000000001</v>
      </c>
      <c r="BE70" s="228">
        <v>1</v>
      </c>
      <c r="BF70" s="228">
        <v>0</v>
      </c>
      <c r="BG70" s="228">
        <v>1</v>
      </c>
      <c r="BH70" s="229">
        <v>7</v>
      </c>
      <c r="BI70" s="228">
        <v>838</v>
      </c>
      <c r="BJ70" s="228">
        <v>495</v>
      </c>
      <c r="BK70" s="228">
        <v>343</v>
      </c>
      <c r="BL70" s="229">
        <v>0.69259999999999999</v>
      </c>
      <c r="BM70" s="228">
        <v>379</v>
      </c>
      <c r="BN70" s="228">
        <v>191</v>
      </c>
      <c r="BO70" s="228">
        <v>188</v>
      </c>
      <c r="BP70" s="229">
        <v>0.98260000000000003</v>
      </c>
      <c r="BQ70" s="230">
        <v>2005</v>
      </c>
      <c r="BR70" s="228">
        <v>975</v>
      </c>
      <c r="BS70" s="230">
        <v>1030</v>
      </c>
      <c r="BT70" s="229">
        <v>1.0559000000000001</v>
      </c>
      <c r="BU70" s="230">
        <v>1168243</v>
      </c>
      <c r="BV70" s="230">
        <v>938136</v>
      </c>
      <c r="BW70" s="230">
        <v>230107</v>
      </c>
      <c r="BX70" s="229">
        <v>0.24529999999999999</v>
      </c>
      <c r="BY70" s="230">
        <v>2634</v>
      </c>
      <c r="BZ70" s="230">
        <v>2687</v>
      </c>
      <c r="CA70" s="228">
        <v>-53</v>
      </c>
      <c r="CB70" s="229">
        <v>-1.9900000000000001E-2</v>
      </c>
      <c r="CC70" s="230">
        <v>2619</v>
      </c>
      <c r="CD70" s="230">
        <v>2673</v>
      </c>
      <c r="CE70" s="228">
        <v>-55</v>
      </c>
      <c r="CF70" s="229">
        <v>-2.0400000000000001E-2</v>
      </c>
      <c r="CG70" s="228">
        <v>13</v>
      </c>
      <c r="CH70" s="228">
        <v>13</v>
      </c>
      <c r="CI70" s="228">
        <v>1</v>
      </c>
      <c r="CJ70" s="229">
        <v>5.7099999999999998E-2</v>
      </c>
      <c r="CK70" s="228">
        <v>2</v>
      </c>
      <c r="CL70" s="228">
        <v>1</v>
      </c>
      <c r="CM70" s="228">
        <v>1</v>
      </c>
      <c r="CN70" s="229">
        <v>0.5</v>
      </c>
      <c r="CO70" s="228">
        <v>520</v>
      </c>
      <c r="CP70" s="228">
        <v>412</v>
      </c>
      <c r="CQ70" s="228">
        <v>108</v>
      </c>
      <c r="CR70" s="229">
        <v>0.26100000000000001</v>
      </c>
      <c r="CS70" s="228">
        <v>249</v>
      </c>
      <c r="CT70" s="228">
        <v>236</v>
      </c>
      <c r="CU70" s="228">
        <v>13</v>
      </c>
      <c r="CV70" s="229">
        <v>5.3100000000000001E-2</v>
      </c>
      <c r="CW70" s="230">
        <v>3402</v>
      </c>
      <c r="CX70" s="230">
        <v>3336</v>
      </c>
      <c r="CY70" s="228">
        <v>67</v>
      </c>
      <c r="CZ70" s="229">
        <v>0.02</v>
      </c>
      <c r="DA70" s="228">
        <v>37.25</v>
      </c>
      <c r="DB70" s="228">
        <v>36.869999999999997</v>
      </c>
      <c r="DC70" s="228">
        <v>0.38</v>
      </c>
      <c r="DD70" s="228">
        <v>0.38</v>
      </c>
      <c r="DE70" s="228">
        <v>35.94</v>
      </c>
      <c r="DF70" s="228">
        <v>35.950000000000003</v>
      </c>
      <c r="DG70" s="228">
        <v>1.31</v>
      </c>
      <c r="DH70" s="228">
        <v>-0.01</v>
      </c>
      <c r="DI70" s="228">
        <v>37.1</v>
      </c>
      <c r="DJ70" s="228">
        <v>36.78</v>
      </c>
      <c r="DK70" s="228">
        <v>0.32</v>
      </c>
      <c r="DL70" s="228">
        <v>0.32</v>
      </c>
      <c r="DM70" s="228">
        <v>37.590000000000003</v>
      </c>
      <c r="DN70" s="228">
        <v>37.08</v>
      </c>
      <c r="DO70" s="228">
        <v>0.51</v>
      </c>
      <c r="DP70" s="228">
        <v>0.51</v>
      </c>
      <c r="DQ70" s="228">
        <v>0.48</v>
      </c>
      <c r="DR70" s="228">
        <v>0.56999999999999995</v>
      </c>
      <c r="DS70" s="228">
        <v>-0.09</v>
      </c>
      <c r="DT70" s="229">
        <v>-0.15790000000000001</v>
      </c>
      <c r="DU70" s="231">
        <v>2400</v>
      </c>
      <c r="DV70" s="231">
        <v>2400</v>
      </c>
      <c r="DW70" s="228">
        <v>0.45</v>
      </c>
      <c r="DX70" s="228">
        <v>0.39</v>
      </c>
      <c r="DY70" s="228">
        <v>0.06</v>
      </c>
      <c r="DZ70" s="229">
        <v>0.15379999999999999</v>
      </c>
      <c r="EA70" s="229">
        <v>5.7000000000000002E-3</v>
      </c>
      <c r="EB70" s="230">
        <v>57000</v>
      </c>
      <c r="EC70" s="229">
        <v>3.5999999999999999E-3</v>
      </c>
      <c r="ED70" s="229">
        <v>5.7000000000000002E-3</v>
      </c>
      <c r="EE70" s="228">
        <v>9.39</v>
      </c>
      <c r="EF70" s="229">
        <v>3.8999999999999998E-3</v>
      </c>
      <c r="EG70" s="230">
        <v>498340</v>
      </c>
      <c r="EH70" s="230">
        <v>485676</v>
      </c>
      <c r="EI70" s="229">
        <v>2.6100000000000002E-2</v>
      </c>
      <c r="EJ70" s="229">
        <v>0.42659999999999998</v>
      </c>
      <c r="EK70" s="228">
        <v>888.96</v>
      </c>
      <c r="EL70" s="228">
        <v>376.41</v>
      </c>
      <c r="EM70" s="228">
        <v>796.22</v>
      </c>
      <c r="EN70" s="228">
        <v>33.81</v>
      </c>
      <c r="EO70" s="231">
        <v>2061.59</v>
      </c>
      <c r="EP70" s="231">
        <v>1006.87</v>
      </c>
      <c r="EQ70" s="231">
        <v>1054.72</v>
      </c>
      <c r="ER70" s="229">
        <v>1.0475000000000001</v>
      </c>
      <c r="ES70" s="228">
        <v>532.61</v>
      </c>
      <c r="ET70" s="228">
        <v>237.8</v>
      </c>
      <c r="EU70" s="231">
        <v>2633.63</v>
      </c>
      <c r="EV70" s="231">
        <v>15844372</v>
      </c>
      <c r="EW70" s="231">
        <v>3404.03</v>
      </c>
      <c r="EX70" s="231">
        <v>3380.51</v>
      </c>
      <c r="EY70" s="228">
        <v>23.52</v>
      </c>
      <c r="EZ70" s="229">
        <v>7.0000000000000001E-3</v>
      </c>
      <c r="FA70" s="229">
        <v>0.8982</v>
      </c>
      <c r="FB70" s="227" t="s">
        <v>567</v>
      </c>
      <c r="FC70">
        <f t="shared" si="1"/>
        <v>15</v>
      </c>
    </row>
    <row r="71" spans="1:159" ht="17.25" thickBot="1" x14ac:dyDescent="0.3">
      <c r="A71" s="226">
        <v>46148</v>
      </c>
      <c r="B71" s="227" t="s">
        <v>215</v>
      </c>
      <c r="C71" s="227" t="s">
        <v>630</v>
      </c>
      <c r="D71" s="228">
        <v>6975</v>
      </c>
      <c r="E71" s="228">
        <v>20</v>
      </c>
      <c r="F71" s="228">
        <v>99.97</v>
      </c>
      <c r="G71" s="228">
        <v>97.34</v>
      </c>
      <c r="H71" s="228">
        <v>2.63</v>
      </c>
      <c r="I71" s="229">
        <v>2.7E-2</v>
      </c>
      <c r="J71" s="228">
        <v>99.23</v>
      </c>
      <c r="K71" s="228">
        <v>96.97</v>
      </c>
      <c r="L71" s="228">
        <v>2.2599999999999998</v>
      </c>
      <c r="M71" s="229">
        <v>2.3300000000000001E-2</v>
      </c>
      <c r="N71" s="228">
        <v>99.97</v>
      </c>
      <c r="O71" s="228">
        <v>97.34</v>
      </c>
      <c r="P71" s="228">
        <v>2.63</v>
      </c>
      <c r="Q71" s="229">
        <v>2.7E-2</v>
      </c>
      <c r="R71" s="228">
        <v>100.55</v>
      </c>
      <c r="S71" s="228">
        <v>98.1</v>
      </c>
      <c r="T71" s="228">
        <v>2.4500000000000002</v>
      </c>
      <c r="U71" s="229">
        <v>2.5000000000000001E-2</v>
      </c>
      <c r="V71" s="228">
        <v>101.24</v>
      </c>
      <c r="W71" s="228">
        <v>98.31</v>
      </c>
      <c r="X71" s="228">
        <v>2.93</v>
      </c>
      <c r="Y71" s="229">
        <v>2.98E-2</v>
      </c>
      <c r="Z71" s="228">
        <v>0.74</v>
      </c>
      <c r="AA71" s="228">
        <v>0.37</v>
      </c>
      <c r="AB71" s="228">
        <v>0.37</v>
      </c>
      <c r="AC71" s="229">
        <v>7.4999999999999997E-3</v>
      </c>
      <c r="AD71" s="228">
        <v>0.74</v>
      </c>
      <c r="AE71" s="228">
        <v>0.37</v>
      </c>
      <c r="AF71" s="228">
        <v>0.37</v>
      </c>
      <c r="AG71" s="229">
        <v>7.4999999999999997E-3</v>
      </c>
      <c r="AH71" s="228">
        <v>1.32</v>
      </c>
      <c r="AI71" s="228">
        <v>1.1299999999999999</v>
      </c>
      <c r="AJ71" s="228">
        <v>0.19</v>
      </c>
      <c r="AK71" s="229">
        <v>1.3299999999999999E-2</v>
      </c>
      <c r="AL71" s="228">
        <v>2.0099999999999998</v>
      </c>
      <c r="AM71" s="228">
        <v>1.34</v>
      </c>
      <c r="AN71" s="228">
        <v>0.67</v>
      </c>
      <c r="AO71" s="229">
        <v>2.0299999999999999E-2</v>
      </c>
      <c r="AP71" s="228">
        <v>98.61</v>
      </c>
      <c r="AQ71" s="228">
        <v>99.17</v>
      </c>
      <c r="AR71" s="228">
        <v>0</v>
      </c>
      <c r="AS71" s="228">
        <v>292</v>
      </c>
      <c r="AT71" s="228">
        <v>216</v>
      </c>
      <c r="AU71" s="228">
        <v>76</v>
      </c>
      <c r="AV71" s="229">
        <v>0.35160000000000002</v>
      </c>
      <c r="AW71" s="228">
        <v>275</v>
      </c>
      <c r="AX71" s="228">
        <v>203</v>
      </c>
      <c r="AY71" s="228">
        <v>72</v>
      </c>
      <c r="AZ71" s="229">
        <v>0.35189999999999999</v>
      </c>
      <c r="BA71" s="228">
        <v>15</v>
      </c>
      <c r="BB71" s="228">
        <v>12</v>
      </c>
      <c r="BC71" s="228">
        <v>4</v>
      </c>
      <c r="BD71" s="229">
        <v>0.32340000000000002</v>
      </c>
      <c r="BE71" s="228">
        <v>2</v>
      </c>
      <c r="BF71" s="228">
        <v>1</v>
      </c>
      <c r="BG71" s="228">
        <v>1</v>
      </c>
      <c r="BH71" s="229">
        <v>0.64290000000000003</v>
      </c>
      <c r="BI71" s="228">
        <v>749</v>
      </c>
      <c r="BJ71" s="228">
        <v>426</v>
      </c>
      <c r="BK71" s="228">
        <v>323</v>
      </c>
      <c r="BL71" s="229">
        <v>0.7591</v>
      </c>
      <c r="BM71" s="228">
        <v>251</v>
      </c>
      <c r="BN71" s="228">
        <v>217</v>
      </c>
      <c r="BO71" s="228">
        <v>34</v>
      </c>
      <c r="BP71" s="229">
        <v>0.1555</v>
      </c>
      <c r="BQ71" s="230">
        <v>1292</v>
      </c>
      <c r="BR71" s="228">
        <v>859</v>
      </c>
      <c r="BS71" s="228">
        <v>433</v>
      </c>
      <c r="BT71" s="229">
        <v>0.50390000000000001</v>
      </c>
      <c r="BU71" s="230">
        <v>15376427</v>
      </c>
      <c r="BV71" s="230">
        <v>15164607</v>
      </c>
      <c r="BW71" s="230">
        <v>211820</v>
      </c>
      <c r="BX71" s="229">
        <v>1.4E-2</v>
      </c>
      <c r="BY71" s="230">
        <v>1393</v>
      </c>
      <c r="BZ71" s="230">
        <v>1347</v>
      </c>
      <c r="CA71" s="228">
        <v>46</v>
      </c>
      <c r="CB71" s="229">
        <v>3.4200000000000001E-2</v>
      </c>
      <c r="CC71" s="230">
        <v>1319</v>
      </c>
      <c r="CD71" s="230">
        <v>1274</v>
      </c>
      <c r="CE71" s="228">
        <v>45</v>
      </c>
      <c r="CF71" s="229">
        <v>3.5000000000000003E-2</v>
      </c>
      <c r="CG71" s="228">
        <v>71</v>
      </c>
      <c r="CH71" s="228">
        <v>70</v>
      </c>
      <c r="CI71" s="228">
        <v>1</v>
      </c>
      <c r="CJ71" s="229">
        <v>1.49E-2</v>
      </c>
      <c r="CK71" s="228">
        <v>3</v>
      </c>
      <c r="CL71" s="228">
        <v>2</v>
      </c>
      <c r="CM71" s="228">
        <v>0</v>
      </c>
      <c r="CN71" s="229">
        <v>0.23330000000000001</v>
      </c>
      <c r="CO71" s="228">
        <v>636</v>
      </c>
      <c r="CP71" s="228">
        <v>613</v>
      </c>
      <c r="CQ71" s="228">
        <v>23</v>
      </c>
      <c r="CR71" s="229">
        <v>3.6700000000000003E-2</v>
      </c>
      <c r="CS71" s="228">
        <v>387</v>
      </c>
      <c r="CT71" s="228">
        <v>357</v>
      </c>
      <c r="CU71" s="228">
        <v>29</v>
      </c>
      <c r="CV71" s="229">
        <v>8.2600000000000007E-2</v>
      </c>
      <c r="CW71" s="230">
        <v>2415</v>
      </c>
      <c r="CX71" s="230">
        <v>2317</v>
      </c>
      <c r="CY71" s="228">
        <v>98</v>
      </c>
      <c r="CZ71" s="229">
        <v>4.2299999999999997E-2</v>
      </c>
      <c r="DA71" s="228">
        <v>38.89</v>
      </c>
      <c r="DB71" s="228">
        <v>38.6</v>
      </c>
      <c r="DC71" s="228">
        <v>0.28999999999999998</v>
      </c>
      <c r="DD71" s="228">
        <v>0.28999999999999998</v>
      </c>
      <c r="DE71" s="228">
        <v>40.89</v>
      </c>
      <c r="DF71" s="228">
        <v>40.840000000000003</v>
      </c>
      <c r="DG71" s="228">
        <v>-2</v>
      </c>
      <c r="DH71" s="228">
        <v>0.05</v>
      </c>
      <c r="DI71" s="228">
        <v>38.97</v>
      </c>
      <c r="DJ71" s="228">
        <v>38.58</v>
      </c>
      <c r="DK71" s="228">
        <v>0.39</v>
      </c>
      <c r="DL71" s="228">
        <v>0.39</v>
      </c>
      <c r="DM71" s="228">
        <v>38.630000000000003</v>
      </c>
      <c r="DN71" s="228">
        <v>38.630000000000003</v>
      </c>
      <c r="DO71" s="228">
        <v>0</v>
      </c>
      <c r="DP71" s="228">
        <v>0</v>
      </c>
      <c r="DQ71" s="228">
        <v>0.61</v>
      </c>
      <c r="DR71" s="228">
        <v>0.57999999999999996</v>
      </c>
      <c r="DS71" s="228">
        <v>0.03</v>
      </c>
      <c r="DT71" s="229">
        <v>5.1700000000000003E-2</v>
      </c>
      <c r="DU71" s="228">
        <v>100</v>
      </c>
      <c r="DV71" s="228">
        <v>90</v>
      </c>
      <c r="DW71" s="228">
        <v>0.34</v>
      </c>
      <c r="DX71" s="228">
        <v>0.51</v>
      </c>
      <c r="DY71" s="228">
        <v>-0.17</v>
      </c>
      <c r="DZ71" s="229">
        <v>-0.33329999999999999</v>
      </c>
      <c r="EA71" s="229">
        <v>5.3100000000000001E-2</v>
      </c>
      <c r="EB71" s="230">
        <v>7247025</v>
      </c>
      <c r="EC71" s="229">
        <v>5.7999999999999996E-3</v>
      </c>
      <c r="ED71" s="229">
        <v>5.3100000000000001E-2</v>
      </c>
      <c r="EE71" s="228">
        <v>0.56000000000000005</v>
      </c>
      <c r="EF71" s="229">
        <v>5.7000000000000002E-3</v>
      </c>
      <c r="EG71" s="230">
        <v>7854301</v>
      </c>
      <c r="EH71" s="230">
        <v>7491046</v>
      </c>
      <c r="EI71" s="229">
        <v>4.8500000000000001E-2</v>
      </c>
      <c r="EJ71" s="229">
        <v>0.51080000000000003</v>
      </c>
      <c r="EK71" s="228">
        <v>782.67</v>
      </c>
      <c r="EL71" s="228">
        <v>243.86</v>
      </c>
      <c r="EM71" s="228">
        <v>288.02</v>
      </c>
      <c r="EN71" s="228">
        <v>28.23</v>
      </c>
      <c r="EO71" s="231">
        <v>1314.55</v>
      </c>
      <c r="EP71" s="228">
        <v>861.61</v>
      </c>
      <c r="EQ71" s="228">
        <v>452.94</v>
      </c>
      <c r="ER71" s="229">
        <v>0.52569999999999995</v>
      </c>
      <c r="ES71" s="228">
        <v>649.39</v>
      </c>
      <c r="ET71" s="228">
        <v>362.94</v>
      </c>
      <c r="EU71" s="231">
        <v>1393.29</v>
      </c>
      <c r="EV71" s="231">
        <v>534704421</v>
      </c>
      <c r="EW71" s="231">
        <v>2405.61</v>
      </c>
      <c r="EX71" s="231">
        <v>2272.9499999999998</v>
      </c>
      <c r="EY71" s="228">
        <v>132.66</v>
      </c>
      <c r="EZ71" s="229">
        <v>5.8400000000000001E-2</v>
      </c>
      <c r="FA71" s="229">
        <v>0.45179999999999998</v>
      </c>
      <c r="FB71" s="227" t="s">
        <v>555</v>
      </c>
      <c r="FC71">
        <f t="shared" si="1"/>
        <v>74</v>
      </c>
    </row>
    <row r="72" spans="1:159" ht="17.25" thickBot="1" x14ac:dyDescent="0.3">
      <c r="A72" s="226">
        <v>46148</v>
      </c>
      <c r="B72" s="227" t="s">
        <v>168</v>
      </c>
      <c r="C72" s="227" t="s">
        <v>697</v>
      </c>
      <c r="D72" s="228">
        <v>275</v>
      </c>
      <c r="E72" s="228">
        <v>20</v>
      </c>
      <c r="F72" s="231">
        <v>2322.6</v>
      </c>
      <c r="G72" s="231">
        <v>2246.1</v>
      </c>
      <c r="H72" s="228">
        <v>76.5</v>
      </c>
      <c r="I72" s="229">
        <v>3.4099999999999998E-2</v>
      </c>
      <c r="J72" s="231">
        <v>2308</v>
      </c>
      <c r="K72" s="231">
        <v>2238.6999999999998</v>
      </c>
      <c r="L72" s="228">
        <v>69.3</v>
      </c>
      <c r="M72" s="229">
        <v>3.1E-2</v>
      </c>
      <c r="N72" s="231">
        <v>2322.6</v>
      </c>
      <c r="O72" s="231">
        <v>2246.1</v>
      </c>
      <c r="P72" s="228">
        <v>76.5</v>
      </c>
      <c r="Q72" s="229">
        <v>3.4099999999999998E-2</v>
      </c>
      <c r="R72" s="231">
        <v>2310.4</v>
      </c>
      <c r="S72" s="231">
        <v>2228.3000000000002</v>
      </c>
      <c r="T72" s="228">
        <v>82.1</v>
      </c>
      <c r="U72" s="229">
        <v>3.6799999999999999E-2</v>
      </c>
      <c r="V72" s="231">
        <v>2303.1</v>
      </c>
      <c r="W72" s="231">
        <v>2204.3000000000002</v>
      </c>
      <c r="X72" s="228">
        <v>98.8</v>
      </c>
      <c r="Y72" s="229">
        <v>4.48E-2</v>
      </c>
      <c r="Z72" s="228">
        <v>14.6</v>
      </c>
      <c r="AA72" s="228">
        <v>7.4</v>
      </c>
      <c r="AB72" s="228">
        <v>7.2</v>
      </c>
      <c r="AC72" s="229">
        <v>6.3E-3</v>
      </c>
      <c r="AD72" s="228">
        <v>14.6</v>
      </c>
      <c r="AE72" s="228">
        <v>7.4</v>
      </c>
      <c r="AF72" s="228">
        <v>7.2</v>
      </c>
      <c r="AG72" s="229">
        <v>6.3E-3</v>
      </c>
      <c r="AH72" s="228">
        <v>2.4</v>
      </c>
      <c r="AI72" s="228">
        <v>-10.4</v>
      </c>
      <c r="AJ72" s="228">
        <v>12.8</v>
      </c>
      <c r="AK72" s="229">
        <v>1E-3</v>
      </c>
      <c r="AL72" s="228">
        <v>-4.9000000000000004</v>
      </c>
      <c r="AM72" s="228">
        <v>-34.4</v>
      </c>
      <c r="AN72" s="228">
        <v>29.5</v>
      </c>
      <c r="AO72" s="229">
        <v>-2.0999999999999999E-3</v>
      </c>
      <c r="AP72" s="231">
        <v>2306.88</v>
      </c>
      <c r="AQ72" s="231">
        <v>2295.69</v>
      </c>
      <c r="AR72" s="228">
        <v>0</v>
      </c>
      <c r="AS72" s="228">
        <v>254</v>
      </c>
      <c r="AT72" s="228">
        <v>83</v>
      </c>
      <c r="AU72" s="228">
        <v>171</v>
      </c>
      <c r="AV72" s="229">
        <v>2.0554000000000001</v>
      </c>
      <c r="AW72" s="228">
        <v>239</v>
      </c>
      <c r="AX72" s="228">
        <v>80</v>
      </c>
      <c r="AY72" s="228">
        <v>159</v>
      </c>
      <c r="AZ72" s="229">
        <v>1.9863999999999999</v>
      </c>
      <c r="BA72" s="228">
        <v>14</v>
      </c>
      <c r="BB72" s="228">
        <v>3</v>
      </c>
      <c r="BC72" s="228">
        <v>11</v>
      </c>
      <c r="BD72" s="229">
        <v>4.093</v>
      </c>
      <c r="BE72" s="228">
        <v>1</v>
      </c>
      <c r="BF72" s="228">
        <v>0</v>
      </c>
      <c r="BG72" s="228">
        <v>0</v>
      </c>
      <c r="BH72" s="229">
        <v>1.75</v>
      </c>
      <c r="BI72" s="228">
        <v>333</v>
      </c>
      <c r="BJ72" s="228">
        <v>102</v>
      </c>
      <c r="BK72" s="228">
        <v>231</v>
      </c>
      <c r="BL72" s="229">
        <v>2.2694000000000001</v>
      </c>
      <c r="BM72" s="228">
        <v>112</v>
      </c>
      <c r="BN72" s="228">
        <v>26</v>
      </c>
      <c r="BO72" s="228">
        <v>85</v>
      </c>
      <c r="BP72" s="229">
        <v>3.2372999999999998</v>
      </c>
      <c r="BQ72" s="228">
        <v>699</v>
      </c>
      <c r="BR72" s="228">
        <v>211</v>
      </c>
      <c r="BS72" s="228">
        <v>487</v>
      </c>
      <c r="BT72" s="229">
        <v>2.3062</v>
      </c>
      <c r="BU72" s="230">
        <v>1174455</v>
      </c>
      <c r="BV72" s="230">
        <v>389312</v>
      </c>
      <c r="BW72" s="230">
        <v>785143</v>
      </c>
      <c r="BX72" s="229">
        <v>2.0167000000000002</v>
      </c>
      <c r="BY72" s="228">
        <v>437</v>
      </c>
      <c r="BZ72" s="228">
        <v>398</v>
      </c>
      <c r="CA72" s="228">
        <v>40</v>
      </c>
      <c r="CB72" s="229">
        <v>0.1004</v>
      </c>
      <c r="CC72" s="228">
        <v>424</v>
      </c>
      <c r="CD72" s="228">
        <v>387</v>
      </c>
      <c r="CE72" s="228">
        <v>37</v>
      </c>
      <c r="CF72" s="229">
        <v>9.6500000000000002E-2</v>
      </c>
      <c r="CG72" s="228">
        <v>12</v>
      </c>
      <c r="CH72" s="228">
        <v>9</v>
      </c>
      <c r="CI72" s="228">
        <v>3</v>
      </c>
      <c r="CJ72" s="229">
        <v>0.31290000000000001</v>
      </c>
      <c r="CK72" s="228">
        <v>1</v>
      </c>
      <c r="CL72" s="228">
        <v>1</v>
      </c>
      <c r="CM72" s="228">
        <v>0</v>
      </c>
      <c r="CN72" s="229">
        <v>-0.35289999999999999</v>
      </c>
      <c r="CO72" s="228">
        <v>150</v>
      </c>
      <c r="CP72" s="228">
        <v>134</v>
      </c>
      <c r="CQ72" s="228">
        <v>15</v>
      </c>
      <c r="CR72" s="229">
        <v>0.11409999999999999</v>
      </c>
      <c r="CS72" s="228">
        <v>89</v>
      </c>
      <c r="CT72" s="228">
        <v>54</v>
      </c>
      <c r="CU72" s="228">
        <v>34</v>
      </c>
      <c r="CV72" s="229">
        <v>0.6341</v>
      </c>
      <c r="CW72" s="228">
        <v>676</v>
      </c>
      <c r="CX72" s="228">
        <v>586</v>
      </c>
      <c r="CY72" s="228">
        <v>90</v>
      </c>
      <c r="CZ72" s="229">
        <v>0.153</v>
      </c>
      <c r="DA72" s="228">
        <v>47.34</v>
      </c>
      <c r="DB72" s="228">
        <v>54.37</v>
      </c>
      <c r="DC72" s="228">
        <v>-7.03</v>
      </c>
      <c r="DD72" s="228">
        <v>-7.03</v>
      </c>
      <c r="DE72" s="228">
        <v>70.3</v>
      </c>
      <c r="DF72" s="228">
        <v>70.349999999999994</v>
      </c>
      <c r="DG72" s="228">
        <v>-22.96</v>
      </c>
      <c r="DH72" s="228">
        <v>-0.05</v>
      </c>
      <c r="DI72" s="228">
        <v>47.31</v>
      </c>
      <c r="DJ72" s="228">
        <v>54.13</v>
      </c>
      <c r="DK72" s="228">
        <v>-6.82</v>
      </c>
      <c r="DL72" s="228">
        <v>-6.82</v>
      </c>
      <c r="DM72" s="228">
        <v>47.42</v>
      </c>
      <c r="DN72" s="228">
        <v>55.31</v>
      </c>
      <c r="DO72" s="228">
        <v>-7.89</v>
      </c>
      <c r="DP72" s="228">
        <v>-7.89</v>
      </c>
      <c r="DQ72" s="228">
        <v>0.59</v>
      </c>
      <c r="DR72" s="228">
        <v>0.4</v>
      </c>
      <c r="DS72" s="228">
        <v>0.19</v>
      </c>
      <c r="DT72" s="229">
        <v>0.47499999999999998</v>
      </c>
      <c r="DU72" s="231">
        <v>2500</v>
      </c>
      <c r="DV72" s="231">
        <v>2200</v>
      </c>
      <c r="DW72" s="228">
        <v>0.34</v>
      </c>
      <c r="DX72" s="228">
        <v>0.26</v>
      </c>
      <c r="DY72" s="228">
        <v>0.08</v>
      </c>
      <c r="DZ72" s="229">
        <v>0.30769999999999997</v>
      </c>
      <c r="EA72" s="229">
        <v>2.98E-2</v>
      </c>
      <c r="EB72" s="230">
        <v>45100</v>
      </c>
      <c r="EC72" s="229">
        <v>-5.3E-3</v>
      </c>
      <c r="ED72" s="229">
        <v>2.98E-2</v>
      </c>
      <c r="EE72" s="228">
        <v>-11.19</v>
      </c>
      <c r="EF72" s="229">
        <v>-4.8999999999999998E-3</v>
      </c>
      <c r="EG72" s="230">
        <v>368692</v>
      </c>
      <c r="EH72" s="230">
        <v>97130</v>
      </c>
      <c r="EI72" s="229">
        <v>2.7959000000000001</v>
      </c>
      <c r="EJ72" s="229">
        <v>0.31390000000000001</v>
      </c>
      <c r="EK72" s="228">
        <v>351.5</v>
      </c>
      <c r="EL72" s="228">
        <v>107.55</v>
      </c>
      <c r="EM72" s="228">
        <v>251.72</v>
      </c>
      <c r="EN72" s="228">
        <v>31.25</v>
      </c>
      <c r="EO72" s="228">
        <v>710.77</v>
      </c>
      <c r="EP72" s="228">
        <v>209.6</v>
      </c>
      <c r="EQ72" s="228">
        <v>501.17</v>
      </c>
      <c r="ER72" s="229">
        <v>2.3910999999999998</v>
      </c>
      <c r="ES72" s="228">
        <v>151.18</v>
      </c>
      <c r="ET72" s="228">
        <v>82.2</v>
      </c>
      <c r="EU72" s="228">
        <v>437.39</v>
      </c>
      <c r="EV72" s="231">
        <v>6329596</v>
      </c>
      <c r="EW72" s="228">
        <v>670.77</v>
      </c>
      <c r="EX72" s="228">
        <v>568.84</v>
      </c>
      <c r="EY72" s="228">
        <v>101.93</v>
      </c>
      <c r="EZ72" s="229">
        <v>0.1792</v>
      </c>
      <c r="FA72" s="229">
        <v>0.4597</v>
      </c>
      <c r="FB72" s="227" t="s">
        <v>555</v>
      </c>
      <c r="FC72">
        <f t="shared" si="1"/>
        <v>13</v>
      </c>
    </row>
    <row r="73" spans="1:159" ht="17.25" thickBot="1" x14ac:dyDescent="0.3">
      <c r="A73" s="226">
        <v>46148</v>
      </c>
      <c r="B73" s="227" t="s">
        <v>168</v>
      </c>
      <c r="C73" s="227" t="s">
        <v>217</v>
      </c>
      <c r="D73" s="228">
        <v>500</v>
      </c>
      <c r="E73" s="228">
        <v>20</v>
      </c>
      <c r="F73" s="231">
        <v>1098.2</v>
      </c>
      <c r="G73" s="231">
        <v>1098.5999999999999</v>
      </c>
      <c r="H73" s="228">
        <v>-0.4</v>
      </c>
      <c r="I73" s="229">
        <v>-4.0000000000000002E-4</v>
      </c>
      <c r="J73" s="231">
        <v>1094.0999999999999</v>
      </c>
      <c r="K73" s="231">
        <v>1101.5</v>
      </c>
      <c r="L73" s="228">
        <v>-7.4</v>
      </c>
      <c r="M73" s="229">
        <v>-6.7000000000000002E-3</v>
      </c>
      <c r="N73" s="231">
        <v>1098.2</v>
      </c>
      <c r="O73" s="231">
        <v>1098.5999999999999</v>
      </c>
      <c r="P73" s="228">
        <v>-0.4</v>
      </c>
      <c r="Q73" s="229">
        <v>-4.0000000000000002E-4</v>
      </c>
      <c r="R73" s="231">
        <v>1105</v>
      </c>
      <c r="S73" s="231">
        <v>1105.5999999999999</v>
      </c>
      <c r="T73" s="228">
        <v>-0.6</v>
      </c>
      <c r="U73" s="229">
        <v>-5.0000000000000001E-4</v>
      </c>
      <c r="V73" s="231">
        <v>1096.9000000000001</v>
      </c>
      <c r="W73" s="231">
        <v>1092</v>
      </c>
      <c r="X73" s="228">
        <v>4.9000000000000004</v>
      </c>
      <c r="Y73" s="229">
        <v>4.4999999999999997E-3</v>
      </c>
      <c r="Z73" s="228">
        <v>4.0999999999999996</v>
      </c>
      <c r="AA73" s="228">
        <v>-2.9</v>
      </c>
      <c r="AB73" s="228">
        <v>7</v>
      </c>
      <c r="AC73" s="229">
        <v>3.7000000000000002E-3</v>
      </c>
      <c r="AD73" s="228">
        <v>4.0999999999999996</v>
      </c>
      <c r="AE73" s="228">
        <v>-2.9</v>
      </c>
      <c r="AF73" s="228">
        <v>7</v>
      </c>
      <c r="AG73" s="229">
        <v>3.7000000000000002E-3</v>
      </c>
      <c r="AH73" s="228">
        <v>10.9</v>
      </c>
      <c r="AI73" s="228">
        <v>4.0999999999999996</v>
      </c>
      <c r="AJ73" s="228">
        <v>6.8</v>
      </c>
      <c r="AK73" s="229">
        <v>0.01</v>
      </c>
      <c r="AL73" s="228">
        <v>2.8</v>
      </c>
      <c r="AM73" s="228">
        <v>-9.5</v>
      </c>
      <c r="AN73" s="228">
        <v>12.3</v>
      </c>
      <c r="AO73" s="229">
        <v>2.5999999999999999E-3</v>
      </c>
      <c r="AP73" s="231">
        <v>1099.81</v>
      </c>
      <c r="AQ73" s="231">
        <v>1103.7</v>
      </c>
      <c r="AR73" s="228">
        <v>0</v>
      </c>
      <c r="AS73" s="228">
        <v>218</v>
      </c>
      <c r="AT73" s="228">
        <v>209</v>
      </c>
      <c r="AU73" s="228">
        <v>8</v>
      </c>
      <c r="AV73" s="229">
        <v>3.9899999999999998E-2</v>
      </c>
      <c r="AW73" s="228">
        <v>213</v>
      </c>
      <c r="AX73" s="228">
        <v>200</v>
      </c>
      <c r="AY73" s="228">
        <v>13</v>
      </c>
      <c r="AZ73" s="229">
        <v>6.3399999999999998E-2</v>
      </c>
      <c r="BA73" s="228">
        <v>5</v>
      </c>
      <c r="BB73" s="228">
        <v>9</v>
      </c>
      <c r="BC73" s="228">
        <v>-4</v>
      </c>
      <c r="BD73" s="229">
        <v>-0.48499999999999999</v>
      </c>
      <c r="BE73" s="228">
        <v>0</v>
      </c>
      <c r="BF73" s="228">
        <v>0</v>
      </c>
      <c r="BG73" s="228">
        <v>0</v>
      </c>
      <c r="BH73" s="229">
        <v>1</v>
      </c>
      <c r="BI73" s="228">
        <v>767</v>
      </c>
      <c r="BJ73" s="228">
        <v>270</v>
      </c>
      <c r="BK73" s="228">
        <v>497</v>
      </c>
      <c r="BL73" s="229">
        <v>1.8415999999999999</v>
      </c>
      <c r="BM73" s="228">
        <v>305</v>
      </c>
      <c r="BN73" s="228">
        <v>116</v>
      </c>
      <c r="BO73" s="228">
        <v>189</v>
      </c>
      <c r="BP73" s="229">
        <v>1.6231</v>
      </c>
      <c r="BQ73" s="230">
        <v>1289</v>
      </c>
      <c r="BR73" s="228">
        <v>595</v>
      </c>
      <c r="BS73" s="228">
        <v>694</v>
      </c>
      <c r="BT73" s="229">
        <v>1.1656</v>
      </c>
      <c r="BU73" s="230">
        <v>1499199</v>
      </c>
      <c r="BV73" s="230">
        <v>2191493</v>
      </c>
      <c r="BW73" s="230">
        <v>-692294</v>
      </c>
      <c r="BX73" s="229">
        <v>-0.31590000000000001</v>
      </c>
      <c r="BY73" s="230">
        <v>1467</v>
      </c>
      <c r="BZ73" s="230">
        <v>1412</v>
      </c>
      <c r="CA73" s="228">
        <v>56</v>
      </c>
      <c r="CB73" s="229">
        <v>3.9300000000000002E-2</v>
      </c>
      <c r="CC73" s="230">
        <v>1387</v>
      </c>
      <c r="CD73" s="230">
        <v>1334</v>
      </c>
      <c r="CE73" s="228">
        <v>53</v>
      </c>
      <c r="CF73" s="229">
        <v>3.9800000000000002E-2</v>
      </c>
      <c r="CG73" s="228">
        <v>80</v>
      </c>
      <c r="CH73" s="228">
        <v>77</v>
      </c>
      <c r="CI73" s="228">
        <v>2</v>
      </c>
      <c r="CJ73" s="229">
        <v>2.98E-2</v>
      </c>
      <c r="CK73" s="228">
        <v>0</v>
      </c>
      <c r="CL73" s="228">
        <v>0</v>
      </c>
      <c r="CM73" s="228">
        <v>0</v>
      </c>
      <c r="CN73" s="229">
        <v>0.4</v>
      </c>
      <c r="CO73" s="228">
        <v>321</v>
      </c>
      <c r="CP73" s="228">
        <v>149</v>
      </c>
      <c r="CQ73" s="228">
        <v>172</v>
      </c>
      <c r="CR73" s="229">
        <v>1.1523000000000001</v>
      </c>
      <c r="CS73" s="228">
        <v>168</v>
      </c>
      <c r="CT73" s="228">
        <v>108</v>
      </c>
      <c r="CU73" s="228">
        <v>60</v>
      </c>
      <c r="CV73" s="229">
        <v>0.55230000000000001</v>
      </c>
      <c r="CW73" s="230">
        <v>1956</v>
      </c>
      <c r="CX73" s="230">
        <v>1669</v>
      </c>
      <c r="CY73" s="228">
        <v>287</v>
      </c>
      <c r="CZ73" s="229">
        <v>0.1721</v>
      </c>
      <c r="DA73" s="228">
        <v>34.58</v>
      </c>
      <c r="DB73" s="228">
        <v>34.380000000000003</v>
      </c>
      <c r="DC73" s="228">
        <v>0.2</v>
      </c>
      <c r="DD73" s="228">
        <v>0.2</v>
      </c>
      <c r="DE73" s="228">
        <v>30.69</v>
      </c>
      <c r="DF73" s="228">
        <v>30.75</v>
      </c>
      <c r="DG73" s="228">
        <v>3.89</v>
      </c>
      <c r="DH73" s="228">
        <v>-0.06</v>
      </c>
      <c r="DI73" s="228">
        <v>34.74</v>
      </c>
      <c r="DJ73" s="228">
        <v>34.08</v>
      </c>
      <c r="DK73" s="228">
        <v>0.66</v>
      </c>
      <c r="DL73" s="228">
        <v>0.66</v>
      </c>
      <c r="DM73" s="228">
        <v>34.200000000000003</v>
      </c>
      <c r="DN73" s="228">
        <v>35.090000000000003</v>
      </c>
      <c r="DO73" s="228">
        <v>-0.89</v>
      </c>
      <c r="DP73" s="228">
        <v>-0.89</v>
      </c>
      <c r="DQ73" s="228">
        <v>0.52</v>
      </c>
      <c r="DR73" s="228">
        <v>0.72</v>
      </c>
      <c r="DS73" s="228">
        <v>-0.2</v>
      </c>
      <c r="DT73" s="229">
        <v>-0.27779999999999999</v>
      </c>
      <c r="DU73" s="231">
        <v>1200</v>
      </c>
      <c r="DV73" s="231">
        <v>1000</v>
      </c>
      <c r="DW73" s="228">
        <v>0.4</v>
      </c>
      <c r="DX73" s="228">
        <v>0.43</v>
      </c>
      <c r="DY73" s="228">
        <v>-0.03</v>
      </c>
      <c r="DZ73" s="229">
        <v>-6.9800000000000001E-2</v>
      </c>
      <c r="EA73" s="229">
        <v>5.4600000000000003E-2</v>
      </c>
      <c r="EB73" s="230">
        <v>708000</v>
      </c>
      <c r="EC73" s="229">
        <v>6.1999999999999998E-3</v>
      </c>
      <c r="ED73" s="229">
        <v>5.4600000000000003E-2</v>
      </c>
      <c r="EE73" s="228">
        <v>3.89</v>
      </c>
      <c r="EF73" s="229">
        <v>3.5000000000000001E-3</v>
      </c>
      <c r="EG73" s="230">
        <v>931114</v>
      </c>
      <c r="EH73" s="230">
        <v>1418381</v>
      </c>
      <c r="EI73" s="229">
        <v>-0.34350000000000003</v>
      </c>
      <c r="EJ73" s="229">
        <v>0.62109999999999999</v>
      </c>
      <c r="EK73" s="228">
        <v>814.27</v>
      </c>
      <c r="EL73" s="228">
        <v>299.39999999999998</v>
      </c>
      <c r="EM73" s="228">
        <v>217.94</v>
      </c>
      <c r="EN73" s="228">
        <v>33.86</v>
      </c>
      <c r="EO73" s="231">
        <v>1331.61</v>
      </c>
      <c r="EP73" s="228">
        <v>602.78</v>
      </c>
      <c r="EQ73" s="228">
        <v>728.84</v>
      </c>
      <c r="ER73" s="229">
        <v>1.2091000000000001</v>
      </c>
      <c r="ES73" s="228">
        <v>337.91</v>
      </c>
      <c r="ET73" s="228">
        <v>159.13999999999999</v>
      </c>
      <c r="EU73" s="231">
        <v>1467.58</v>
      </c>
      <c r="EV73" s="231">
        <v>53250524</v>
      </c>
      <c r="EW73" s="231">
        <v>1964.63</v>
      </c>
      <c r="EX73" s="231">
        <v>1670.09</v>
      </c>
      <c r="EY73" s="228">
        <v>294.54000000000002</v>
      </c>
      <c r="EZ73" s="229">
        <v>0.1764</v>
      </c>
      <c r="FA73" s="229">
        <v>0.33450000000000002</v>
      </c>
      <c r="FB73" s="227" t="s">
        <v>566</v>
      </c>
      <c r="FC73">
        <f t="shared" si="1"/>
        <v>80</v>
      </c>
    </row>
    <row r="74" spans="1:159" ht="17.25" thickBot="1" x14ac:dyDescent="0.3">
      <c r="A74" s="226">
        <v>46148</v>
      </c>
      <c r="B74" s="227" t="s">
        <v>206</v>
      </c>
      <c r="C74" s="227" t="s">
        <v>218</v>
      </c>
      <c r="D74" s="228">
        <v>275</v>
      </c>
      <c r="E74" s="228">
        <v>20</v>
      </c>
      <c r="F74" s="231">
        <v>1878.2</v>
      </c>
      <c r="G74" s="231">
        <v>1819.8</v>
      </c>
      <c r="H74" s="228">
        <v>58.4</v>
      </c>
      <c r="I74" s="229">
        <v>3.2099999999999997E-2</v>
      </c>
      <c r="J74" s="231">
        <v>1867.2</v>
      </c>
      <c r="K74" s="231">
        <v>1809.5</v>
      </c>
      <c r="L74" s="228">
        <v>57.7</v>
      </c>
      <c r="M74" s="229">
        <v>3.1899999999999998E-2</v>
      </c>
      <c r="N74" s="231">
        <v>1878.2</v>
      </c>
      <c r="O74" s="231">
        <v>1819.8</v>
      </c>
      <c r="P74" s="228">
        <v>58.4</v>
      </c>
      <c r="Q74" s="229">
        <v>3.2099999999999997E-2</v>
      </c>
      <c r="R74" s="231">
        <v>1888.1</v>
      </c>
      <c r="S74" s="231">
        <v>1830.2</v>
      </c>
      <c r="T74" s="228">
        <v>57.9</v>
      </c>
      <c r="U74" s="229">
        <v>3.1600000000000003E-2</v>
      </c>
      <c r="V74" s="231">
        <v>1885.9</v>
      </c>
      <c r="W74" s="231">
        <v>1829.3</v>
      </c>
      <c r="X74" s="228">
        <v>56.6</v>
      </c>
      <c r="Y74" s="229">
        <v>3.09E-2</v>
      </c>
      <c r="Z74" s="228">
        <v>11</v>
      </c>
      <c r="AA74" s="228">
        <v>10.3</v>
      </c>
      <c r="AB74" s="228">
        <v>0.7</v>
      </c>
      <c r="AC74" s="229">
        <v>5.8999999999999999E-3</v>
      </c>
      <c r="AD74" s="228">
        <v>11</v>
      </c>
      <c r="AE74" s="228">
        <v>10.3</v>
      </c>
      <c r="AF74" s="228">
        <v>0.7</v>
      </c>
      <c r="AG74" s="229">
        <v>5.8999999999999999E-3</v>
      </c>
      <c r="AH74" s="228">
        <v>20.9</v>
      </c>
      <c r="AI74" s="228">
        <v>20.7</v>
      </c>
      <c r="AJ74" s="228">
        <v>0.2</v>
      </c>
      <c r="AK74" s="229">
        <v>1.12E-2</v>
      </c>
      <c r="AL74" s="228">
        <v>18.7</v>
      </c>
      <c r="AM74" s="228">
        <v>19.8</v>
      </c>
      <c r="AN74" s="228">
        <v>-1.1000000000000001</v>
      </c>
      <c r="AO74" s="229">
        <v>0.01</v>
      </c>
      <c r="AP74" s="231">
        <v>1852.43</v>
      </c>
      <c r="AQ74" s="231">
        <v>1863.01</v>
      </c>
      <c r="AR74" s="228">
        <v>0</v>
      </c>
      <c r="AS74" s="228">
        <v>244</v>
      </c>
      <c r="AT74" s="228">
        <v>561</v>
      </c>
      <c r="AU74" s="228">
        <v>-317</v>
      </c>
      <c r="AV74" s="229">
        <v>-0.56499999999999995</v>
      </c>
      <c r="AW74" s="228">
        <v>232</v>
      </c>
      <c r="AX74" s="228">
        <v>539</v>
      </c>
      <c r="AY74" s="228">
        <v>-307</v>
      </c>
      <c r="AZ74" s="229">
        <v>-0.56930000000000003</v>
      </c>
      <c r="BA74" s="228">
        <v>10</v>
      </c>
      <c r="BB74" s="228">
        <v>18</v>
      </c>
      <c r="BC74" s="228">
        <v>-8</v>
      </c>
      <c r="BD74" s="229">
        <v>-0.42980000000000002</v>
      </c>
      <c r="BE74" s="228">
        <v>2</v>
      </c>
      <c r="BF74" s="228">
        <v>4</v>
      </c>
      <c r="BG74" s="228">
        <v>-2</v>
      </c>
      <c r="BH74" s="229">
        <v>-0.59209999999999996</v>
      </c>
      <c r="BI74" s="228">
        <v>878</v>
      </c>
      <c r="BJ74" s="230">
        <v>1945</v>
      </c>
      <c r="BK74" s="230">
        <v>-1067</v>
      </c>
      <c r="BL74" s="229">
        <v>-0.54869999999999997</v>
      </c>
      <c r="BM74" s="228">
        <v>336</v>
      </c>
      <c r="BN74" s="230">
        <v>1132</v>
      </c>
      <c r="BO74" s="228">
        <v>-797</v>
      </c>
      <c r="BP74" s="229">
        <v>-0.70350000000000001</v>
      </c>
      <c r="BQ74" s="230">
        <v>1457</v>
      </c>
      <c r="BR74" s="230">
        <v>3638</v>
      </c>
      <c r="BS74" s="230">
        <v>-2180</v>
      </c>
      <c r="BT74" s="229">
        <v>-0.59940000000000004</v>
      </c>
      <c r="BU74" s="230">
        <v>943773</v>
      </c>
      <c r="BV74" s="230">
        <v>2909610</v>
      </c>
      <c r="BW74" s="230">
        <v>-1965837</v>
      </c>
      <c r="BX74" s="229">
        <v>-0.67559999999999998</v>
      </c>
      <c r="BY74" s="230">
        <v>1497</v>
      </c>
      <c r="BZ74" s="230">
        <v>1520</v>
      </c>
      <c r="CA74" s="228">
        <v>-23</v>
      </c>
      <c r="CB74" s="229">
        <v>-1.52E-2</v>
      </c>
      <c r="CC74" s="230">
        <v>1340</v>
      </c>
      <c r="CD74" s="230">
        <v>1362</v>
      </c>
      <c r="CE74" s="228">
        <v>-21</v>
      </c>
      <c r="CF74" s="229">
        <v>-1.5699999999999999E-2</v>
      </c>
      <c r="CG74" s="228">
        <v>152</v>
      </c>
      <c r="CH74" s="228">
        <v>154</v>
      </c>
      <c r="CI74" s="228">
        <v>-2</v>
      </c>
      <c r="CJ74" s="229">
        <v>-1.0800000000000001E-2</v>
      </c>
      <c r="CK74" s="228">
        <v>5</v>
      </c>
      <c r="CL74" s="228">
        <v>5</v>
      </c>
      <c r="CM74" s="228">
        <v>0</v>
      </c>
      <c r="CN74" s="229">
        <v>-1.3299999999999999E-2</v>
      </c>
      <c r="CO74" s="228">
        <v>541</v>
      </c>
      <c r="CP74" s="228">
        <v>645</v>
      </c>
      <c r="CQ74" s="228">
        <v>-104</v>
      </c>
      <c r="CR74" s="229">
        <v>-0.16159999999999999</v>
      </c>
      <c r="CS74" s="228">
        <v>318</v>
      </c>
      <c r="CT74" s="228">
        <v>342</v>
      </c>
      <c r="CU74" s="228">
        <v>-24</v>
      </c>
      <c r="CV74" s="229">
        <v>-7.0099999999999996E-2</v>
      </c>
      <c r="CW74" s="230">
        <v>2356</v>
      </c>
      <c r="CX74" s="230">
        <v>2507</v>
      </c>
      <c r="CY74" s="228">
        <v>-151</v>
      </c>
      <c r="CZ74" s="229">
        <v>-6.0299999999999999E-2</v>
      </c>
      <c r="DA74" s="228">
        <v>36.32</v>
      </c>
      <c r="DB74" s="228">
        <v>38.270000000000003</v>
      </c>
      <c r="DC74" s="228">
        <v>-1.95</v>
      </c>
      <c r="DD74" s="228">
        <v>-1.95</v>
      </c>
      <c r="DE74" s="228">
        <v>45.96</v>
      </c>
      <c r="DF74" s="228">
        <v>45.88</v>
      </c>
      <c r="DG74" s="228">
        <v>-9.64</v>
      </c>
      <c r="DH74" s="228">
        <v>0.08</v>
      </c>
      <c r="DI74" s="228">
        <v>35.450000000000003</v>
      </c>
      <c r="DJ74" s="228">
        <v>37.979999999999997</v>
      </c>
      <c r="DK74" s="228">
        <v>-2.5299999999999998</v>
      </c>
      <c r="DL74" s="228">
        <v>-2.5299999999999998</v>
      </c>
      <c r="DM74" s="228">
        <v>38.6</v>
      </c>
      <c r="DN74" s="228">
        <v>38.76</v>
      </c>
      <c r="DO74" s="228">
        <v>-0.16</v>
      </c>
      <c r="DP74" s="228">
        <v>-0.16</v>
      </c>
      <c r="DQ74" s="228">
        <v>0.59</v>
      </c>
      <c r="DR74" s="228">
        <v>0.53</v>
      </c>
      <c r="DS74" s="228">
        <v>0.06</v>
      </c>
      <c r="DT74" s="229">
        <v>0.1132</v>
      </c>
      <c r="DU74" s="231">
        <v>2000</v>
      </c>
      <c r="DV74" s="231">
        <v>1800</v>
      </c>
      <c r="DW74" s="228">
        <v>0.38</v>
      </c>
      <c r="DX74" s="228">
        <v>0.57999999999999996</v>
      </c>
      <c r="DY74" s="228">
        <v>-0.2</v>
      </c>
      <c r="DZ74" s="229">
        <v>-0.3448</v>
      </c>
      <c r="EA74" s="229">
        <v>0.1046</v>
      </c>
      <c r="EB74" s="230">
        <v>842775</v>
      </c>
      <c r="EC74" s="229">
        <v>5.3E-3</v>
      </c>
      <c r="ED74" s="229">
        <v>0.1046</v>
      </c>
      <c r="EE74" s="228">
        <v>10.58</v>
      </c>
      <c r="EF74" s="229">
        <v>5.7000000000000002E-3</v>
      </c>
      <c r="EG74" s="230">
        <v>411361</v>
      </c>
      <c r="EH74" s="230">
        <v>902492</v>
      </c>
      <c r="EI74" s="229">
        <v>-0.54420000000000002</v>
      </c>
      <c r="EJ74" s="229">
        <v>0.43590000000000001</v>
      </c>
      <c r="EK74" s="228">
        <v>920.39</v>
      </c>
      <c r="EL74" s="228">
        <v>324.20999999999998</v>
      </c>
      <c r="EM74" s="228">
        <v>240.85</v>
      </c>
      <c r="EN74" s="228">
        <v>74.510000000000005</v>
      </c>
      <c r="EO74" s="231">
        <v>1485.44</v>
      </c>
      <c r="EP74" s="231">
        <v>3708.86</v>
      </c>
      <c r="EQ74" s="231">
        <v>-2223.41</v>
      </c>
      <c r="ER74" s="229">
        <v>-0.59950000000000003</v>
      </c>
      <c r="ES74" s="228">
        <v>560.6</v>
      </c>
      <c r="ET74" s="228">
        <v>303.01</v>
      </c>
      <c r="EU74" s="231">
        <v>1497.67</v>
      </c>
      <c r="EV74" s="231">
        <v>23870110</v>
      </c>
      <c r="EW74" s="231">
        <v>2361.29</v>
      </c>
      <c r="EX74" s="231">
        <v>2464.19</v>
      </c>
      <c r="EY74" s="228">
        <v>-102.9</v>
      </c>
      <c r="EZ74" s="229">
        <v>-4.1799999999999997E-2</v>
      </c>
      <c r="FA74" s="229">
        <v>0.52539999999999998</v>
      </c>
      <c r="FB74" s="227" t="s">
        <v>691</v>
      </c>
      <c r="FC74">
        <f t="shared" si="1"/>
        <v>157</v>
      </c>
    </row>
    <row r="75" spans="1:159" ht="17.25" thickBot="1" x14ac:dyDescent="0.3">
      <c r="A75" s="226">
        <v>46148</v>
      </c>
      <c r="B75" s="227" t="s">
        <v>157</v>
      </c>
      <c r="C75" s="227" t="s">
        <v>219</v>
      </c>
      <c r="D75" s="228">
        <v>250</v>
      </c>
      <c r="E75" s="228">
        <v>20</v>
      </c>
      <c r="F75" s="231">
        <v>2935.4</v>
      </c>
      <c r="G75" s="231">
        <v>2879</v>
      </c>
      <c r="H75" s="228">
        <v>56.4</v>
      </c>
      <c r="I75" s="229">
        <v>1.9599999999999999E-2</v>
      </c>
      <c r="J75" s="231">
        <v>2914.8</v>
      </c>
      <c r="K75" s="231">
        <v>2871.5</v>
      </c>
      <c r="L75" s="228">
        <v>43.3</v>
      </c>
      <c r="M75" s="229">
        <v>1.5100000000000001E-2</v>
      </c>
      <c r="N75" s="231">
        <v>2935.4</v>
      </c>
      <c r="O75" s="231">
        <v>2879</v>
      </c>
      <c r="P75" s="228">
        <v>56.4</v>
      </c>
      <c r="Q75" s="229">
        <v>1.9599999999999999E-2</v>
      </c>
      <c r="R75" s="231">
        <v>2952.2</v>
      </c>
      <c r="S75" s="231">
        <v>2900</v>
      </c>
      <c r="T75" s="228">
        <v>52.2</v>
      </c>
      <c r="U75" s="229">
        <v>1.7999999999999999E-2</v>
      </c>
      <c r="V75" s="231">
        <v>2964.1</v>
      </c>
      <c r="W75" s="231">
        <v>2912.7</v>
      </c>
      <c r="X75" s="228">
        <v>51.4</v>
      </c>
      <c r="Y75" s="229">
        <v>1.7600000000000001E-2</v>
      </c>
      <c r="Z75" s="228">
        <v>20.6</v>
      </c>
      <c r="AA75" s="228">
        <v>7.5</v>
      </c>
      <c r="AB75" s="228">
        <v>13.1</v>
      </c>
      <c r="AC75" s="229">
        <v>7.1000000000000004E-3</v>
      </c>
      <c r="AD75" s="228">
        <v>20.6</v>
      </c>
      <c r="AE75" s="228">
        <v>7.5</v>
      </c>
      <c r="AF75" s="228">
        <v>13.1</v>
      </c>
      <c r="AG75" s="229">
        <v>7.1000000000000004E-3</v>
      </c>
      <c r="AH75" s="228">
        <v>37.4</v>
      </c>
      <c r="AI75" s="228">
        <v>28.5</v>
      </c>
      <c r="AJ75" s="228">
        <v>8.9</v>
      </c>
      <c r="AK75" s="229">
        <v>1.2800000000000001E-2</v>
      </c>
      <c r="AL75" s="228">
        <v>49.3</v>
      </c>
      <c r="AM75" s="228">
        <v>41.2</v>
      </c>
      <c r="AN75" s="228">
        <v>8.1</v>
      </c>
      <c r="AO75" s="229">
        <v>1.6899999999999998E-2</v>
      </c>
      <c r="AP75" s="231">
        <v>2913.52</v>
      </c>
      <c r="AQ75" s="231">
        <v>2926.68</v>
      </c>
      <c r="AR75" s="228">
        <v>0</v>
      </c>
      <c r="AS75" s="228">
        <v>258</v>
      </c>
      <c r="AT75" s="228">
        <v>217</v>
      </c>
      <c r="AU75" s="228">
        <v>41</v>
      </c>
      <c r="AV75" s="229">
        <v>0.18709999999999999</v>
      </c>
      <c r="AW75" s="228">
        <v>247</v>
      </c>
      <c r="AX75" s="228">
        <v>210</v>
      </c>
      <c r="AY75" s="228">
        <v>37</v>
      </c>
      <c r="AZ75" s="229">
        <v>0.1784</v>
      </c>
      <c r="BA75" s="228">
        <v>10</v>
      </c>
      <c r="BB75" s="228">
        <v>7</v>
      </c>
      <c r="BC75" s="228">
        <v>2</v>
      </c>
      <c r="BD75" s="229">
        <v>0.34339999999999998</v>
      </c>
      <c r="BE75" s="228">
        <v>1</v>
      </c>
      <c r="BF75" s="228">
        <v>0</v>
      </c>
      <c r="BG75" s="228">
        <v>1</v>
      </c>
      <c r="BH75" s="229">
        <v>3.3332999999999999</v>
      </c>
      <c r="BI75" s="228">
        <v>364</v>
      </c>
      <c r="BJ75" s="228">
        <v>320</v>
      </c>
      <c r="BK75" s="228">
        <v>44</v>
      </c>
      <c r="BL75" s="229">
        <v>0.1386</v>
      </c>
      <c r="BM75" s="228">
        <v>333</v>
      </c>
      <c r="BN75" s="228">
        <v>138</v>
      </c>
      <c r="BO75" s="228">
        <v>195</v>
      </c>
      <c r="BP75" s="229">
        <v>1.4075</v>
      </c>
      <c r="BQ75" s="228">
        <v>955</v>
      </c>
      <c r="BR75" s="228">
        <v>676</v>
      </c>
      <c r="BS75" s="228">
        <v>280</v>
      </c>
      <c r="BT75" s="229">
        <v>0.4143</v>
      </c>
      <c r="BU75" s="230">
        <v>373436</v>
      </c>
      <c r="BV75" s="230">
        <v>974925</v>
      </c>
      <c r="BW75" s="230">
        <v>-601489</v>
      </c>
      <c r="BX75" s="229">
        <v>-0.61699999999999999</v>
      </c>
      <c r="BY75" s="230">
        <v>4396</v>
      </c>
      <c r="BZ75" s="230">
        <v>4334</v>
      </c>
      <c r="CA75" s="228">
        <v>62</v>
      </c>
      <c r="CB75" s="229">
        <v>1.43E-2</v>
      </c>
      <c r="CC75" s="230">
        <v>4153</v>
      </c>
      <c r="CD75" s="230">
        <v>4095</v>
      </c>
      <c r="CE75" s="228">
        <v>58</v>
      </c>
      <c r="CF75" s="229">
        <v>1.4200000000000001E-2</v>
      </c>
      <c r="CG75" s="228">
        <v>241</v>
      </c>
      <c r="CH75" s="228">
        <v>238</v>
      </c>
      <c r="CI75" s="228">
        <v>3</v>
      </c>
      <c r="CJ75" s="229">
        <v>1.4500000000000001E-2</v>
      </c>
      <c r="CK75" s="228">
        <v>1</v>
      </c>
      <c r="CL75" s="228">
        <v>1</v>
      </c>
      <c r="CM75" s="228">
        <v>0</v>
      </c>
      <c r="CN75" s="229">
        <v>0.17649999999999999</v>
      </c>
      <c r="CO75" s="228">
        <v>349</v>
      </c>
      <c r="CP75" s="228">
        <v>344</v>
      </c>
      <c r="CQ75" s="228">
        <v>5</v>
      </c>
      <c r="CR75" s="229">
        <v>1.43E-2</v>
      </c>
      <c r="CS75" s="228">
        <v>242</v>
      </c>
      <c r="CT75" s="228">
        <v>230</v>
      </c>
      <c r="CU75" s="228">
        <v>12</v>
      </c>
      <c r="CV75" s="229">
        <v>5.1700000000000003E-2</v>
      </c>
      <c r="CW75" s="230">
        <v>4986</v>
      </c>
      <c r="CX75" s="230">
        <v>4907</v>
      </c>
      <c r="CY75" s="228">
        <v>79</v>
      </c>
      <c r="CZ75" s="229">
        <v>1.6E-2</v>
      </c>
      <c r="DA75" s="228">
        <v>26.94</v>
      </c>
      <c r="DB75" s="228">
        <v>26.48</v>
      </c>
      <c r="DC75" s="228">
        <v>0.46</v>
      </c>
      <c r="DD75" s="228">
        <v>0.46</v>
      </c>
      <c r="DE75" s="228">
        <v>28.07</v>
      </c>
      <c r="DF75" s="228">
        <v>28.02</v>
      </c>
      <c r="DG75" s="228">
        <v>-1.1299999999999999</v>
      </c>
      <c r="DH75" s="228">
        <v>0.05</v>
      </c>
      <c r="DI75" s="228">
        <v>23.55</v>
      </c>
      <c r="DJ75" s="228">
        <v>25.75</v>
      </c>
      <c r="DK75" s="228">
        <v>-2.2000000000000002</v>
      </c>
      <c r="DL75" s="228">
        <v>-2.2000000000000002</v>
      </c>
      <c r="DM75" s="228">
        <v>30.63</v>
      </c>
      <c r="DN75" s="228">
        <v>28.17</v>
      </c>
      <c r="DO75" s="228">
        <v>2.46</v>
      </c>
      <c r="DP75" s="228">
        <v>2.46</v>
      </c>
      <c r="DQ75" s="228">
        <v>0.69</v>
      </c>
      <c r="DR75" s="228">
        <v>0.67</v>
      </c>
      <c r="DS75" s="228">
        <v>0.02</v>
      </c>
      <c r="DT75" s="229">
        <v>2.9899999999999999E-2</v>
      </c>
      <c r="DU75" s="231">
        <v>3000</v>
      </c>
      <c r="DV75" s="231">
        <v>2600</v>
      </c>
      <c r="DW75" s="228">
        <v>0.92</v>
      </c>
      <c r="DX75" s="228">
        <v>0.43</v>
      </c>
      <c r="DY75" s="228">
        <v>0.49</v>
      </c>
      <c r="DZ75" s="229">
        <v>1.1395</v>
      </c>
      <c r="EA75" s="229">
        <v>5.5199999999999999E-2</v>
      </c>
      <c r="EB75" s="230">
        <v>813750</v>
      </c>
      <c r="EC75" s="229">
        <v>5.7000000000000002E-3</v>
      </c>
      <c r="ED75" s="229">
        <v>5.5199999999999999E-2</v>
      </c>
      <c r="EE75" s="228">
        <v>13.16</v>
      </c>
      <c r="EF75" s="229">
        <v>4.4999999999999997E-3</v>
      </c>
      <c r="EG75" s="230">
        <v>211061</v>
      </c>
      <c r="EH75" s="230">
        <v>583212</v>
      </c>
      <c r="EI75" s="229">
        <v>-0.6381</v>
      </c>
      <c r="EJ75" s="229">
        <v>0.56520000000000004</v>
      </c>
      <c r="EK75" s="228">
        <v>374.01</v>
      </c>
      <c r="EL75" s="228">
        <v>299.88</v>
      </c>
      <c r="EM75" s="228">
        <v>256.08</v>
      </c>
      <c r="EN75" s="228">
        <v>36.659999999999997</v>
      </c>
      <c r="EO75" s="228">
        <v>929.97</v>
      </c>
      <c r="EP75" s="228">
        <v>669.36</v>
      </c>
      <c r="EQ75" s="228">
        <v>260.61</v>
      </c>
      <c r="ER75" s="229">
        <v>0.38929999999999998</v>
      </c>
      <c r="ES75" s="228">
        <v>354.44</v>
      </c>
      <c r="ET75" s="228">
        <v>223.74</v>
      </c>
      <c r="EU75" s="231">
        <v>4396.9399999999996</v>
      </c>
      <c r="EV75" s="231">
        <v>38401443</v>
      </c>
      <c r="EW75" s="231">
        <v>4975.1099999999997</v>
      </c>
      <c r="EX75" s="231">
        <v>4812.1000000000004</v>
      </c>
      <c r="EY75" s="228">
        <v>163.01</v>
      </c>
      <c r="EZ75" s="229">
        <v>3.39E-2</v>
      </c>
      <c r="FA75" s="229">
        <v>0.44230000000000003</v>
      </c>
      <c r="FB75" s="227" t="s">
        <v>555</v>
      </c>
      <c r="FC75">
        <f t="shared" si="1"/>
        <v>243</v>
      </c>
    </row>
    <row r="76" spans="1:159" ht="17.25" thickBot="1" x14ac:dyDescent="0.3">
      <c r="A76" s="226">
        <v>46148</v>
      </c>
      <c r="B76" s="227" t="s">
        <v>184</v>
      </c>
      <c r="C76" s="227" t="s">
        <v>513</v>
      </c>
      <c r="D76" s="228">
        <v>150</v>
      </c>
      <c r="E76" s="228">
        <v>20</v>
      </c>
      <c r="F76" s="231">
        <v>4646.2</v>
      </c>
      <c r="G76" s="231">
        <v>4622.1000000000004</v>
      </c>
      <c r="H76" s="228">
        <v>24.1</v>
      </c>
      <c r="I76" s="229">
        <v>5.1999999999999998E-3</v>
      </c>
      <c r="J76" s="231">
        <v>4626.8999999999996</v>
      </c>
      <c r="K76" s="231">
        <v>4610.3999999999996</v>
      </c>
      <c r="L76" s="228">
        <v>16.5</v>
      </c>
      <c r="M76" s="229">
        <v>3.5999999999999999E-3</v>
      </c>
      <c r="N76" s="231">
        <v>4646.2</v>
      </c>
      <c r="O76" s="231">
        <v>4622.1000000000004</v>
      </c>
      <c r="P76" s="228">
        <v>24.1</v>
      </c>
      <c r="Q76" s="229">
        <v>5.1999999999999998E-3</v>
      </c>
      <c r="R76" s="231">
        <v>4679.2</v>
      </c>
      <c r="S76" s="231">
        <v>4652.7</v>
      </c>
      <c r="T76" s="228">
        <v>26.5</v>
      </c>
      <c r="U76" s="229">
        <v>5.7000000000000002E-3</v>
      </c>
      <c r="V76" s="231">
        <v>4700.3</v>
      </c>
      <c r="W76" s="231">
        <v>4674.3999999999996</v>
      </c>
      <c r="X76" s="228">
        <v>25.9</v>
      </c>
      <c r="Y76" s="229">
        <v>5.4999999999999997E-3</v>
      </c>
      <c r="Z76" s="228">
        <v>19.3</v>
      </c>
      <c r="AA76" s="228">
        <v>11.7</v>
      </c>
      <c r="AB76" s="228">
        <v>7.6</v>
      </c>
      <c r="AC76" s="229">
        <v>4.1999999999999997E-3</v>
      </c>
      <c r="AD76" s="228">
        <v>19.3</v>
      </c>
      <c r="AE76" s="228">
        <v>11.7</v>
      </c>
      <c r="AF76" s="228">
        <v>7.6</v>
      </c>
      <c r="AG76" s="229">
        <v>4.1999999999999997E-3</v>
      </c>
      <c r="AH76" s="228">
        <v>52.3</v>
      </c>
      <c r="AI76" s="228">
        <v>42.3</v>
      </c>
      <c r="AJ76" s="228">
        <v>10</v>
      </c>
      <c r="AK76" s="229">
        <v>1.1299999999999999E-2</v>
      </c>
      <c r="AL76" s="228">
        <v>73.400000000000006</v>
      </c>
      <c r="AM76" s="228">
        <v>64</v>
      </c>
      <c r="AN76" s="228">
        <v>9.4</v>
      </c>
      <c r="AO76" s="229">
        <v>1.5900000000000001E-2</v>
      </c>
      <c r="AP76" s="231">
        <v>4654.8500000000004</v>
      </c>
      <c r="AQ76" s="231">
        <v>4687.16</v>
      </c>
      <c r="AR76" s="228">
        <v>0</v>
      </c>
      <c r="AS76" s="228">
        <v>393</v>
      </c>
      <c r="AT76" s="228">
        <v>652</v>
      </c>
      <c r="AU76" s="228">
        <v>-258</v>
      </c>
      <c r="AV76" s="229">
        <v>-0.39660000000000001</v>
      </c>
      <c r="AW76" s="228">
        <v>361</v>
      </c>
      <c r="AX76" s="228">
        <v>607</v>
      </c>
      <c r="AY76" s="228">
        <v>-246</v>
      </c>
      <c r="AZ76" s="229">
        <v>-0.40450000000000003</v>
      </c>
      <c r="BA76" s="228">
        <v>29</v>
      </c>
      <c r="BB76" s="228">
        <v>38</v>
      </c>
      <c r="BC76" s="228">
        <v>-9</v>
      </c>
      <c r="BD76" s="229">
        <v>-0.24360000000000001</v>
      </c>
      <c r="BE76" s="228">
        <v>3</v>
      </c>
      <c r="BF76" s="228">
        <v>6</v>
      </c>
      <c r="BG76" s="228">
        <v>-4</v>
      </c>
      <c r="BH76" s="229">
        <v>-0.56520000000000004</v>
      </c>
      <c r="BI76" s="230">
        <v>1452</v>
      </c>
      <c r="BJ76" s="230">
        <v>3587</v>
      </c>
      <c r="BK76" s="230">
        <v>-2135</v>
      </c>
      <c r="BL76" s="229">
        <v>-0.59519999999999995</v>
      </c>
      <c r="BM76" s="228">
        <v>792</v>
      </c>
      <c r="BN76" s="230">
        <v>1412</v>
      </c>
      <c r="BO76" s="228">
        <v>-621</v>
      </c>
      <c r="BP76" s="229">
        <v>-0.43940000000000001</v>
      </c>
      <c r="BQ76" s="230">
        <v>2637</v>
      </c>
      <c r="BR76" s="230">
        <v>5651</v>
      </c>
      <c r="BS76" s="230">
        <v>-3014</v>
      </c>
      <c r="BT76" s="229">
        <v>-0.5333</v>
      </c>
      <c r="BU76" s="230">
        <v>849681</v>
      </c>
      <c r="BV76" s="230">
        <v>1612061</v>
      </c>
      <c r="BW76" s="230">
        <v>-762380</v>
      </c>
      <c r="BX76" s="229">
        <v>-0.47289999999999999</v>
      </c>
      <c r="BY76" s="230">
        <v>3071</v>
      </c>
      <c r="BZ76" s="230">
        <v>3113</v>
      </c>
      <c r="CA76" s="228">
        <v>-42</v>
      </c>
      <c r="CB76" s="229">
        <v>-1.35E-2</v>
      </c>
      <c r="CC76" s="230">
        <v>2646</v>
      </c>
      <c r="CD76" s="230">
        <v>2694</v>
      </c>
      <c r="CE76" s="228">
        <v>-48</v>
      </c>
      <c r="CF76" s="229">
        <v>-1.78E-2</v>
      </c>
      <c r="CG76" s="228">
        <v>416</v>
      </c>
      <c r="CH76" s="228">
        <v>412</v>
      </c>
      <c r="CI76" s="228">
        <v>4</v>
      </c>
      <c r="CJ76" s="229">
        <v>1.0699999999999999E-2</v>
      </c>
      <c r="CK76" s="228">
        <v>9</v>
      </c>
      <c r="CL76" s="228">
        <v>7</v>
      </c>
      <c r="CM76" s="228">
        <v>2</v>
      </c>
      <c r="CN76" s="229">
        <v>0.21360000000000001</v>
      </c>
      <c r="CO76" s="230">
        <v>1212</v>
      </c>
      <c r="CP76" s="230">
        <v>1183</v>
      </c>
      <c r="CQ76" s="228">
        <v>29</v>
      </c>
      <c r="CR76" s="229">
        <v>2.4199999999999999E-2</v>
      </c>
      <c r="CS76" s="228">
        <v>924</v>
      </c>
      <c r="CT76" s="228">
        <v>957</v>
      </c>
      <c r="CU76" s="228">
        <v>-32</v>
      </c>
      <c r="CV76" s="229">
        <v>-3.39E-2</v>
      </c>
      <c r="CW76" s="230">
        <v>5207</v>
      </c>
      <c r="CX76" s="230">
        <v>5253</v>
      </c>
      <c r="CY76" s="228">
        <v>-46</v>
      </c>
      <c r="CZ76" s="229">
        <v>-8.6999999999999994E-3</v>
      </c>
      <c r="DA76" s="228">
        <v>32.86</v>
      </c>
      <c r="DB76" s="228">
        <v>33.909999999999997</v>
      </c>
      <c r="DC76" s="228">
        <v>-1.05</v>
      </c>
      <c r="DD76" s="228">
        <v>-1.05</v>
      </c>
      <c r="DE76" s="228">
        <v>38.81</v>
      </c>
      <c r="DF76" s="228">
        <v>38.909999999999997</v>
      </c>
      <c r="DG76" s="228">
        <v>-5.95</v>
      </c>
      <c r="DH76" s="228">
        <v>-0.1</v>
      </c>
      <c r="DI76" s="228">
        <v>32.25</v>
      </c>
      <c r="DJ76" s="228">
        <v>33.44</v>
      </c>
      <c r="DK76" s="228">
        <v>-1.19</v>
      </c>
      <c r="DL76" s="228">
        <v>-1.19</v>
      </c>
      <c r="DM76" s="228">
        <v>33.97</v>
      </c>
      <c r="DN76" s="228">
        <v>35.1</v>
      </c>
      <c r="DO76" s="228">
        <v>-1.1299999999999999</v>
      </c>
      <c r="DP76" s="228">
        <v>-1.1299999999999999</v>
      </c>
      <c r="DQ76" s="228">
        <v>0.76</v>
      </c>
      <c r="DR76" s="228">
        <v>0.81</v>
      </c>
      <c r="DS76" s="228">
        <v>-0.05</v>
      </c>
      <c r="DT76" s="229">
        <v>-6.1699999999999998E-2</v>
      </c>
      <c r="DU76" s="231">
        <v>5000</v>
      </c>
      <c r="DV76" s="231">
        <v>4300</v>
      </c>
      <c r="DW76" s="228">
        <v>0.55000000000000004</v>
      </c>
      <c r="DX76" s="228">
        <v>0.39</v>
      </c>
      <c r="DY76" s="228">
        <v>0.16</v>
      </c>
      <c r="DZ76" s="229">
        <v>0.4103</v>
      </c>
      <c r="EA76" s="229">
        <v>0.1384</v>
      </c>
      <c r="EB76" s="230">
        <v>901800</v>
      </c>
      <c r="EC76" s="229">
        <v>7.1000000000000004E-3</v>
      </c>
      <c r="ED76" s="229">
        <v>0.1384</v>
      </c>
      <c r="EE76" s="228">
        <v>32.31</v>
      </c>
      <c r="EF76" s="229">
        <v>6.8999999999999999E-3</v>
      </c>
      <c r="EG76" s="230">
        <v>408166</v>
      </c>
      <c r="EH76" s="230">
        <v>632841</v>
      </c>
      <c r="EI76" s="229">
        <v>-0.35499999999999998</v>
      </c>
      <c r="EJ76" s="229">
        <v>0.48039999999999999</v>
      </c>
      <c r="EK76" s="231">
        <v>1526.88</v>
      </c>
      <c r="EL76" s="228">
        <v>770.33</v>
      </c>
      <c r="EM76" s="228">
        <v>394.25</v>
      </c>
      <c r="EN76" s="228">
        <v>80.400000000000006</v>
      </c>
      <c r="EO76" s="231">
        <v>2691.45</v>
      </c>
      <c r="EP76" s="231">
        <v>5815.56</v>
      </c>
      <c r="EQ76" s="231">
        <v>-3124.11</v>
      </c>
      <c r="ER76" s="229">
        <v>-0.53720000000000001</v>
      </c>
      <c r="ES76" s="231">
        <v>1214.25</v>
      </c>
      <c r="ET76" s="228">
        <v>870.22</v>
      </c>
      <c r="EU76" s="231">
        <v>3074.29</v>
      </c>
      <c r="EV76" s="231">
        <v>28450886</v>
      </c>
      <c r="EW76" s="231">
        <v>5158.76</v>
      </c>
      <c r="EX76" s="231">
        <v>5178.62</v>
      </c>
      <c r="EY76" s="228">
        <v>-19.86</v>
      </c>
      <c r="EZ76" s="229">
        <v>-3.8E-3</v>
      </c>
      <c r="FA76" s="229">
        <v>0.39389999999999997</v>
      </c>
      <c r="FB76" s="227" t="s">
        <v>691</v>
      </c>
      <c r="FC76">
        <f t="shared" si="1"/>
        <v>425</v>
      </c>
    </row>
    <row r="77" spans="1:159" ht="17.25" thickBot="1" x14ac:dyDescent="0.3">
      <c r="A77" s="226">
        <v>46148</v>
      </c>
      <c r="B77" s="227" t="s">
        <v>184</v>
      </c>
      <c r="C77" s="227" t="s">
        <v>220</v>
      </c>
      <c r="D77" s="228">
        <v>500</v>
      </c>
      <c r="E77" s="228">
        <v>20</v>
      </c>
      <c r="F77" s="231">
        <v>1260.0999999999999</v>
      </c>
      <c r="G77" s="231">
        <v>1240.2</v>
      </c>
      <c r="H77" s="228">
        <v>19.899999999999999</v>
      </c>
      <c r="I77" s="229">
        <v>1.6E-2</v>
      </c>
      <c r="J77" s="231">
        <v>1257.3</v>
      </c>
      <c r="K77" s="231">
        <v>1239.5999999999999</v>
      </c>
      <c r="L77" s="228">
        <v>17.7</v>
      </c>
      <c r="M77" s="229">
        <v>1.43E-2</v>
      </c>
      <c r="N77" s="231">
        <v>1260.0999999999999</v>
      </c>
      <c r="O77" s="231">
        <v>1240.2</v>
      </c>
      <c r="P77" s="228">
        <v>19.899999999999999</v>
      </c>
      <c r="Q77" s="229">
        <v>1.6E-2</v>
      </c>
      <c r="R77" s="231">
        <v>1264.4000000000001</v>
      </c>
      <c r="S77" s="231">
        <v>1244.5999999999999</v>
      </c>
      <c r="T77" s="228">
        <v>19.8</v>
      </c>
      <c r="U77" s="229">
        <v>1.5900000000000001E-2</v>
      </c>
      <c r="V77" s="231">
        <v>1270.5</v>
      </c>
      <c r="W77" s="231">
        <v>1253.2</v>
      </c>
      <c r="X77" s="228">
        <v>17.3</v>
      </c>
      <c r="Y77" s="229">
        <v>1.38E-2</v>
      </c>
      <c r="Z77" s="228">
        <v>2.8</v>
      </c>
      <c r="AA77" s="228">
        <v>0.6</v>
      </c>
      <c r="AB77" s="228">
        <v>2.2000000000000002</v>
      </c>
      <c r="AC77" s="229">
        <v>2.2000000000000001E-3</v>
      </c>
      <c r="AD77" s="228">
        <v>2.8</v>
      </c>
      <c r="AE77" s="228">
        <v>0.6</v>
      </c>
      <c r="AF77" s="228">
        <v>2.2000000000000002</v>
      </c>
      <c r="AG77" s="229">
        <v>2.2000000000000001E-3</v>
      </c>
      <c r="AH77" s="228">
        <v>7.1</v>
      </c>
      <c r="AI77" s="228">
        <v>5</v>
      </c>
      <c r="AJ77" s="228">
        <v>2.1</v>
      </c>
      <c r="AK77" s="229">
        <v>5.5999999999999999E-3</v>
      </c>
      <c r="AL77" s="228">
        <v>13.2</v>
      </c>
      <c r="AM77" s="228">
        <v>13.6</v>
      </c>
      <c r="AN77" s="228">
        <v>-0.4</v>
      </c>
      <c r="AO77" s="229">
        <v>1.0500000000000001E-2</v>
      </c>
      <c r="AP77" s="231">
        <v>1253.51</v>
      </c>
      <c r="AQ77" s="231">
        <v>1255.98</v>
      </c>
      <c r="AR77" s="228">
        <v>0</v>
      </c>
      <c r="AS77" s="228">
        <v>197</v>
      </c>
      <c r="AT77" s="228">
        <v>153</v>
      </c>
      <c r="AU77" s="228">
        <v>44</v>
      </c>
      <c r="AV77" s="229">
        <v>0.2868</v>
      </c>
      <c r="AW77" s="228">
        <v>184</v>
      </c>
      <c r="AX77" s="228">
        <v>145</v>
      </c>
      <c r="AY77" s="228">
        <v>39</v>
      </c>
      <c r="AZ77" s="229">
        <v>0.27100000000000002</v>
      </c>
      <c r="BA77" s="228">
        <v>12</v>
      </c>
      <c r="BB77" s="228">
        <v>8</v>
      </c>
      <c r="BC77" s="228">
        <v>4</v>
      </c>
      <c r="BD77" s="229">
        <v>0.48820000000000002</v>
      </c>
      <c r="BE77" s="228">
        <v>1</v>
      </c>
      <c r="BF77" s="228">
        <v>1</v>
      </c>
      <c r="BG77" s="228">
        <v>1</v>
      </c>
      <c r="BH77" s="229">
        <v>1.625</v>
      </c>
      <c r="BI77" s="228">
        <v>423</v>
      </c>
      <c r="BJ77" s="228">
        <v>581</v>
      </c>
      <c r="BK77" s="228">
        <v>-158</v>
      </c>
      <c r="BL77" s="229">
        <v>-0.27139999999999997</v>
      </c>
      <c r="BM77" s="228">
        <v>168</v>
      </c>
      <c r="BN77" s="228">
        <v>226</v>
      </c>
      <c r="BO77" s="228">
        <v>-58</v>
      </c>
      <c r="BP77" s="229">
        <v>-0.25569999999999998</v>
      </c>
      <c r="BQ77" s="228">
        <v>788</v>
      </c>
      <c r="BR77" s="228">
        <v>960</v>
      </c>
      <c r="BS77" s="228">
        <v>-171</v>
      </c>
      <c r="BT77" s="229">
        <v>-0.1787</v>
      </c>
      <c r="BU77" s="230">
        <v>891336</v>
      </c>
      <c r="BV77" s="230">
        <v>914769</v>
      </c>
      <c r="BW77" s="230">
        <v>-23433</v>
      </c>
      <c r="BX77" s="229">
        <v>-2.5600000000000001E-2</v>
      </c>
      <c r="BY77" s="230">
        <v>1296</v>
      </c>
      <c r="BZ77" s="230">
        <v>1331</v>
      </c>
      <c r="CA77" s="228">
        <v>-35</v>
      </c>
      <c r="CB77" s="229">
        <v>-2.64E-2</v>
      </c>
      <c r="CC77" s="230">
        <v>1231</v>
      </c>
      <c r="CD77" s="230">
        <v>1269</v>
      </c>
      <c r="CE77" s="228">
        <v>-38</v>
      </c>
      <c r="CF77" s="229">
        <v>-2.9600000000000001E-2</v>
      </c>
      <c r="CG77" s="228">
        <v>63</v>
      </c>
      <c r="CH77" s="228">
        <v>61</v>
      </c>
      <c r="CI77" s="228">
        <v>2</v>
      </c>
      <c r="CJ77" s="229">
        <v>2.6800000000000001E-2</v>
      </c>
      <c r="CK77" s="228">
        <v>2</v>
      </c>
      <c r="CL77" s="228">
        <v>1</v>
      </c>
      <c r="CM77" s="228">
        <v>1</v>
      </c>
      <c r="CN77" s="229">
        <v>0.68420000000000003</v>
      </c>
      <c r="CO77" s="228">
        <v>703</v>
      </c>
      <c r="CP77" s="228">
        <v>677</v>
      </c>
      <c r="CQ77" s="228">
        <v>26</v>
      </c>
      <c r="CR77" s="229">
        <v>3.8399999999999997E-2</v>
      </c>
      <c r="CS77" s="228">
        <v>297</v>
      </c>
      <c r="CT77" s="228">
        <v>297</v>
      </c>
      <c r="CU77" s="228">
        <v>-1</v>
      </c>
      <c r="CV77" s="229">
        <v>-1.6999999999999999E-3</v>
      </c>
      <c r="CW77" s="230">
        <v>2296</v>
      </c>
      <c r="CX77" s="230">
        <v>2305</v>
      </c>
      <c r="CY77" s="228">
        <v>-10</v>
      </c>
      <c r="CZ77" s="229">
        <v>-4.1999999999999997E-3</v>
      </c>
      <c r="DA77" s="228">
        <v>29.43</v>
      </c>
      <c r="DB77" s="228">
        <v>31.33</v>
      </c>
      <c r="DC77" s="228">
        <v>-1.9</v>
      </c>
      <c r="DD77" s="228">
        <v>-1.9</v>
      </c>
      <c r="DE77" s="228">
        <v>31.16</v>
      </c>
      <c r="DF77" s="228">
        <v>31.16</v>
      </c>
      <c r="DG77" s="228">
        <v>-1.73</v>
      </c>
      <c r="DH77" s="228">
        <v>0</v>
      </c>
      <c r="DI77" s="228">
        <v>29.61</v>
      </c>
      <c r="DJ77" s="228">
        <v>31.8</v>
      </c>
      <c r="DK77" s="228">
        <v>-2.19</v>
      </c>
      <c r="DL77" s="228">
        <v>-2.19</v>
      </c>
      <c r="DM77" s="228">
        <v>28.98</v>
      </c>
      <c r="DN77" s="228">
        <v>30.12</v>
      </c>
      <c r="DO77" s="228">
        <v>-1.1399999999999999</v>
      </c>
      <c r="DP77" s="228">
        <v>-1.1399999999999999</v>
      </c>
      <c r="DQ77" s="228">
        <v>0.42</v>
      </c>
      <c r="DR77" s="228">
        <v>0.44</v>
      </c>
      <c r="DS77" s="228">
        <v>-0.02</v>
      </c>
      <c r="DT77" s="229">
        <v>-4.5499999999999999E-2</v>
      </c>
      <c r="DU77" s="231">
        <v>1400</v>
      </c>
      <c r="DV77" s="231">
        <v>1200</v>
      </c>
      <c r="DW77" s="228">
        <v>0.4</v>
      </c>
      <c r="DX77" s="228">
        <v>0.39</v>
      </c>
      <c r="DY77" s="228">
        <v>0.01</v>
      </c>
      <c r="DZ77" s="229">
        <v>2.5600000000000001E-2</v>
      </c>
      <c r="EA77" s="229">
        <v>0.05</v>
      </c>
      <c r="EB77" s="230">
        <v>495000</v>
      </c>
      <c r="EC77" s="229">
        <v>3.3999999999999998E-3</v>
      </c>
      <c r="ED77" s="229">
        <v>0.05</v>
      </c>
      <c r="EE77" s="228">
        <v>2.4700000000000002</v>
      </c>
      <c r="EF77" s="229">
        <v>2E-3</v>
      </c>
      <c r="EG77" s="230">
        <v>576853</v>
      </c>
      <c r="EH77" s="230">
        <v>458088</v>
      </c>
      <c r="EI77" s="229">
        <v>0.25929999999999997</v>
      </c>
      <c r="EJ77" s="229">
        <v>0.6472</v>
      </c>
      <c r="EK77" s="228">
        <v>449.95</v>
      </c>
      <c r="EL77" s="228">
        <v>165.07</v>
      </c>
      <c r="EM77" s="228">
        <v>196.02</v>
      </c>
      <c r="EN77" s="228">
        <v>27.56</v>
      </c>
      <c r="EO77" s="228">
        <v>811.04</v>
      </c>
      <c r="EP77" s="228">
        <v>998.35</v>
      </c>
      <c r="EQ77" s="228">
        <v>-187.3</v>
      </c>
      <c r="ER77" s="229">
        <v>-0.18759999999999999</v>
      </c>
      <c r="ES77" s="228">
        <v>762.81</v>
      </c>
      <c r="ET77" s="228">
        <v>290.99</v>
      </c>
      <c r="EU77" s="231">
        <v>1296.18</v>
      </c>
      <c r="EV77" s="231">
        <v>29751886</v>
      </c>
      <c r="EW77" s="231">
        <v>2349.98</v>
      </c>
      <c r="EX77" s="231">
        <v>2337.89</v>
      </c>
      <c r="EY77" s="228">
        <v>12.09</v>
      </c>
      <c r="EZ77" s="229">
        <v>5.1999999999999998E-3</v>
      </c>
      <c r="FA77" s="229">
        <v>0.61229999999999996</v>
      </c>
      <c r="FB77" s="227" t="s">
        <v>691</v>
      </c>
      <c r="FC77">
        <f t="shared" si="1"/>
        <v>65</v>
      </c>
    </row>
    <row r="78" spans="1:159" ht="17.25" thickBot="1" x14ac:dyDescent="0.3">
      <c r="A78" s="226">
        <v>46148</v>
      </c>
      <c r="B78" s="227" t="s">
        <v>221</v>
      </c>
      <c r="C78" s="227" t="s">
        <v>222</v>
      </c>
      <c r="D78" s="228">
        <v>350</v>
      </c>
      <c r="E78" s="228">
        <v>20</v>
      </c>
      <c r="F78" s="231">
        <v>1191.9000000000001</v>
      </c>
      <c r="G78" s="231">
        <v>1201.4000000000001</v>
      </c>
      <c r="H78" s="228">
        <v>-9.5</v>
      </c>
      <c r="I78" s="229">
        <v>-7.9000000000000008E-3</v>
      </c>
      <c r="J78" s="231">
        <v>1189.0999999999999</v>
      </c>
      <c r="K78" s="231">
        <v>1200.2</v>
      </c>
      <c r="L78" s="228">
        <v>-11.1</v>
      </c>
      <c r="M78" s="229">
        <v>-9.1999999999999998E-3</v>
      </c>
      <c r="N78" s="231">
        <v>1191.9000000000001</v>
      </c>
      <c r="O78" s="231">
        <v>1201.4000000000001</v>
      </c>
      <c r="P78" s="228">
        <v>-9.5</v>
      </c>
      <c r="Q78" s="229">
        <v>-7.9000000000000008E-3</v>
      </c>
      <c r="R78" s="231">
        <v>1187</v>
      </c>
      <c r="S78" s="231">
        <v>1194.8</v>
      </c>
      <c r="T78" s="228">
        <v>-7.8</v>
      </c>
      <c r="U78" s="229">
        <v>-6.4999999999999997E-3</v>
      </c>
      <c r="V78" s="231">
        <v>1181.7</v>
      </c>
      <c r="W78" s="231">
        <v>1188.0999999999999</v>
      </c>
      <c r="X78" s="228">
        <v>-6.4</v>
      </c>
      <c r="Y78" s="229">
        <v>-5.4000000000000003E-3</v>
      </c>
      <c r="Z78" s="228">
        <v>2.8</v>
      </c>
      <c r="AA78" s="228">
        <v>1.2</v>
      </c>
      <c r="AB78" s="228">
        <v>1.6</v>
      </c>
      <c r="AC78" s="229">
        <v>2.3999999999999998E-3</v>
      </c>
      <c r="AD78" s="228">
        <v>2.8</v>
      </c>
      <c r="AE78" s="228">
        <v>1.2</v>
      </c>
      <c r="AF78" s="228">
        <v>1.6</v>
      </c>
      <c r="AG78" s="229">
        <v>2.3999999999999998E-3</v>
      </c>
      <c r="AH78" s="228">
        <v>-2.1</v>
      </c>
      <c r="AI78" s="228">
        <v>-5.4</v>
      </c>
      <c r="AJ78" s="228">
        <v>3.3</v>
      </c>
      <c r="AK78" s="229">
        <v>-1.8E-3</v>
      </c>
      <c r="AL78" s="228">
        <v>-7.4</v>
      </c>
      <c r="AM78" s="228">
        <v>-12.1</v>
      </c>
      <c r="AN78" s="228">
        <v>4.7</v>
      </c>
      <c r="AO78" s="229">
        <v>-6.1999999999999998E-3</v>
      </c>
      <c r="AP78" s="231">
        <v>1196.04</v>
      </c>
      <c r="AQ78" s="231">
        <v>1189.43</v>
      </c>
      <c r="AR78" s="228">
        <v>0</v>
      </c>
      <c r="AS78" s="228">
        <v>593</v>
      </c>
      <c r="AT78" s="228">
        <v>218</v>
      </c>
      <c r="AU78" s="228">
        <v>375</v>
      </c>
      <c r="AV78" s="229">
        <v>1.7248000000000001</v>
      </c>
      <c r="AW78" s="228">
        <v>506</v>
      </c>
      <c r="AX78" s="228">
        <v>190</v>
      </c>
      <c r="AY78" s="228">
        <v>316</v>
      </c>
      <c r="AZ78" s="229">
        <v>1.6675</v>
      </c>
      <c r="BA78" s="228">
        <v>73</v>
      </c>
      <c r="BB78" s="228">
        <v>25</v>
      </c>
      <c r="BC78" s="228">
        <v>48</v>
      </c>
      <c r="BD78" s="229">
        <v>1.9477</v>
      </c>
      <c r="BE78" s="228">
        <v>14</v>
      </c>
      <c r="BF78" s="228">
        <v>3</v>
      </c>
      <c r="BG78" s="228">
        <v>11</v>
      </c>
      <c r="BH78" s="229">
        <v>3.3896000000000002</v>
      </c>
      <c r="BI78" s="230">
        <v>2019</v>
      </c>
      <c r="BJ78" s="230">
        <v>1024</v>
      </c>
      <c r="BK78" s="228">
        <v>995</v>
      </c>
      <c r="BL78" s="229">
        <v>0.97240000000000004</v>
      </c>
      <c r="BM78" s="228">
        <v>819</v>
      </c>
      <c r="BN78" s="228">
        <v>529</v>
      </c>
      <c r="BO78" s="228">
        <v>291</v>
      </c>
      <c r="BP78" s="229">
        <v>0.54930000000000001</v>
      </c>
      <c r="BQ78" s="230">
        <v>3431</v>
      </c>
      <c r="BR78" s="230">
        <v>1770</v>
      </c>
      <c r="BS78" s="230">
        <v>1661</v>
      </c>
      <c r="BT78" s="229">
        <v>0.9385</v>
      </c>
      <c r="BU78" s="230">
        <v>3712104</v>
      </c>
      <c r="BV78" s="230">
        <v>2550163</v>
      </c>
      <c r="BW78" s="230">
        <v>1161941</v>
      </c>
      <c r="BX78" s="229">
        <v>0.4556</v>
      </c>
      <c r="BY78" s="230">
        <v>5377</v>
      </c>
      <c r="BZ78" s="230">
        <v>5227</v>
      </c>
      <c r="CA78" s="228">
        <v>150</v>
      </c>
      <c r="CB78" s="229">
        <v>2.87E-2</v>
      </c>
      <c r="CC78" s="230">
        <v>5068</v>
      </c>
      <c r="CD78" s="230">
        <v>4961</v>
      </c>
      <c r="CE78" s="228">
        <v>107</v>
      </c>
      <c r="CF78" s="229">
        <v>2.1600000000000001E-2</v>
      </c>
      <c r="CG78" s="228">
        <v>281</v>
      </c>
      <c r="CH78" s="228">
        <v>250</v>
      </c>
      <c r="CI78" s="228">
        <v>31</v>
      </c>
      <c r="CJ78" s="229">
        <v>0.1244</v>
      </c>
      <c r="CK78" s="228">
        <v>28</v>
      </c>
      <c r="CL78" s="228">
        <v>17</v>
      </c>
      <c r="CM78" s="228">
        <v>12</v>
      </c>
      <c r="CN78" s="229">
        <v>0.69599999999999995</v>
      </c>
      <c r="CO78" s="230">
        <v>2885</v>
      </c>
      <c r="CP78" s="230">
        <v>2643</v>
      </c>
      <c r="CQ78" s="228">
        <v>242</v>
      </c>
      <c r="CR78" s="229">
        <v>9.1600000000000001E-2</v>
      </c>
      <c r="CS78" s="230">
        <v>1411</v>
      </c>
      <c r="CT78" s="230">
        <v>1396</v>
      </c>
      <c r="CU78" s="228">
        <v>15</v>
      </c>
      <c r="CV78" s="229">
        <v>1.0800000000000001E-2</v>
      </c>
      <c r="CW78" s="230">
        <v>9673</v>
      </c>
      <c r="CX78" s="230">
        <v>9266</v>
      </c>
      <c r="CY78" s="228">
        <v>407</v>
      </c>
      <c r="CZ78" s="229">
        <v>4.3900000000000002E-2</v>
      </c>
      <c r="DA78" s="228">
        <v>29.45</v>
      </c>
      <c r="DB78" s="228">
        <v>29.56</v>
      </c>
      <c r="DC78" s="228">
        <v>-0.11</v>
      </c>
      <c r="DD78" s="228">
        <v>-0.11</v>
      </c>
      <c r="DE78" s="228">
        <v>33.08</v>
      </c>
      <c r="DF78" s="228">
        <v>33.14</v>
      </c>
      <c r="DG78" s="228">
        <v>-3.63</v>
      </c>
      <c r="DH78" s="228">
        <v>-0.06</v>
      </c>
      <c r="DI78" s="228">
        <v>30.2</v>
      </c>
      <c r="DJ78" s="228">
        <v>30.03</v>
      </c>
      <c r="DK78" s="228">
        <v>0.17</v>
      </c>
      <c r="DL78" s="228">
        <v>0.17</v>
      </c>
      <c r="DM78" s="228">
        <v>27.59</v>
      </c>
      <c r="DN78" s="228">
        <v>28.67</v>
      </c>
      <c r="DO78" s="228">
        <v>-1.08</v>
      </c>
      <c r="DP78" s="228">
        <v>-1.08</v>
      </c>
      <c r="DQ78" s="228">
        <v>0.49</v>
      </c>
      <c r="DR78" s="228">
        <v>0.53</v>
      </c>
      <c r="DS78" s="228">
        <v>-0.04</v>
      </c>
      <c r="DT78" s="229">
        <v>-7.5499999999999998E-2</v>
      </c>
      <c r="DU78" s="231">
        <v>1300</v>
      </c>
      <c r="DV78" s="231">
        <v>1200</v>
      </c>
      <c r="DW78" s="228">
        <v>0.41</v>
      </c>
      <c r="DX78" s="228">
        <v>0.52</v>
      </c>
      <c r="DY78" s="228">
        <v>-0.11</v>
      </c>
      <c r="DZ78" s="229">
        <v>-0.21149999999999999</v>
      </c>
      <c r="EA78" s="229">
        <v>5.7500000000000002E-2</v>
      </c>
      <c r="EB78" s="230">
        <v>2234150</v>
      </c>
      <c r="EC78" s="229">
        <v>-4.1000000000000003E-3</v>
      </c>
      <c r="ED78" s="229">
        <v>5.7500000000000002E-2</v>
      </c>
      <c r="EE78" s="228">
        <v>-6.61</v>
      </c>
      <c r="EF78" s="229">
        <v>-5.4999999999999997E-3</v>
      </c>
      <c r="EG78" s="230">
        <v>1997868</v>
      </c>
      <c r="EH78" s="230">
        <v>1300417</v>
      </c>
      <c r="EI78" s="229">
        <v>0.5363</v>
      </c>
      <c r="EJ78" s="229">
        <v>0.53820000000000001</v>
      </c>
      <c r="EK78" s="231">
        <v>2167.6999999999998</v>
      </c>
      <c r="EL78" s="228">
        <v>824.19</v>
      </c>
      <c r="EM78" s="228">
        <v>596.66</v>
      </c>
      <c r="EN78" s="228">
        <v>95.66</v>
      </c>
      <c r="EO78" s="231">
        <v>3588.55</v>
      </c>
      <c r="EP78" s="231">
        <v>1848.19</v>
      </c>
      <c r="EQ78" s="231">
        <v>1740.36</v>
      </c>
      <c r="ER78" s="229">
        <v>0.94169999999999998</v>
      </c>
      <c r="ES78" s="231">
        <v>3165.75</v>
      </c>
      <c r="ET78" s="231">
        <v>1416.19</v>
      </c>
      <c r="EU78" s="231">
        <v>5375.25</v>
      </c>
      <c r="EV78" s="231">
        <v>145140505</v>
      </c>
      <c r="EW78" s="231">
        <v>9957.19</v>
      </c>
      <c r="EX78" s="231">
        <v>9578.94</v>
      </c>
      <c r="EY78" s="228">
        <v>378.25</v>
      </c>
      <c r="EZ78" s="229">
        <v>3.95E-2</v>
      </c>
      <c r="FA78" s="229">
        <v>0.55920000000000003</v>
      </c>
      <c r="FB78" s="227" t="s">
        <v>566</v>
      </c>
      <c r="FC78">
        <f t="shared" si="1"/>
        <v>309</v>
      </c>
    </row>
    <row r="79" spans="1:159" ht="17.25" thickBot="1" x14ac:dyDescent="0.3">
      <c r="A79" s="226">
        <v>46148</v>
      </c>
      <c r="B79" s="227" t="s">
        <v>175</v>
      </c>
      <c r="C79" s="227" t="s">
        <v>475</v>
      </c>
      <c r="D79" s="228">
        <v>300</v>
      </c>
      <c r="E79" s="228">
        <v>20</v>
      </c>
      <c r="F79" s="231">
        <v>2836.1</v>
      </c>
      <c r="G79" s="231">
        <v>2821.8</v>
      </c>
      <c r="H79" s="228">
        <v>14.3</v>
      </c>
      <c r="I79" s="229">
        <v>5.1000000000000004E-3</v>
      </c>
      <c r="J79" s="231">
        <v>2815.9</v>
      </c>
      <c r="K79" s="231">
        <v>2806.3</v>
      </c>
      <c r="L79" s="228">
        <v>9.6</v>
      </c>
      <c r="M79" s="229">
        <v>3.3999999999999998E-3</v>
      </c>
      <c r="N79" s="231">
        <v>2836.1</v>
      </c>
      <c r="O79" s="231">
        <v>2821.8</v>
      </c>
      <c r="P79" s="228">
        <v>14.3</v>
      </c>
      <c r="Q79" s="229">
        <v>5.1000000000000004E-3</v>
      </c>
      <c r="R79" s="231">
        <v>2846.1</v>
      </c>
      <c r="S79" s="231">
        <v>2835.2</v>
      </c>
      <c r="T79" s="228">
        <v>10.9</v>
      </c>
      <c r="U79" s="229">
        <v>3.8E-3</v>
      </c>
      <c r="V79" s="231">
        <v>2855.8</v>
      </c>
      <c r="W79" s="231">
        <v>2790.2</v>
      </c>
      <c r="X79" s="228">
        <v>65.599999999999994</v>
      </c>
      <c r="Y79" s="229">
        <v>2.35E-2</v>
      </c>
      <c r="Z79" s="228">
        <v>20.2</v>
      </c>
      <c r="AA79" s="228">
        <v>15.5</v>
      </c>
      <c r="AB79" s="228">
        <v>4.7</v>
      </c>
      <c r="AC79" s="229">
        <v>7.1999999999999998E-3</v>
      </c>
      <c r="AD79" s="228">
        <v>20.2</v>
      </c>
      <c r="AE79" s="228">
        <v>15.5</v>
      </c>
      <c r="AF79" s="228">
        <v>4.7</v>
      </c>
      <c r="AG79" s="229">
        <v>7.1999999999999998E-3</v>
      </c>
      <c r="AH79" s="228">
        <v>30.2</v>
      </c>
      <c r="AI79" s="228">
        <v>28.9</v>
      </c>
      <c r="AJ79" s="228">
        <v>1.3</v>
      </c>
      <c r="AK79" s="229">
        <v>1.0699999999999999E-2</v>
      </c>
      <c r="AL79" s="228">
        <v>39.9</v>
      </c>
      <c r="AM79" s="228">
        <v>-16.100000000000001</v>
      </c>
      <c r="AN79" s="228">
        <v>56</v>
      </c>
      <c r="AO79" s="229">
        <v>1.4200000000000001E-2</v>
      </c>
      <c r="AP79" s="231">
        <v>2840.72</v>
      </c>
      <c r="AQ79" s="231">
        <v>2851.75</v>
      </c>
      <c r="AR79" s="228">
        <v>0</v>
      </c>
      <c r="AS79" s="228">
        <v>280</v>
      </c>
      <c r="AT79" s="228">
        <v>328</v>
      </c>
      <c r="AU79" s="228">
        <v>-48</v>
      </c>
      <c r="AV79" s="229">
        <v>-0.1467</v>
      </c>
      <c r="AW79" s="228">
        <v>274</v>
      </c>
      <c r="AX79" s="228">
        <v>318</v>
      </c>
      <c r="AY79" s="228">
        <v>-44</v>
      </c>
      <c r="AZ79" s="229">
        <v>-0.13869999999999999</v>
      </c>
      <c r="BA79" s="228">
        <v>5</v>
      </c>
      <c r="BB79" s="228">
        <v>10</v>
      </c>
      <c r="BC79" s="228">
        <v>-5</v>
      </c>
      <c r="BD79" s="229">
        <v>-0.45689999999999997</v>
      </c>
      <c r="BE79" s="228">
        <v>1</v>
      </c>
      <c r="BF79" s="228">
        <v>0</v>
      </c>
      <c r="BG79" s="228">
        <v>1</v>
      </c>
      <c r="BH79" s="229">
        <v>0</v>
      </c>
      <c r="BI79" s="228">
        <v>551</v>
      </c>
      <c r="BJ79" s="230">
        <v>1160</v>
      </c>
      <c r="BK79" s="228">
        <v>-610</v>
      </c>
      <c r="BL79" s="229">
        <v>-0.52529999999999999</v>
      </c>
      <c r="BM79" s="228">
        <v>234</v>
      </c>
      <c r="BN79" s="228">
        <v>293</v>
      </c>
      <c r="BO79" s="228">
        <v>-58</v>
      </c>
      <c r="BP79" s="229">
        <v>-0.19969999999999999</v>
      </c>
      <c r="BQ79" s="230">
        <v>1065</v>
      </c>
      <c r="BR79" s="230">
        <v>1781</v>
      </c>
      <c r="BS79" s="228">
        <v>-716</v>
      </c>
      <c r="BT79" s="229">
        <v>-0.40200000000000002</v>
      </c>
      <c r="BU79" s="230">
        <v>969720</v>
      </c>
      <c r="BV79" s="230">
        <v>1020489</v>
      </c>
      <c r="BW79" s="230">
        <v>-50769</v>
      </c>
      <c r="BX79" s="229">
        <v>-4.9700000000000001E-2</v>
      </c>
      <c r="BY79" s="230">
        <v>1709</v>
      </c>
      <c r="BZ79" s="230">
        <v>1646</v>
      </c>
      <c r="CA79" s="228">
        <v>62</v>
      </c>
      <c r="CB79" s="229">
        <v>3.7900000000000003E-2</v>
      </c>
      <c r="CC79" s="230">
        <v>1682</v>
      </c>
      <c r="CD79" s="230">
        <v>1620</v>
      </c>
      <c r="CE79" s="228">
        <v>63</v>
      </c>
      <c r="CF79" s="229">
        <v>3.8600000000000002E-2</v>
      </c>
      <c r="CG79" s="228">
        <v>25</v>
      </c>
      <c r="CH79" s="228">
        <v>25</v>
      </c>
      <c r="CI79" s="228">
        <v>0</v>
      </c>
      <c r="CJ79" s="229">
        <v>-1.6799999999999999E-2</v>
      </c>
      <c r="CK79" s="228">
        <v>1</v>
      </c>
      <c r="CL79" s="228">
        <v>1</v>
      </c>
      <c r="CM79" s="228">
        <v>0</v>
      </c>
      <c r="CN79" s="229">
        <v>0.25</v>
      </c>
      <c r="CO79" s="228">
        <v>361</v>
      </c>
      <c r="CP79" s="228">
        <v>368</v>
      </c>
      <c r="CQ79" s="228">
        <v>-7</v>
      </c>
      <c r="CR79" s="229">
        <v>-2.01E-2</v>
      </c>
      <c r="CS79" s="228">
        <v>222</v>
      </c>
      <c r="CT79" s="228">
        <v>206</v>
      </c>
      <c r="CU79" s="228">
        <v>16</v>
      </c>
      <c r="CV79" s="229">
        <v>7.6899999999999996E-2</v>
      </c>
      <c r="CW79" s="230">
        <v>2291</v>
      </c>
      <c r="CX79" s="230">
        <v>2220</v>
      </c>
      <c r="CY79" s="228">
        <v>71</v>
      </c>
      <c r="CZ79" s="229">
        <v>3.1899999999999998E-2</v>
      </c>
      <c r="DA79" s="228">
        <v>30.85</v>
      </c>
      <c r="DB79" s="228">
        <v>32.56</v>
      </c>
      <c r="DC79" s="228">
        <v>-1.71</v>
      </c>
      <c r="DD79" s="228">
        <v>-1.71</v>
      </c>
      <c r="DE79" s="228">
        <v>38.79</v>
      </c>
      <c r="DF79" s="228">
        <v>38.880000000000003</v>
      </c>
      <c r="DG79" s="228">
        <v>-7.94</v>
      </c>
      <c r="DH79" s="228">
        <v>-0.09</v>
      </c>
      <c r="DI79" s="228">
        <v>30.56</v>
      </c>
      <c r="DJ79" s="228">
        <v>32.450000000000003</v>
      </c>
      <c r="DK79" s="228">
        <v>-1.89</v>
      </c>
      <c r="DL79" s="228">
        <v>-1.89</v>
      </c>
      <c r="DM79" s="228">
        <v>31.53</v>
      </c>
      <c r="DN79" s="228">
        <v>32.97</v>
      </c>
      <c r="DO79" s="228">
        <v>-1.44</v>
      </c>
      <c r="DP79" s="228">
        <v>-1.44</v>
      </c>
      <c r="DQ79" s="228">
        <v>0.61</v>
      </c>
      <c r="DR79" s="228">
        <v>0.56000000000000005</v>
      </c>
      <c r="DS79" s="228">
        <v>0.05</v>
      </c>
      <c r="DT79" s="229">
        <v>8.9300000000000004E-2</v>
      </c>
      <c r="DU79" s="231">
        <v>3000</v>
      </c>
      <c r="DV79" s="231">
        <v>2800</v>
      </c>
      <c r="DW79" s="228">
        <v>0.43</v>
      </c>
      <c r="DX79" s="228">
        <v>0.25</v>
      </c>
      <c r="DY79" s="228">
        <v>0.18</v>
      </c>
      <c r="DZ79" s="229">
        <v>0.72</v>
      </c>
      <c r="EA79" s="229">
        <v>1.5299999999999999E-2</v>
      </c>
      <c r="EB79" s="230">
        <v>93000</v>
      </c>
      <c r="EC79" s="229">
        <v>3.5000000000000001E-3</v>
      </c>
      <c r="ED79" s="229">
        <v>1.5299999999999999E-2</v>
      </c>
      <c r="EE79" s="228">
        <v>11.03</v>
      </c>
      <c r="EF79" s="229">
        <v>3.8999999999999998E-3</v>
      </c>
      <c r="EG79" s="230">
        <v>629927</v>
      </c>
      <c r="EH79" s="230">
        <v>508691</v>
      </c>
      <c r="EI79" s="229">
        <v>0.23830000000000001</v>
      </c>
      <c r="EJ79" s="229">
        <v>0.64959999999999996</v>
      </c>
      <c r="EK79" s="228">
        <v>577.22</v>
      </c>
      <c r="EL79" s="228">
        <v>228.94</v>
      </c>
      <c r="EM79" s="228">
        <v>280.58</v>
      </c>
      <c r="EN79" s="228">
        <v>26.78</v>
      </c>
      <c r="EO79" s="231">
        <v>1086.74</v>
      </c>
      <c r="EP79" s="231">
        <v>1824.04</v>
      </c>
      <c r="EQ79" s="228">
        <v>-737.31</v>
      </c>
      <c r="ER79" s="229">
        <v>-0.4042</v>
      </c>
      <c r="ES79" s="228">
        <v>370.85</v>
      </c>
      <c r="ET79" s="228">
        <v>207.97</v>
      </c>
      <c r="EU79" s="231">
        <v>1708.73</v>
      </c>
      <c r="EV79" s="231">
        <v>30592324</v>
      </c>
      <c r="EW79" s="231">
        <v>2287.56</v>
      </c>
      <c r="EX79" s="231">
        <v>2205.96</v>
      </c>
      <c r="EY79" s="228">
        <v>81.599999999999994</v>
      </c>
      <c r="EZ79" s="229">
        <v>3.6999999999999998E-2</v>
      </c>
      <c r="FA79" s="229">
        <v>0.2641</v>
      </c>
      <c r="FB79" s="227" t="s">
        <v>555</v>
      </c>
      <c r="FC79">
        <f t="shared" si="1"/>
        <v>27</v>
      </c>
    </row>
    <row r="80" spans="1:159" ht="17.25" thickBot="1" x14ac:dyDescent="0.3">
      <c r="A80" s="226">
        <v>46148</v>
      </c>
      <c r="B80" s="227" t="s">
        <v>172</v>
      </c>
      <c r="C80" s="227" t="s">
        <v>224</v>
      </c>
      <c r="D80" s="228">
        <v>550</v>
      </c>
      <c r="E80" s="228">
        <v>20</v>
      </c>
      <c r="F80" s="228">
        <v>801.85</v>
      </c>
      <c r="G80" s="228">
        <v>775.45</v>
      </c>
      <c r="H80" s="228">
        <v>26.4</v>
      </c>
      <c r="I80" s="229">
        <v>3.4000000000000002E-2</v>
      </c>
      <c r="J80" s="228">
        <v>796.55</v>
      </c>
      <c r="K80" s="228">
        <v>772.3</v>
      </c>
      <c r="L80" s="228">
        <v>24.25</v>
      </c>
      <c r="M80" s="229">
        <v>3.1399999999999997E-2</v>
      </c>
      <c r="N80" s="228">
        <v>801.85</v>
      </c>
      <c r="O80" s="228">
        <v>775.45</v>
      </c>
      <c r="P80" s="228">
        <v>26.4</v>
      </c>
      <c r="Q80" s="229">
        <v>3.4000000000000002E-2</v>
      </c>
      <c r="R80" s="228">
        <v>793.8</v>
      </c>
      <c r="S80" s="228">
        <v>767.95</v>
      </c>
      <c r="T80" s="228">
        <v>25.85</v>
      </c>
      <c r="U80" s="229">
        <v>3.3700000000000001E-2</v>
      </c>
      <c r="V80" s="228">
        <v>797.7</v>
      </c>
      <c r="W80" s="228">
        <v>771.2</v>
      </c>
      <c r="X80" s="228">
        <v>26.5</v>
      </c>
      <c r="Y80" s="229">
        <v>3.44E-2</v>
      </c>
      <c r="Z80" s="228">
        <v>5.3</v>
      </c>
      <c r="AA80" s="228">
        <v>3.15</v>
      </c>
      <c r="AB80" s="228">
        <v>2.15</v>
      </c>
      <c r="AC80" s="229">
        <v>6.7000000000000002E-3</v>
      </c>
      <c r="AD80" s="228">
        <v>5.3</v>
      </c>
      <c r="AE80" s="228">
        <v>3.15</v>
      </c>
      <c r="AF80" s="228">
        <v>2.15</v>
      </c>
      <c r="AG80" s="229">
        <v>6.7000000000000002E-3</v>
      </c>
      <c r="AH80" s="228">
        <v>-2.75</v>
      </c>
      <c r="AI80" s="228">
        <v>-4.3499999999999996</v>
      </c>
      <c r="AJ80" s="228">
        <v>1.6</v>
      </c>
      <c r="AK80" s="229">
        <v>-3.5000000000000001E-3</v>
      </c>
      <c r="AL80" s="228">
        <v>1.1499999999999999</v>
      </c>
      <c r="AM80" s="228">
        <v>-1.1000000000000001</v>
      </c>
      <c r="AN80" s="228">
        <v>2.25</v>
      </c>
      <c r="AO80" s="229">
        <v>1.4E-3</v>
      </c>
      <c r="AP80" s="228">
        <v>792.15</v>
      </c>
      <c r="AQ80" s="228">
        <v>782.1</v>
      </c>
      <c r="AR80" s="228">
        <v>0</v>
      </c>
      <c r="AS80" s="230">
        <v>2498</v>
      </c>
      <c r="AT80" s="230">
        <v>1852</v>
      </c>
      <c r="AU80" s="228">
        <v>647</v>
      </c>
      <c r="AV80" s="229">
        <v>0.34920000000000001</v>
      </c>
      <c r="AW80" s="230">
        <v>2143</v>
      </c>
      <c r="AX80" s="230">
        <v>1524</v>
      </c>
      <c r="AY80" s="228">
        <v>619</v>
      </c>
      <c r="AZ80" s="229">
        <v>0.40620000000000001</v>
      </c>
      <c r="BA80" s="228">
        <v>311</v>
      </c>
      <c r="BB80" s="228">
        <v>292</v>
      </c>
      <c r="BC80" s="228">
        <v>20</v>
      </c>
      <c r="BD80" s="229">
        <v>6.6900000000000001E-2</v>
      </c>
      <c r="BE80" s="228">
        <v>44</v>
      </c>
      <c r="BF80" s="228">
        <v>36</v>
      </c>
      <c r="BG80" s="228">
        <v>8</v>
      </c>
      <c r="BH80" s="229">
        <v>0.2228</v>
      </c>
      <c r="BI80" s="230">
        <v>10849</v>
      </c>
      <c r="BJ80" s="230">
        <v>5752</v>
      </c>
      <c r="BK80" s="230">
        <v>5097</v>
      </c>
      <c r="BL80" s="229">
        <v>0.88600000000000001</v>
      </c>
      <c r="BM80" s="230">
        <v>5714</v>
      </c>
      <c r="BN80" s="230">
        <v>2518</v>
      </c>
      <c r="BO80" s="230">
        <v>3196</v>
      </c>
      <c r="BP80" s="229">
        <v>1.2694000000000001</v>
      </c>
      <c r="BQ80" s="230">
        <v>19062</v>
      </c>
      <c r="BR80" s="230">
        <v>10122</v>
      </c>
      <c r="BS80" s="230">
        <v>8940</v>
      </c>
      <c r="BT80" s="229">
        <v>0.88319999999999999</v>
      </c>
      <c r="BU80" s="230">
        <v>37375352</v>
      </c>
      <c r="BV80" s="230">
        <v>39979123</v>
      </c>
      <c r="BW80" s="230">
        <v>-2603771</v>
      </c>
      <c r="BX80" s="229">
        <v>-6.5100000000000005E-2</v>
      </c>
      <c r="BY80" s="230">
        <v>27526</v>
      </c>
      <c r="BZ80" s="230">
        <v>27259</v>
      </c>
      <c r="CA80" s="228">
        <v>268</v>
      </c>
      <c r="CB80" s="229">
        <v>9.7999999999999997E-3</v>
      </c>
      <c r="CC80" s="230">
        <v>20769</v>
      </c>
      <c r="CD80" s="230">
        <v>20604</v>
      </c>
      <c r="CE80" s="228">
        <v>165</v>
      </c>
      <c r="CF80" s="229">
        <v>8.0000000000000002E-3</v>
      </c>
      <c r="CG80" s="230">
        <v>6650</v>
      </c>
      <c r="CH80" s="230">
        <v>6563</v>
      </c>
      <c r="CI80" s="228">
        <v>87</v>
      </c>
      <c r="CJ80" s="229">
        <v>1.3299999999999999E-2</v>
      </c>
      <c r="CK80" s="228">
        <v>107</v>
      </c>
      <c r="CL80" s="228">
        <v>92</v>
      </c>
      <c r="CM80" s="228">
        <v>15</v>
      </c>
      <c r="CN80" s="229">
        <v>0.15970000000000001</v>
      </c>
      <c r="CO80" s="230">
        <v>5592</v>
      </c>
      <c r="CP80" s="230">
        <v>5532</v>
      </c>
      <c r="CQ80" s="228">
        <v>61</v>
      </c>
      <c r="CR80" s="229">
        <v>1.0999999999999999E-2</v>
      </c>
      <c r="CS80" s="230">
        <v>3334</v>
      </c>
      <c r="CT80" s="230">
        <v>3029</v>
      </c>
      <c r="CU80" s="228">
        <v>305</v>
      </c>
      <c r="CV80" s="229">
        <v>0.10059999999999999</v>
      </c>
      <c r="CW80" s="230">
        <v>36453</v>
      </c>
      <c r="CX80" s="230">
        <v>35820</v>
      </c>
      <c r="CY80" s="228">
        <v>633</v>
      </c>
      <c r="CZ80" s="229">
        <v>1.77E-2</v>
      </c>
      <c r="DA80" s="228">
        <v>24.27</v>
      </c>
      <c r="DB80" s="228">
        <v>25.54</v>
      </c>
      <c r="DC80" s="228">
        <v>-1.27</v>
      </c>
      <c r="DD80" s="228">
        <v>-1.27</v>
      </c>
      <c r="DE80" s="228">
        <v>25.46</v>
      </c>
      <c r="DF80" s="228">
        <v>25.18</v>
      </c>
      <c r="DG80" s="228">
        <v>-1.19</v>
      </c>
      <c r="DH80" s="228">
        <v>0.28000000000000003</v>
      </c>
      <c r="DI80" s="228">
        <v>24.31</v>
      </c>
      <c r="DJ80" s="228">
        <v>25.67</v>
      </c>
      <c r="DK80" s="228">
        <v>-1.36</v>
      </c>
      <c r="DL80" s="228">
        <v>-1.36</v>
      </c>
      <c r="DM80" s="228">
        <v>24.19</v>
      </c>
      <c r="DN80" s="228">
        <v>25.25</v>
      </c>
      <c r="DO80" s="228">
        <v>-1.06</v>
      </c>
      <c r="DP80" s="228">
        <v>-1.06</v>
      </c>
      <c r="DQ80" s="228">
        <v>0.6</v>
      </c>
      <c r="DR80" s="228">
        <v>0.55000000000000004</v>
      </c>
      <c r="DS80" s="228">
        <v>0.05</v>
      </c>
      <c r="DT80" s="229">
        <v>9.0899999999999995E-2</v>
      </c>
      <c r="DU80" s="228">
        <v>800</v>
      </c>
      <c r="DV80" s="228">
        <v>800</v>
      </c>
      <c r="DW80" s="228">
        <v>0.53</v>
      </c>
      <c r="DX80" s="228">
        <v>0.44</v>
      </c>
      <c r="DY80" s="228">
        <v>0.09</v>
      </c>
      <c r="DZ80" s="229">
        <v>0.20449999999999999</v>
      </c>
      <c r="EA80" s="229">
        <v>0.2455</v>
      </c>
      <c r="EB80" s="230">
        <v>82997300</v>
      </c>
      <c r="EC80" s="229">
        <v>-0.01</v>
      </c>
      <c r="ED80" s="229">
        <v>0.2455</v>
      </c>
      <c r="EE80" s="228">
        <v>-10.050000000000001</v>
      </c>
      <c r="EF80" s="229">
        <v>-1.2699999999999999E-2</v>
      </c>
      <c r="EG80" s="230">
        <v>19014361</v>
      </c>
      <c r="EH80" s="230">
        <v>18521599</v>
      </c>
      <c r="EI80" s="229">
        <v>2.6599999999999999E-2</v>
      </c>
      <c r="EJ80" s="229">
        <v>0.50870000000000004</v>
      </c>
      <c r="EK80" s="231">
        <v>11179.94</v>
      </c>
      <c r="EL80" s="231">
        <v>5545.71</v>
      </c>
      <c r="EM80" s="231">
        <v>2471.5700000000002</v>
      </c>
      <c r="EN80" s="228">
        <v>396.25</v>
      </c>
      <c r="EO80" s="231">
        <v>19197.23</v>
      </c>
      <c r="EP80" s="231">
        <v>10086</v>
      </c>
      <c r="EQ80" s="231">
        <v>9111.23</v>
      </c>
      <c r="ER80" s="229">
        <v>0.90339999999999998</v>
      </c>
      <c r="ES80" s="231">
        <v>5757.44</v>
      </c>
      <c r="ET80" s="231">
        <v>3238.64</v>
      </c>
      <c r="EU80" s="231">
        <v>27459.17</v>
      </c>
      <c r="EV80" s="231">
        <v>1496665645</v>
      </c>
      <c r="EW80" s="231">
        <v>36455.26</v>
      </c>
      <c r="EX80" s="231">
        <v>34923.06</v>
      </c>
      <c r="EY80" s="231">
        <v>1532.2</v>
      </c>
      <c r="EZ80" s="229">
        <v>4.3900000000000002E-2</v>
      </c>
      <c r="FA80" s="229">
        <v>0.30370000000000003</v>
      </c>
      <c r="FB80" s="227" t="s">
        <v>555</v>
      </c>
      <c r="FC80">
        <f t="shared" si="1"/>
        <v>6757</v>
      </c>
    </row>
    <row r="81" spans="1:159" ht="17.25" thickBot="1" x14ac:dyDescent="0.3">
      <c r="A81" s="226">
        <v>46148</v>
      </c>
      <c r="B81" s="227" t="s">
        <v>175</v>
      </c>
      <c r="C81" s="227" t="s">
        <v>225</v>
      </c>
      <c r="D81" s="228">
        <v>1100</v>
      </c>
      <c r="E81" s="228">
        <v>20</v>
      </c>
      <c r="F81" s="228">
        <v>610.5</v>
      </c>
      <c r="G81" s="228">
        <v>597.45000000000005</v>
      </c>
      <c r="H81" s="228">
        <v>13.05</v>
      </c>
      <c r="I81" s="229">
        <v>2.18E-2</v>
      </c>
      <c r="J81" s="228">
        <v>606.35</v>
      </c>
      <c r="K81" s="228">
        <v>594.1</v>
      </c>
      <c r="L81" s="228">
        <v>12.25</v>
      </c>
      <c r="M81" s="229">
        <v>2.06E-2</v>
      </c>
      <c r="N81" s="228">
        <v>610.5</v>
      </c>
      <c r="O81" s="228">
        <v>597.45000000000005</v>
      </c>
      <c r="P81" s="228">
        <v>13.05</v>
      </c>
      <c r="Q81" s="229">
        <v>2.18E-2</v>
      </c>
      <c r="R81" s="228">
        <v>612.70000000000005</v>
      </c>
      <c r="S81" s="228">
        <v>599.29999999999995</v>
      </c>
      <c r="T81" s="228">
        <v>13.4</v>
      </c>
      <c r="U81" s="229">
        <v>2.24E-2</v>
      </c>
      <c r="V81" s="228">
        <v>614.9</v>
      </c>
      <c r="W81" s="228">
        <v>601.65</v>
      </c>
      <c r="X81" s="228">
        <v>13.25</v>
      </c>
      <c r="Y81" s="229">
        <v>2.1999999999999999E-2</v>
      </c>
      <c r="Z81" s="228">
        <v>4.1500000000000004</v>
      </c>
      <c r="AA81" s="228">
        <v>3.35</v>
      </c>
      <c r="AB81" s="228">
        <v>0.8</v>
      </c>
      <c r="AC81" s="229">
        <v>6.7999999999999996E-3</v>
      </c>
      <c r="AD81" s="228">
        <v>4.1500000000000004</v>
      </c>
      <c r="AE81" s="228">
        <v>3.35</v>
      </c>
      <c r="AF81" s="228">
        <v>0.8</v>
      </c>
      <c r="AG81" s="229">
        <v>6.7999999999999996E-3</v>
      </c>
      <c r="AH81" s="228">
        <v>6.35</v>
      </c>
      <c r="AI81" s="228">
        <v>5.2</v>
      </c>
      <c r="AJ81" s="228">
        <v>1.1499999999999999</v>
      </c>
      <c r="AK81" s="229">
        <v>1.0500000000000001E-2</v>
      </c>
      <c r="AL81" s="228">
        <v>8.5500000000000007</v>
      </c>
      <c r="AM81" s="228">
        <v>7.55</v>
      </c>
      <c r="AN81" s="228">
        <v>1</v>
      </c>
      <c r="AO81" s="229">
        <v>1.41E-2</v>
      </c>
      <c r="AP81" s="228">
        <v>605.62</v>
      </c>
      <c r="AQ81" s="228">
        <v>607.12</v>
      </c>
      <c r="AR81" s="228">
        <v>0</v>
      </c>
      <c r="AS81" s="230">
        <v>1310</v>
      </c>
      <c r="AT81" s="228">
        <v>398</v>
      </c>
      <c r="AU81" s="228">
        <v>913</v>
      </c>
      <c r="AV81" s="229">
        <v>2.2940999999999998</v>
      </c>
      <c r="AW81" s="230">
        <v>1248</v>
      </c>
      <c r="AX81" s="228">
        <v>377</v>
      </c>
      <c r="AY81" s="228">
        <v>871</v>
      </c>
      <c r="AZ81" s="229">
        <v>2.3119000000000001</v>
      </c>
      <c r="BA81" s="228">
        <v>57</v>
      </c>
      <c r="BB81" s="228">
        <v>17</v>
      </c>
      <c r="BC81" s="228">
        <v>40</v>
      </c>
      <c r="BD81" s="229">
        <v>2.3050000000000002</v>
      </c>
      <c r="BE81" s="228">
        <v>5</v>
      </c>
      <c r="BF81" s="228">
        <v>4</v>
      </c>
      <c r="BG81" s="228">
        <v>1</v>
      </c>
      <c r="BH81" s="229">
        <v>0.35849999999999999</v>
      </c>
      <c r="BI81" s="230">
        <v>3042</v>
      </c>
      <c r="BJ81" s="230">
        <v>1408</v>
      </c>
      <c r="BK81" s="230">
        <v>1633</v>
      </c>
      <c r="BL81" s="229">
        <v>1.1597</v>
      </c>
      <c r="BM81" s="230">
        <v>1096</v>
      </c>
      <c r="BN81" s="228">
        <v>563</v>
      </c>
      <c r="BO81" s="228">
        <v>533</v>
      </c>
      <c r="BP81" s="229">
        <v>0.94610000000000005</v>
      </c>
      <c r="BQ81" s="230">
        <v>5448</v>
      </c>
      <c r="BR81" s="230">
        <v>2369</v>
      </c>
      <c r="BS81" s="230">
        <v>3078</v>
      </c>
      <c r="BT81" s="229">
        <v>1.2994000000000001</v>
      </c>
      <c r="BU81" s="230">
        <v>44520670</v>
      </c>
      <c r="BV81" s="230">
        <v>4155089</v>
      </c>
      <c r="BW81" s="230">
        <v>40365581</v>
      </c>
      <c r="BX81" s="229">
        <v>9.7147000000000006</v>
      </c>
      <c r="BY81" s="230">
        <v>3157</v>
      </c>
      <c r="BZ81" s="230">
        <v>2706</v>
      </c>
      <c r="CA81" s="228">
        <v>452</v>
      </c>
      <c r="CB81" s="229">
        <v>0.16689999999999999</v>
      </c>
      <c r="CC81" s="230">
        <v>2879</v>
      </c>
      <c r="CD81" s="230">
        <v>2436</v>
      </c>
      <c r="CE81" s="228">
        <v>443</v>
      </c>
      <c r="CF81" s="229">
        <v>0.182</v>
      </c>
      <c r="CG81" s="228">
        <v>272</v>
      </c>
      <c r="CH81" s="228">
        <v>264</v>
      </c>
      <c r="CI81" s="228">
        <v>8</v>
      </c>
      <c r="CJ81" s="229">
        <v>2.9700000000000001E-2</v>
      </c>
      <c r="CK81" s="228">
        <v>6</v>
      </c>
      <c r="CL81" s="228">
        <v>6</v>
      </c>
      <c r="CM81" s="228">
        <v>0</v>
      </c>
      <c r="CN81" s="229">
        <v>7.0599999999999996E-2</v>
      </c>
      <c r="CO81" s="230">
        <v>1059</v>
      </c>
      <c r="CP81" s="228">
        <v>986</v>
      </c>
      <c r="CQ81" s="228">
        <v>73</v>
      </c>
      <c r="CR81" s="229">
        <v>7.3999999999999996E-2</v>
      </c>
      <c r="CS81" s="228">
        <v>597</v>
      </c>
      <c r="CT81" s="228">
        <v>545</v>
      </c>
      <c r="CU81" s="228">
        <v>51</v>
      </c>
      <c r="CV81" s="229">
        <v>9.3799999999999994E-2</v>
      </c>
      <c r="CW81" s="230">
        <v>4813</v>
      </c>
      <c r="CX81" s="230">
        <v>4237</v>
      </c>
      <c r="CY81" s="228">
        <v>576</v>
      </c>
      <c r="CZ81" s="229">
        <v>0.13589999999999999</v>
      </c>
      <c r="DA81" s="228">
        <v>24.83</v>
      </c>
      <c r="DB81" s="228">
        <v>25.15</v>
      </c>
      <c r="DC81" s="228">
        <v>-0.32</v>
      </c>
      <c r="DD81" s="228">
        <v>-0.32</v>
      </c>
      <c r="DE81" s="228">
        <v>27.6</v>
      </c>
      <c r="DF81" s="228">
        <v>27.53</v>
      </c>
      <c r="DG81" s="228">
        <v>-2.77</v>
      </c>
      <c r="DH81" s="228">
        <v>7.0000000000000007E-2</v>
      </c>
      <c r="DI81" s="228">
        <v>24.41</v>
      </c>
      <c r="DJ81" s="228">
        <v>24.6</v>
      </c>
      <c r="DK81" s="228">
        <v>-0.19</v>
      </c>
      <c r="DL81" s="228">
        <v>-0.19</v>
      </c>
      <c r="DM81" s="228">
        <v>26.02</v>
      </c>
      <c r="DN81" s="228">
        <v>26.54</v>
      </c>
      <c r="DO81" s="228">
        <v>-0.52</v>
      </c>
      <c r="DP81" s="228">
        <v>-0.52</v>
      </c>
      <c r="DQ81" s="228">
        <v>0.56000000000000005</v>
      </c>
      <c r="DR81" s="228">
        <v>0.55000000000000004</v>
      </c>
      <c r="DS81" s="228">
        <v>0.01</v>
      </c>
      <c r="DT81" s="229">
        <v>1.8200000000000001E-2</v>
      </c>
      <c r="DU81" s="228">
        <v>600</v>
      </c>
      <c r="DV81" s="228">
        <v>560</v>
      </c>
      <c r="DW81" s="228">
        <v>0.36</v>
      </c>
      <c r="DX81" s="228">
        <v>0.4</v>
      </c>
      <c r="DY81" s="228">
        <v>-0.04</v>
      </c>
      <c r="DZ81" s="229">
        <v>-0.1</v>
      </c>
      <c r="EA81" s="229">
        <v>8.8099999999999998E-2</v>
      </c>
      <c r="EB81" s="230">
        <v>4423100</v>
      </c>
      <c r="EC81" s="229">
        <v>3.5999999999999999E-3</v>
      </c>
      <c r="ED81" s="229">
        <v>8.8099999999999998E-2</v>
      </c>
      <c r="EE81" s="228">
        <v>1.5</v>
      </c>
      <c r="EF81" s="229">
        <v>2.5000000000000001E-3</v>
      </c>
      <c r="EG81" s="230">
        <v>32579188</v>
      </c>
      <c r="EH81" s="230">
        <v>2003961</v>
      </c>
      <c r="EI81" s="229">
        <v>15.257400000000001</v>
      </c>
      <c r="EJ81" s="229">
        <v>0.73180000000000001</v>
      </c>
      <c r="EK81" s="231">
        <v>3133.39</v>
      </c>
      <c r="EL81" s="231">
        <v>1070.8499999999999</v>
      </c>
      <c r="EM81" s="231">
        <v>1300</v>
      </c>
      <c r="EN81" s="228">
        <v>39</v>
      </c>
      <c r="EO81" s="231">
        <v>5504.24</v>
      </c>
      <c r="EP81" s="231">
        <v>2369.91</v>
      </c>
      <c r="EQ81" s="231">
        <v>3134.32</v>
      </c>
      <c r="ER81" s="229">
        <v>1.3225</v>
      </c>
      <c r="ES81" s="231">
        <v>1090.53</v>
      </c>
      <c r="ET81" s="228">
        <v>560.16</v>
      </c>
      <c r="EU81" s="231">
        <v>3158.32</v>
      </c>
      <c r="EV81" s="231">
        <v>156090005</v>
      </c>
      <c r="EW81" s="231">
        <v>4809</v>
      </c>
      <c r="EX81" s="231">
        <v>4172.79</v>
      </c>
      <c r="EY81" s="228">
        <v>636.21</v>
      </c>
      <c r="EZ81" s="229">
        <v>0.1525</v>
      </c>
      <c r="FA81" s="229">
        <v>0.50509999999999999</v>
      </c>
      <c r="FB81" s="227" t="s">
        <v>555</v>
      </c>
      <c r="FC81">
        <f t="shared" si="1"/>
        <v>278</v>
      </c>
    </row>
    <row r="82" spans="1:159" ht="17.25" thickBot="1" x14ac:dyDescent="0.3">
      <c r="A82" s="226">
        <v>46148</v>
      </c>
      <c r="B82" s="227" t="s">
        <v>162</v>
      </c>
      <c r="C82" s="227" t="s">
        <v>226</v>
      </c>
      <c r="D82" s="228">
        <v>150</v>
      </c>
      <c r="E82" s="228">
        <v>20</v>
      </c>
      <c r="F82" s="231">
        <v>5198</v>
      </c>
      <c r="G82" s="231">
        <v>5124</v>
      </c>
      <c r="H82" s="228">
        <v>74</v>
      </c>
      <c r="I82" s="229">
        <v>1.44E-2</v>
      </c>
      <c r="J82" s="231">
        <v>5170</v>
      </c>
      <c r="K82" s="231">
        <v>5109</v>
      </c>
      <c r="L82" s="228">
        <v>61</v>
      </c>
      <c r="M82" s="229">
        <v>1.1900000000000001E-2</v>
      </c>
      <c r="N82" s="231">
        <v>5198</v>
      </c>
      <c r="O82" s="231">
        <v>5124</v>
      </c>
      <c r="P82" s="228">
        <v>74</v>
      </c>
      <c r="Q82" s="229">
        <v>1.44E-2</v>
      </c>
      <c r="R82" s="231">
        <v>5232</v>
      </c>
      <c r="S82" s="231">
        <v>5155</v>
      </c>
      <c r="T82" s="228">
        <v>77</v>
      </c>
      <c r="U82" s="229">
        <v>1.49E-2</v>
      </c>
      <c r="V82" s="231">
        <v>5181</v>
      </c>
      <c r="W82" s="231">
        <v>5131.5</v>
      </c>
      <c r="X82" s="228">
        <v>49.5</v>
      </c>
      <c r="Y82" s="229">
        <v>9.5999999999999992E-3</v>
      </c>
      <c r="Z82" s="228">
        <v>28</v>
      </c>
      <c r="AA82" s="228">
        <v>15</v>
      </c>
      <c r="AB82" s="228">
        <v>13</v>
      </c>
      <c r="AC82" s="229">
        <v>5.4000000000000003E-3</v>
      </c>
      <c r="AD82" s="228">
        <v>28</v>
      </c>
      <c r="AE82" s="228">
        <v>15</v>
      </c>
      <c r="AF82" s="228">
        <v>13</v>
      </c>
      <c r="AG82" s="229">
        <v>5.4000000000000003E-3</v>
      </c>
      <c r="AH82" s="228">
        <v>62</v>
      </c>
      <c r="AI82" s="228">
        <v>46</v>
      </c>
      <c r="AJ82" s="228">
        <v>16</v>
      </c>
      <c r="AK82" s="229">
        <v>1.2E-2</v>
      </c>
      <c r="AL82" s="228">
        <v>11</v>
      </c>
      <c r="AM82" s="228">
        <v>22.5</v>
      </c>
      <c r="AN82" s="228">
        <v>-11.5</v>
      </c>
      <c r="AO82" s="229">
        <v>2.0999999999999999E-3</v>
      </c>
      <c r="AP82" s="231">
        <v>5126.9399999999996</v>
      </c>
      <c r="AQ82" s="231">
        <v>5167.6499999999996</v>
      </c>
      <c r="AR82" s="228">
        <v>0</v>
      </c>
      <c r="AS82" s="230">
        <v>2130</v>
      </c>
      <c r="AT82" s="228">
        <v>438</v>
      </c>
      <c r="AU82" s="230">
        <v>1691</v>
      </c>
      <c r="AV82" s="229">
        <v>3.8580999999999999</v>
      </c>
      <c r="AW82" s="230">
        <v>2015</v>
      </c>
      <c r="AX82" s="228">
        <v>417</v>
      </c>
      <c r="AY82" s="230">
        <v>1598</v>
      </c>
      <c r="AZ82" s="229">
        <v>3.8275999999999999</v>
      </c>
      <c r="BA82" s="228">
        <v>93</v>
      </c>
      <c r="BB82" s="228">
        <v>18</v>
      </c>
      <c r="BC82" s="228">
        <v>75</v>
      </c>
      <c r="BD82" s="229">
        <v>4.1073000000000004</v>
      </c>
      <c r="BE82" s="228">
        <v>22</v>
      </c>
      <c r="BF82" s="228">
        <v>3</v>
      </c>
      <c r="BG82" s="228">
        <v>19</v>
      </c>
      <c r="BH82" s="229">
        <v>6.7778</v>
      </c>
      <c r="BI82" s="230">
        <v>12609</v>
      </c>
      <c r="BJ82" s="230">
        <v>1960</v>
      </c>
      <c r="BK82" s="230">
        <v>10650</v>
      </c>
      <c r="BL82" s="229">
        <v>5.4347000000000003</v>
      </c>
      <c r="BM82" s="230">
        <v>5910</v>
      </c>
      <c r="BN82" s="228">
        <v>676</v>
      </c>
      <c r="BO82" s="230">
        <v>5233</v>
      </c>
      <c r="BP82" s="229">
        <v>7.7398999999999996</v>
      </c>
      <c r="BQ82" s="230">
        <v>20649</v>
      </c>
      <c r="BR82" s="230">
        <v>3074</v>
      </c>
      <c r="BS82" s="230">
        <v>17574</v>
      </c>
      <c r="BT82" s="229">
        <v>5.7168999999999999</v>
      </c>
      <c r="BU82" s="230">
        <v>2969189</v>
      </c>
      <c r="BV82" s="230">
        <v>602071</v>
      </c>
      <c r="BW82" s="230">
        <v>2367118</v>
      </c>
      <c r="BX82" s="229">
        <v>3.9316</v>
      </c>
      <c r="BY82" s="230">
        <v>2335</v>
      </c>
      <c r="BZ82" s="230">
        <v>2434</v>
      </c>
      <c r="CA82" s="228">
        <v>-99</v>
      </c>
      <c r="CB82" s="229">
        <v>-4.07E-2</v>
      </c>
      <c r="CC82" s="230">
        <v>2156</v>
      </c>
      <c r="CD82" s="230">
        <v>2271</v>
      </c>
      <c r="CE82" s="228">
        <v>-115</v>
      </c>
      <c r="CF82" s="229">
        <v>-5.0599999999999999E-2</v>
      </c>
      <c r="CG82" s="228">
        <v>167</v>
      </c>
      <c r="CH82" s="228">
        <v>158</v>
      </c>
      <c r="CI82" s="228">
        <v>9</v>
      </c>
      <c r="CJ82" s="229">
        <v>5.4800000000000001E-2</v>
      </c>
      <c r="CK82" s="228">
        <v>12</v>
      </c>
      <c r="CL82" s="228">
        <v>5</v>
      </c>
      <c r="CM82" s="228">
        <v>7</v>
      </c>
      <c r="CN82" s="229">
        <v>1.5333000000000001</v>
      </c>
      <c r="CO82" s="230">
        <v>1377</v>
      </c>
      <c r="CP82" s="230">
        <v>1150</v>
      </c>
      <c r="CQ82" s="228">
        <v>227</v>
      </c>
      <c r="CR82" s="229">
        <v>0.19769999999999999</v>
      </c>
      <c r="CS82" s="228">
        <v>759</v>
      </c>
      <c r="CT82" s="228">
        <v>621</v>
      </c>
      <c r="CU82" s="228">
        <v>138</v>
      </c>
      <c r="CV82" s="229">
        <v>0.2228</v>
      </c>
      <c r="CW82" s="230">
        <v>4471</v>
      </c>
      <c r="CX82" s="230">
        <v>4205</v>
      </c>
      <c r="CY82" s="228">
        <v>267</v>
      </c>
      <c r="CZ82" s="229">
        <v>6.3399999999999998E-2</v>
      </c>
      <c r="DA82" s="228">
        <v>30.02</v>
      </c>
      <c r="DB82" s="228">
        <v>34.74</v>
      </c>
      <c r="DC82" s="228">
        <v>-4.72</v>
      </c>
      <c r="DD82" s="228">
        <v>-4.72</v>
      </c>
      <c r="DE82" s="228">
        <v>33.159999999999997</v>
      </c>
      <c r="DF82" s="228">
        <v>33.19</v>
      </c>
      <c r="DG82" s="228">
        <v>-3.14</v>
      </c>
      <c r="DH82" s="228">
        <v>-0.03</v>
      </c>
      <c r="DI82" s="228">
        <v>29.44</v>
      </c>
      <c r="DJ82" s="228">
        <v>34.85</v>
      </c>
      <c r="DK82" s="228">
        <v>-5.41</v>
      </c>
      <c r="DL82" s="228">
        <v>-5.41</v>
      </c>
      <c r="DM82" s="228">
        <v>31.26</v>
      </c>
      <c r="DN82" s="228">
        <v>34.409999999999997</v>
      </c>
      <c r="DO82" s="228">
        <v>-3.15</v>
      </c>
      <c r="DP82" s="228">
        <v>-3.15</v>
      </c>
      <c r="DQ82" s="228">
        <v>0.55000000000000004</v>
      </c>
      <c r="DR82" s="228">
        <v>0.54</v>
      </c>
      <c r="DS82" s="228">
        <v>0.01</v>
      </c>
      <c r="DT82" s="229">
        <v>1.8499999999999999E-2</v>
      </c>
      <c r="DU82" s="231">
        <v>5500</v>
      </c>
      <c r="DV82" s="231">
        <v>5000</v>
      </c>
      <c r="DW82" s="228">
        <v>0.47</v>
      </c>
      <c r="DX82" s="228">
        <v>0.35</v>
      </c>
      <c r="DY82" s="228">
        <v>0.12</v>
      </c>
      <c r="DZ82" s="229">
        <v>0.34289999999999998</v>
      </c>
      <c r="EA82" s="229">
        <v>7.6399999999999996E-2</v>
      </c>
      <c r="EB82" s="230">
        <v>312900</v>
      </c>
      <c r="EC82" s="229">
        <v>6.4999999999999997E-3</v>
      </c>
      <c r="ED82" s="229">
        <v>7.6399999999999996E-2</v>
      </c>
      <c r="EE82" s="228">
        <v>40.71</v>
      </c>
      <c r="EF82" s="229">
        <v>7.9000000000000008E-3</v>
      </c>
      <c r="EG82" s="230">
        <v>904022</v>
      </c>
      <c r="EH82" s="230">
        <v>250953</v>
      </c>
      <c r="EI82" s="229">
        <v>2.6023999999999998</v>
      </c>
      <c r="EJ82" s="229">
        <v>0.30449999999999999</v>
      </c>
      <c r="EK82" s="231">
        <v>13182.22</v>
      </c>
      <c r="EL82" s="231">
        <v>5718.57</v>
      </c>
      <c r="EM82" s="231">
        <v>2101.44</v>
      </c>
      <c r="EN82" s="228">
        <v>50.1</v>
      </c>
      <c r="EO82" s="231">
        <v>21002.240000000002</v>
      </c>
      <c r="EP82" s="231">
        <v>3123.24</v>
      </c>
      <c r="EQ82" s="231">
        <v>17879</v>
      </c>
      <c r="ER82" s="229">
        <v>5.7244999999999999</v>
      </c>
      <c r="ES82" s="231">
        <v>1440.1</v>
      </c>
      <c r="ET82" s="228">
        <v>720.82</v>
      </c>
      <c r="EU82" s="231">
        <v>2335.94</v>
      </c>
      <c r="EV82" s="231">
        <v>19589014</v>
      </c>
      <c r="EW82" s="231">
        <v>4496.8599999999997</v>
      </c>
      <c r="EX82" s="231">
        <v>4183.8599999999997</v>
      </c>
      <c r="EY82" s="228">
        <v>313</v>
      </c>
      <c r="EZ82" s="229">
        <v>7.4800000000000005E-2</v>
      </c>
      <c r="FA82" s="229">
        <v>0.43909999999999999</v>
      </c>
      <c r="FB82" s="227" t="s">
        <v>691</v>
      </c>
      <c r="FC82">
        <f t="shared" si="1"/>
        <v>179</v>
      </c>
    </row>
    <row r="83" spans="1:159" ht="17.25" thickBot="1" x14ac:dyDescent="0.3">
      <c r="A83" s="226">
        <v>46148</v>
      </c>
      <c r="B83" s="227" t="s">
        <v>227</v>
      </c>
      <c r="C83" s="227" t="s">
        <v>228</v>
      </c>
      <c r="D83" s="228">
        <v>700</v>
      </c>
      <c r="E83" s="228">
        <v>20</v>
      </c>
      <c r="F83" s="231">
        <v>1052</v>
      </c>
      <c r="G83" s="231">
        <v>1057.5</v>
      </c>
      <c r="H83" s="228">
        <v>-5.5</v>
      </c>
      <c r="I83" s="229">
        <v>-5.1999999999999998E-3</v>
      </c>
      <c r="J83" s="231">
        <v>1045.8</v>
      </c>
      <c r="K83" s="231">
        <v>1054.7</v>
      </c>
      <c r="L83" s="228">
        <v>-8.9</v>
      </c>
      <c r="M83" s="229">
        <v>-8.3999999999999995E-3</v>
      </c>
      <c r="N83" s="231">
        <v>1052</v>
      </c>
      <c r="O83" s="231">
        <v>1057.5</v>
      </c>
      <c r="P83" s="228">
        <v>-5.5</v>
      </c>
      <c r="Q83" s="229">
        <v>-5.1999999999999998E-3</v>
      </c>
      <c r="R83" s="231">
        <v>1058.8</v>
      </c>
      <c r="S83" s="231">
        <v>1064.2</v>
      </c>
      <c r="T83" s="228">
        <v>-5.4</v>
      </c>
      <c r="U83" s="229">
        <v>-5.1000000000000004E-3</v>
      </c>
      <c r="V83" s="231">
        <v>1064.2</v>
      </c>
      <c r="W83" s="231">
        <v>1068.2</v>
      </c>
      <c r="X83" s="228">
        <v>-4</v>
      </c>
      <c r="Y83" s="229">
        <v>-3.7000000000000002E-3</v>
      </c>
      <c r="Z83" s="228">
        <v>6.2</v>
      </c>
      <c r="AA83" s="228">
        <v>2.8</v>
      </c>
      <c r="AB83" s="228">
        <v>3.4</v>
      </c>
      <c r="AC83" s="229">
        <v>5.8999999999999999E-3</v>
      </c>
      <c r="AD83" s="228">
        <v>6.2</v>
      </c>
      <c r="AE83" s="228">
        <v>2.8</v>
      </c>
      <c r="AF83" s="228">
        <v>3.4</v>
      </c>
      <c r="AG83" s="229">
        <v>5.8999999999999999E-3</v>
      </c>
      <c r="AH83" s="228">
        <v>13</v>
      </c>
      <c r="AI83" s="228">
        <v>9.5</v>
      </c>
      <c r="AJ83" s="228">
        <v>3.5</v>
      </c>
      <c r="AK83" s="229">
        <v>1.24E-2</v>
      </c>
      <c r="AL83" s="228">
        <v>18.399999999999999</v>
      </c>
      <c r="AM83" s="228">
        <v>13.5</v>
      </c>
      <c r="AN83" s="228">
        <v>4.9000000000000004</v>
      </c>
      <c r="AO83" s="229">
        <v>1.7600000000000001E-2</v>
      </c>
      <c r="AP83" s="231">
        <v>1061.93</v>
      </c>
      <c r="AQ83" s="231">
        <v>1069.1300000000001</v>
      </c>
      <c r="AR83" s="228">
        <v>0</v>
      </c>
      <c r="AS83" s="228">
        <v>634</v>
      </c>
      <c r="AT83" s="228">
        <v>507</v>
      </c>
      <c r="AU83" s="228">
        <v>126</v>
      </c>
      <c r="AV83" s="229">
        <v>0.24909999999999999</v>
      </c>
      <c r="AW83" s="228">
        <v>598</v>
      </c>
      <c r="AX83" s="228">
        <v>479</v>
      </c>
      <c r="AY83" s="228">
        <v>119</v>
      </c>
      <c r="AZ83" s="229">
        <v>0.24879999999999999</v>
      </c>
      <c r="BA83" s="228">
        <v>32</v>
      </c>
      <c r="BB83" s="228">
        <v>27</v>
      </c>
      <c r="BC83" s="228">
        <v>5</v>
      </c>
      <c r="BD83" s="229">
        <v>0.18429999999999999</v>
      </c>
      <c r="BE83" s="228">
        <v>3</v>
      </c>
      <c r="BF83" s="228">
        <v>1</v>
      </c>
      <c r="BG83" s="228">
        <v>2</v>
      </c>
      <c r="BH83" s="229">
        <v>2.0714000000000001</v>
      </c>
      <c r="BI83" s="230">
        <v>1074</v>
      </c>
      <c r="BJ83" s="230">
        <v>1216</v>
      </c>
      <c r="BK83" s="228">
        <v>-142</v>
      </c>
      <c r="BL83" s="229">
        <v>-0.1171</v>
      </c>
      <c r="BM83" s="228">
        <v>612</v>
      </c>
      <c r="BN83" s="228">
        <v>720</v>
      </c>
      <c r="BO83" s="228">
        <v>-108</v>
      </c>
      <c r="BP83" s="229">
        <v>-0.14990000000000001</v>
      </c>
      <c r="BQ83" s="230">
        <v>2320</v>
      </c>
      <c r="BR83" s="230">
        <v>2444</v>
      </c>
      <c r="BS83" s="228">
        <v>-124</v>
      </c>
      <c r="BT83" s="229">
        <v>-5.0799999999999998E-2</v>
      </c>
      <c r="BU83" s="230">
        <v>5540199</v>
      </c>
      <c r="BV83" s="230">
        <v>4771152</v>
      </c>
      <c r="BW83" s="230">
        <v>769047</v>
      </c>
      <c r="BX83" s="229">
        <v>0.16120000000000001</v>
      </c>
      <c r="BY83" s="230">
        <v>3561</v>
      </c>
      <c r="BZ83" s="230">
        <v>3613</v>
      </c>
      <c r="CA83" s="228">
        <v>-52</v>
      </c>
      <c r="CB83" s="229">
        <v>-1.4500000000000001E-2</v>
      </c>
      <c r="CC83" s="230">
        <v>3196</v>
      </c>
      <c r="CD83" s="230">
        <v>3261</v>
      </c>
      <c r="CE83" s="228">
        <v>-65</v>
      </c>
      <c r="CF83" s="229">
        <v>-1.9900000000000001E-2</v>
      </c>
      <c r="CG83" s="228">
        <v>360</v>
      </c>
      <c r="CH83" s="228">
        <v>348</v>
      </c>
      <c r="CI83" s="228">
        <v>13</v>
      </c>
      <c r="CJ83" s="229">
        <v>3.5999999999999997E-2</v>
      </c>
      <c r="CK83" s="228">
        <v>4</v>
      </c>
      <c r="CL83" s="228">
        <v>4</v>
      </c>
      <c r="CM83" s="228">
        <v>0</v>
      </c>
      <c r="CN83" s="229">
        <v>5.5599999999999997E-2</v>
      </c>
      <c r="CO83" s="228">
        <v>764</v>
      </c>
      <c r="CP83" s="228">
        <v>685</v>
      </c>
      <c r="CQ83" s="228">
        <v>79</v>
      </c>
      <c r="CR83" s="229">
        <v>0.1159</v>
      </c>
      <c r="CS83" s="228">
        <v>550</v>
      </c>
      <c r="CT83" s="228">
        <v>529</v>
      </c>
      <c r="CU83" s="228">
        <v>21</v>
      </c>
      <c r="CV83" s="229">
        <v>3.9E-2</v>
      </c>
      <c r="CW83" s="230">
        <v>4874</v>
      </c>
      <c r="CX83" s="230">
        <v>4827</v>
      </c>
      <c r="CY83" s="228">
        <v>48</v>
      </c>
      <c r="CZ83" s="229">
        <v>9.9000000000000008E-3</v>
      </c>
      <c r="DA83" s="228">
        <v>33</v>
      </c>
      <c r="DB83" s="228">
        <v>32.94</v>
      </c>
      <c r="DC83" s="228">
        <v>0.06</v>
      </c>
      <c r="DD83" s="228">
        <v>0.06</v>
      </c>
      <c r="DE83" s="228">
        <v>36.06</v>
      </c>
      <c r="DF83" s="228">
        <v>36.130000000000003</v>
      </c>
      <c r="DG83" s="228">
        <v>-3.06</v>
      </c>
      <c r="DH83" s="228">
        <v>-7.0000000000000007E-2</v>
      </c>
      <c r="DI83" s="228">
        <v>32.72</v>
      </c>
      <c r="DJ83" s="228">
        <v>32.299999999999997</v>
      </c>
      <c r="DK83" s="228">
        <v>0.42</v>
      </c>
      <c r="DL83" s="228">
        <v>0.42</v>
      </c>
      <c r="DM83" s="228">
        <v>33.49</v>
      </c>
      <c r="DN83" s="228">
        <v>34.03</v>
      </c>
      <c r="DO83" s="228">
        <v>-0.54</v>
      </c>
      <c r="DP83" s="228">
        <v>-0.54</v>
      </c>
      <c r="DQ83" s="228">
        <v>0.72</v>
      </c>
      <c r="DR83" s="228">
        <v>0.77</v>
      </c>
      <c r="DS83" s="228">
        <v>-0.05</v>
      </c>
      <c r="DT83" s="229">
        <v>-6.4899999999999999E-2</v>
      </c>
      <c r="DU83" s="231">
        <v>1100</v>
      </c>
      <c r="DV83" s="231">
        <v>1050</v>
      </c>
      <c r="DW83" s="228">
        <v>0.56999999999999995</v>
      </c>
      <c r="DX83" s="228">
        <v>0.59</v>
      </c>
      <c r="DY83" s="228">
        <v>-0.02</v>
      </c>
      <c r="DZ83" s="229">
        <v>-3.39E-2</v>
      </c>
      <c r="EA83" s="229">
        <v>0.1023</v>
      </c>
      <c r="EB83" s="230">
        <v>3341100</v>
      </c>
      <c r="EC83" s="229">
        <v>6.4999999999999997E-3</v>
      </c>
      <c r="ED83" s="229">
        <v>0.1023</v>
      </c>
      <c r="EE83" s="228">
        <v>7.2</v>
      </c>
      <c r="EF83" s="229">
        <v>6.7999999999999996E-3</v>
      </c>
      <c r="EG83" s="230">
        <v>3289117</v>
      </c>
      <c r="EH83" s="230">
        <v>2610944</v>
      </c>
      <c r="EI83" s="229">
        <v>0.25969999999999999</v>
      </c>
      <c r="EJ83" s="229">
        <v>0.59370000000000001</v>
      </c>
      <c r="EK83" s="231">
        <v>1135.04</v>
      </c>
      <c r="EL83" s="228">
        <v>615.77</v>
      </c>
      <c r="EM83" s="228">
        <v>639.91</v>
      </c>
      <c r="EN83" s="228">
        <v>72.180000000000007</v>
      </c>
      <c r="EO83" s="231">
        <v>2390.73</v>
      </c>
      <c r="EP83" s="231">
        <v>2508.37</v>
      </c>
      <c r="EQ83" s="228">
        <v>-117.64</v>
      </c>
      <c r="ER83" s="229">
        <v>-4.6899999999999997E-2</v>
      </c>
      <c r="ES83" s="228">
        <v>790.08</v>
      </c>
      <c r="ET83" s="228">
        <v>523.61</v>
      </c>
      <c r="EU83" s="231">
        <v>3563.02</v>
      </c>
      <c r="EV83" s="231">
        <v>218611634</v>
      </c>
      <c r="EW83" s="231">
        <v>4876.71</v>
      </c>
      <c r="EX83" s="231">
        <v>4844.28</v>
      </c>
      <c r="EY83" s="228">
        <v>32.43</v>
      </c>
      <c r="EZ83" s="229">
        <v>6.7000000000000002E-3</v>
      </c>
      <c r="FA83" s="229">
        <v>0.21190000000000001</v>
      </c>
      <c r="FB83" s="227" t="s">
        <v>567</v>
      </c>
      <c r="FC83">
        <f t="shared" si="1"/>
        <v>365</v>
      </c>
    </row>
    <row r="84" spans="1:159" ht="17.25" thickBot="1" x14ac:dyDescent="0.3">
      <c r="A84" s="226">
        <v>46148</v>
      </c>
      <c r="B84" s="227" t="s">
        <v>193</v>
      </c>
      <c r="C84" s="227" t="s">
        <v>229</v>
      </c>
      <c r="D84" s="228">
        <v>2025</v>
      </c>
      <c r="E84" s="228">
        <v>20</v>
      </c>
      <c r="F84" s="228">
        <v>401.7</v>
      </c>
      <c r="G84" s="228">
        <v>376.25</v>
      </c>
      <c r="H84" s="228">
        <v>25.45</v>
      </c>
      <c r="I84" s="229">
        <v>6.7599999999999993E-2</v>
      </c>
      <c r="J84" s="228">
        <v>399.2</v>
      </c>
      <c r="K84" s="228">
        <v>373.9</v>
      </c>
      <c r="L84" s="228">
        <v>25.3</v>
      </c>
      <c r="M84" s="229">
        <v>6.7699999999999996E-2</v>
      </c>
      <c r="N84" s="228">
        <v>401.7</v>
      </c>
      <c r="O84" s="228">
        <v>376.25</v>
      </c>
      <c r="P84" s="228">
        <v>25.45</v>
      </c>
      <c r="Q84" s="229">
        <v>6.7599999999999993E-2</v>
      </c>
      <c r="R84" s="228">
        <v>404.4</v>
      </c>
      <c r="S84" s="228">
        <v>378.55</v>
      </c>
      <c r="T84" s="228">
        <v>25.85</v>
      </c>
      <c r="U84" s="229">
        <v>6.83E-2</v>
      </c>
      <c r="V84" s="228">
        <v>405.65</v>
      </c>
      <c r="W84" s="228">
        <v>380.3</v>
      </c>
      <c r="X84" s="228">
        <v>25.35</v>
      </c>
      <c r="Y84" s="229">
        <v>6.6699999999999995E-2</v>
      </c>
      <c r="Z84" s="228">
        <v>2.5</v>
      </c>
      <c r="AA84" s="228">
        <v>2.35</v>
      </c>
      <c r="AB84" s="228">
        <v>0.15</v>
      </c>
      <c r="AC84" s="229">
        <v>6.3E-3</v>
      </c>
      <c r="AD84" s="228">
        <v>2.5</v>
      </c>
      <c r="AE84" s="228">
        <v>2.35</v>
      </c>
      <c r="AF84" s="228">
        <v>0.15</v>
      </c>
      <c r="AG84" s="229">
        <v>6.3E-3</v>
      </c>
      <c r="AH84" s="228">
        <v>5.2</v>
      </c>
      <c r="AI84" s="228">
        <v>4.6500000000000004</v>
      </c>
      <c r="AJ84" s="228">
        <v>0.55000000000000004</v>
      </c>
      <c r="AK84" s="229">
        <v>1.2999999999999999E-2</v>
      </c>
      <c r="AL84" s="228">
        <v>6.45</v>
      </c>
      <c r="AM84" s="228">
        <v>6.4</v>
      </c>
      <c r="AN84" s="228">
        <v>0.05</v>
      </c>
      <c r="AO84" s="229">
        <v>1.6199999999999999E-2</v>
      </c>
      <c r="AP84" s="228">
        <v>394.63</v>
      </c>
      <c r="AQ84" s="228">
        <v>396.07</v>
      </c>
      <c r="AR84" s="228">
        <v>0</v>
      </c>
      <c r="AS84" s="228">
        <v>608</v>
      </c>
      <c r="AT84" s="228">
        <v>260</v>
      </c>
      <c r="AU84" s="228">
        <v>349</v>
      </c>
      <c r="AV84" s="229">
        <v>1.3433999999999999</v>
      </c>
      <c r="AW84" s="228">
        <v>572</v>
      </c>
      <c r="AX84" s="228">
        <v>249</v>
      </c>
      <c r="AY84" s="228">
        <v>322</v>
      </c>
      <c r="AZ84" s="229">
        <v>1.2911999999999999</v>
      </c>
      <c r="BA84" s="228">
        <v>34</v>
      </c>
      <c r="BB84" s="228">
        <v>9</v>
      </c>
      <c r="BC84" s="228">
        <v>24</v>
      </c>
      <c r="BD84" s="229">
        <v>2.6139999999999999</v>
      </c>
      <c r="BE84" s="228">
        <v>3</v>
      </c>
      <c r="BF84" s="228">
        <v>1</v>
      </c>
      <c r="BG84" s="228">
        <v>2</v>
      </c>
      <c r="BH84" s="229">
        <v>2.7273000000000001</v>
      </c>
      <c r="BI84" s="230">
        <v>1802</v>
      </c>
      <c r="BJ84" s="228">
        <v>476</v>
      </c>
      <c r="BK84" s="230">
        <v>1326</v>
      </c>
      <c r="BL84" s="229">
        <v>2.7850000000000001</v>
      </c>
      <c r="BM84" s="228">
        <v>986</v>
      </c>
      <c r="BN84" s="228">
        <v>296</v>
      </c>
      <c r="BO84" s="228">
        <v>690</v>
      </c>
      <c r="BP84" s="229">
        <v>2.3285</v>
      </c>
      <c r="BQ84" s="230">
        <v>3396</v>
      </c>
      <c r="BR84" s="230">
        <v>1032</v>
      </c>
      <c r="BS84" s="230">
        <v>2364</v>
      </c>
      <c r="BT84" s="229">
        <v>2.2911999999999999</v>
      </c>
      <c r="BU84" s="230">
        <v>13347533</v>
      </c>
      <c r="BV84" s="230">
        <v>6408995</v>
      </c>
      <c r="BW84" s="230">
        <v>6938538</v>
      </c>
      <c r="BX84" s="229">
        <v>1.0826</v>
      </c>
      <c r="BY84" s="230">
        <v>1586</v>
      </c>
      <c r="BZ84" s="230">
        <v>1552</v>
      </c>
      <c r="CA84" s="228">
        <v>34</v>
      </c>
      <c r="CB84" s="229">
        <v>2.1700000000000001E-2</v>
      </c>
      <c r="CC84" s="230">
        <v>1529</v>
      </c>
      <c r="CD84" s="230">
        <v>1498</v>
      </c>
      <c r="CE84" s="228">
        <v>31</v>
      </c>
      <c r="CF84" s="229">
        <v>2.07E-2</v>
      </c>
      <c r="CG84" s="228">
        <v>55</v>
      </c>
      <c r="CH84" s="228">
        <v>53</v>
      </c>
      <c r="CI84" s="228">
        <v>2</v>
      </c>
      <c r="CJ84" s="229">
        <v>3.5400000000000001E-2</v>
      </c>
      <c r="CK84" s="228">
        <v>2</v>
      </c>
      <c r="CL84" s="228">
        <v>1</v>
      </c>
      <c r="CM84" s="228">
        <v>1</v>
      </c>
      <c r="CN84" s="229">
        <v>0.55559999999999998</v>
      </c>
      <c r="CO84" s="228">
        <v>499</v>
      </c>
      <c r="CP84" s="228">
        <v>404</v>
      </c>
      <c r="CQ84" s="228">
        <v>95</v>
      </c>
      <c r="CR84" s="229">
        <v>0.23599999999999999</v>
      </c>
      <c r="CS84" s="228">
        <v>530</v>
      </c>
      <c r="CT84" s="228">
        <v>465</v>
      </c>
      <c r="CU84" s="228">
        <v>65</v>
      </c>
      <c r="CV84" s="229">
        <v>0.14000000000000001</v>
      </c>
      <c r="CW84" s="230">
        <v>2615</v>
      </c>
      <c r="CX84" s="230">
        <v>2421</v>
      </c>
      <c r="CY84" s="228">
        <v>194</v>
      </c>
      <c r="CZ84" s="229">
        <v>8.0199999999999994E-2</v>
      </c>
      <c r="DA84" s="228">
        <v>45.86</v>
      </c>
      <c r="DB84" s="228">
        <v>43.56</v>
      </c>
      <c r="DC84" s="228">
        <v>2.2999999999999998</v>
      </c>
      <c r="DD84" s="228">
        <v>2.2999999999999998</v>
      </c>
      <c r="DE84" s="228">
        <v>44.21</v>
      </c>
      <c r="DF84" s="228">
        <v>43.43</v>
      </c>
      <c r="DG84" s="228">
        <v>1.65</v>
      </c>
      <c r="DH84" s="228">
        <v>0.78</v>
      </c>
      <c r="DI84" s="228">
        <v>44.69</v>
      </c>
      <c r="DJ84" s="228">
        <v>42.55</v>
      </c>
      <c r="DK84" s="228">
        <v>2.14</v>
      </c>
      <c r="DL84" s="228">
        <v>2.14</v>
      </c>
      <c r="DM84" s="228">
        <v>48.02</v>
      </c>
      <c r="DN84" s="228">
        <v>45.2</v>
      </c>
      <c r="DO84" s="228">
        <v>2.82</v>
      </c>
      <c r="DP84" s="228">
        <v>2.82</v>
      </c>
      <c r="DQ84" s="228">
        <v>1.06</v>
      </c>
      <c r="DR84" s="228">
        <v>1.1499999999999999</v>
      </c>
      <c r="DS84" s="228">
        <v>-0.09</v>
      </c>
      <c r="DT84" s="229">
        <v>-7.8299999999999995E-2</v>
      </c>
      <c r="DU84" s="228">
        <v>400</v>
      </c>
      <c r="DV84" s="228">
        <v>380</v>
      </c>
      <c r="DW84" s="228">
        <v>0.55000000000000004</v>
      </c>
      <c r="DX84" s="228">
        <v>0.62</v>
      </c>
      <c r="DY84" s="228">
        <v>-7.0000000000000007E-2</v>
      </c>
      <c r="DZ84" s="229">
        <v>-0.1129</v>
      </c>
      <c r="EA84" s="229">
        <v>3.5900000000000001E-2</v>
      </c>
      <c r="EB84" s="230">
        <v>1350675</v>
      </c>
      <c r="EC84" s="229">
        <v>6.7000000000000002E-3</v>
      </c>
      <c r="ED84" s="229">
        <v>3.5900000000000001E-2</v>
      </c>
      <c r="EE84" s="228">
        <v>1.44</v>
      </c>
      <c r="EF84" s="229">
        <v>3.5999999999999999E-3</v>
      </c>
      <c r="EG84" s="230">
        <v>6009122</v>
      </c>
      <c r="EH84" s="230">
        <v>3168389</v>
      </c>
      <c r="EI84" s="229">
        <v>0.89659999999999995</v>
      </c>
      <c r="EJ84" s="229">
        <v>0.45019999999999999</v>
      </c>
      <c r="EK84" s="231">
        <v>1869.33</v>
      </c>
      <c r="EL84" s="228">
        <v>935.67</v>
      </c>
      <c r="EM84" s="228">
        <v>597.88</v>
      </c>
      <c r="EN84" s="228">
        <v>34.17</v>
      </c>
      <c r="EO84" s="231">
        <v>3402.87</v>
      </c>
      <c r="EP84" s="228">
        <v>993.45</v>
      </c>
      <c r="EQ84" s="231">
        <v>2409.42</v>
      </c>
      <c r="ER84" s="229">
        <v>2.4253</v>
      </c>
      <c r="ES84" s="228">
        <v>494.66</v>
      </c>
      <c r="ET84" s="228">
        <v>480.34</v>
      </c>
      <c r="EU84" s="231">
        <v>1586.44</v>
      </c>
      <c r="EV84" s="231">
        <v>143933168</v>
      </c>
      <c r="EW84" s="231">
        <v>2561.4499999999998</v>
      </c>
      <c r="EX84" s="231">
        <v>2268.4499999999998</v>
      </c>
      <c r="EY84" s="228">
        <v>293</v>
      </c>
      <c r="EZ84" s="229">
        <v>0.12920000000000001</v>
      </c>
      <c r="FA84" s="229">
        <v>0.45229999999999998</v>
      </c>
      <c r="FB84" s="227" t="s">
        <v>555</v>
      </c>
      <c r="FC84">
        <f t="shared" si="1"/>
        <v>57</v>
      </c>
    </row>
    <row r="85" spans="1:159" ht="17.25" thickBot="1" x14ac:dyDescent="0.3">
      <c r="A85" s="226">
        <v>46148</v>
      </c>
      <c r="B85" s="227" t="s">
        <v>168</v>
      </c>
      <c r="C85" s="227" t="s">
        <v>230</v>
      </c>
      <c r="D85" s="228">
        <v>300</v>
      </c>
      <c r="E85" s="228">
        <v>20</v>
      </c>
      <c r="F85" s="231">
        <v>2326.8000000000002</v>
      </c>
      <c r="G85" s="231">
        <v>2332.1</v>
      </c>
      <c r="H85" s="228">
        <v>-5.3</v>
      </c>
      <c r="I85" s="229">
        <v>-2.3E-3</v>
      </c>
      <c r="J85" s="231">
        <v>2317.1</v>
      </c>
      <c r="K85" s="231">
        <v>2327.4</v>
      </c>
      <c r="L85" s="228">
        <v>-10.3</v>
      </c>
      <c r="M85" s="229">
        <v>-4.4000000000000003E-3</v>
      </c>
      <c r="N85" s="231">
        <v>2326.8000000000002</v>
      </c>
      <c r="O85" s="231">
        <v>2332.1</v>
      </c>
      <c r="P85" s="228">
        <v>-5.3</v>
      </c>
      <c r="Q85" s="229">
        <v>-2.3E-3</v>
      </c>
      <c r="R85" s="231">
        <v>2319.1</v>
      </c>
      <c r="S85" s="231">
        <v>2323</v>
      </c>
      <c r="T85" s="228">
        <v>-3.9</v>
      </c>
      <c r="U85" s="229">
        <v>-1.6999999999999999E-3</v>
      </c>
      <c r="V85" s="231">
        <v>2331.3000000000002</v>
      </c>
      <c r="W85" s="231">
        <v>2335.1999999999998</v>
      </c>
      <c r="X85" s="228">
        <v>-3.9</v>
      </c>
      <c r="Y85" s="229">
        <v>-1.6999999999999999E-3</v>
      </c>
      <c r="Z85" s="228">
        <v>9.6999999999999993</v>
      </c>
      <c r="AA85" s="228">
        <v>4.7</v>
      </c>
      <c r="AB85" s="228">
        <v>5</v>
      </c>
      <c r="AC85" s="229">
        <v>4.1999999999999997E-3</v>
      </c>
      <c r="AD85" s="228">
        <v>9.6999999999999993</v>
      </c>
      <c r="AE85" s="228">
        <v>4.7</v>
      </c>
      <c r="AF85" s="228">
        <v>5</v>
      </c>
      <c r="AG85" s="229">
        <v>4.1999999999999997E-3</v>
      </c>
      <c r="AH85" s="228">
        <v>2</v>
      </c>
      <c r="AI85" s="228">
        <v>-4.4000000000000004</v>
      </c>
      <c r="AJ85" s="228">
        <v>6.4</v>
      </c>
      <c r="AK85" s="229">
        <v>8.9999999999999998E-4</v>
      </c>
      <c r="AL85" s="228">
        <v>14.2</v>
      </c>
      <c r="AM85" s="228">
        <v>7.8</v>
      </c>
      <c r="AN85" s="228">
        <v>6.4</v>
      </c>
      <c r="AO85" s="229">
        <v>6.1000000000000004E-3</v>
      </c>
      <c r="AP85" s="231">
        <v>2313.3000000000002</v>
      </c>
      <c r="AQ85" s="231">
        <v>2303.33</v>
      </c>
      <c r="AR85" s="228">
        <v>0</v>
      </c>
      <c r="AS85" s="228">
        <v>414</v>
      </c>
      <c r="AT85" s="228">
        <v>418</v>
      </c>
      <c r="AU85" s="228">
        <v>-4</v>
      </c>
      <c r="AV85" s="229">
        <v>-8.8000000000000005E-3</v>
      </c>
      <c r="AW85" s="228">
        <v>377</v>
      </c>
      <c r="AX85" s="228">
        <v>391</v>
      </c>
      <c r="AY85" s="228">
        <v>-14</v>
      </c>
      <c r="AZ85" s="229">
        <v>-3.6600000000000001E-2</v>
      </c>
      <c r="BA85" s="228">
        <v>33</v>
      </c>
      <c r="BB85" s="228">
        <v>25</v>
      </c>
      <c r="BC85" s="228">
        <v>8</v>
      </c>
      <c r="BD85" s="229">
        <v>0.31040000000000001</v>
      </c>
      <c r="BE85" s="228">
        <v>4</v>
      </c>
      <c r="BF85" s="228">
        <v>2</v>
      </c>
      <c r="BG85" s="228">
        <v>3</v>
      </c>
      <c r="BH85" s="229">
        <v>1.625</v>
      </c>
      <c r="BI85" s="230">
        <v>2241</v>
      </c>
      <c r="BJ85" s="230">
        <v>1930</v>
      </c>
      <c r="BK85" s="228">
        <v>310</v>
      </c>
      <c r="BL85" s="229">
        <v>0.1608</v>
      </c>
      <c r="BM85" s="230">
        <v>1286</v>
      </c>
      <c r="BN85" s="230">
        <v>1070</v>
      </c>
      <c r="BO85" s="228">
        <v>216</v>
      </c>
      <c r="BP85" s="229">
        <v>0.20180000000000001</v>
      </c>
      <c r="BQ85" s="230">
        <v>3942</v>
      </c>
      <c r="BR85" s="230">
        <v>3419</v>
      </c>
      <c r="BS85" s="228">
        <v>523</v>
      </c>
      <c r="BT85" s="229">
        <v>0.15290000000000001</v>
      </c>
      <c r="BU85" s="230">
        <v>1314161</v>
      </c>
      <c r="BV85" s="230">
        <v>2111453</v>
      </c>
      <c r="BW85" s="230">
        <v>-797292</v>
      </c>
      <c r="BX85" s="229">
        <v>-0.37759999999999999</v>
      </c>
      <c r="BY85" s="230">
        <v>3552</v>
      </c>
      <c r="BZ85" s="230">
        <v>3501</v>
      </c>
      <c r="CA85" s="228">
        <v>51</v>
      </c>
      <c r="CB85" s="229">
        <v>1.4500000000000001E-2</v>
      </c>
      <c r="CC85" s="230">
        <v>3379</v>
      </c>
      <c r="CD85" s="230">
        <v>3342</v>
      </c>
      <c r="CE85" s="228">
        <v>37</v>
      </c>
      <c r="CF85" s="229">
        <v>1.11E-2</v>
      </c>
      <c r="CG85" s="228">
        <v>163</v>
      </c>
      <c r="CH85" s="228">
        <v>152</v>
      </c>
      <c r="CI85" s="228">
        <v>11</v>
      </c>
      <c r="CJ85" s="229">
        <v>7.2499999999999995E-2</v>
      </c>
      <c r="CK85" s="228">
        <v>9</v>
      </c>
      <c r="CL85" s="228">
        <v>7</v>
      </c>
      <c r="CM85" s="228">
        <v>3</v>
      </c>
      <c r="CN85" s="229">
        <v>0.37759999999999999</v>
      </c>
      <c r="CO85" s="230">
        <v>1856</v>
      </c>
      <c r="CP85" s="230">
        <v>1752</v>
      </c>
      <c r="CQ85" s="228">
        <v>104</v>
      </c>
      <c r="CR85" s="229">
        <v>5.9299999999999999E-2</v>
      </c>
      <c r="CS85" s="228">
        <v>975</v>
      </c>
      <c r="CT85" s="228">
        <v>994</v>
      </c>
      <c r="CU85" s="228">
        <v>-19</v>
      </c>
      <c r="CV85" s="229">
        <v>-1.9300000000000001E-2</v>
      </c>
      <c r="CW85" s="230">
        <v>6383</v>
      </c>
      <c r="CX85" s="230">
        <v>6247</v>
      </c>
      <c r="CY85" s="228">
        <v>135</v>
      </c>
      <c r="CZ85" s="229">
        <v>2.1700000000000001E-2</v>
      </c>
      <c r="DA85" s="228">
        <v>21.81</v>
      </c>
      <c r="DB85" s="228">
        <v>22.42</v>
      </c>
      <c r="DC85" s="228">
        <v>-0.61</v>
      </c>
      <c r="DD85" s="228">
        <v>-0.61</v>
      </c>
      <c r="DE85" s="228">
        <v>24.71</v>
      </c>
      <c r="DF85" s="228">
        <v>24.76</v>
      </c>
      <c r="DG85" s="228">
        <v>-2.9</v>
      </c>
      <c r="DH85" s="228">
        <v>-0.05</v>
      </c>
      <c r="DI85" s="228">
        <v>21.56</v>
      </c>
      <c r="DJ85" s="228">
        <v>21.78</v>
      </c>
      <c r="DK85" s="228">
        <v>-0.22</v>
      </c>
      <c r="DL85" s="228">
        <v>-0.22</v>
      </c>
      <c r="DM85" s="228">
        <v>22.26</v>
      </c>
      <c r="DN85" s="228">
        <v>23.59</v>
      </c>
      <c r="DO85" s="228">
        <v>-1.33</v>
      </c>
      <c r="DP85" s="228">
        <v>-1.33</v>
      </c>
      <c r="DQ85" s="228">
        <v>0.53</v>
      </c>
      <c r="DR85" s="228">
        <v>0.56999999999999995</v>
      </c>
      <c r="DS85" s="228">
        <v>-0.04</v>
      </c>
      <c r="DT85" s="229">
        <v>-7.0199999999999999E-2</v>
      </c>
      <c r="DU85" s="231">
        <v>2400</v>
      </c>
      <c r="DV85" s="231">
        <v>2300</v>
      </c>
      <c r="DW85" s="228">
        <v>0.56999999999999995</v>
      </c>
      <c r="DX85" s="228">
        <v>0.55000000000000004</v>
      </c>
      <c r="DY85" s="228">
        <v>0.02</v>
      </c>
      <c r="DZ85" s="229">
        <v>3.6400000000000002E-2</v>
      </c>
      <c r="EA85" s="229">
        <v>4.8599999999999997E-2</v>
      </c>
      <c r="EB85" s="230">
        <v>683100</v>
      </c>
      <c r="EC85" s="229">
        <v>-3.3E-3</v>
      </c>
      <c r="ED85" s="229">
        <v>4.8599999999999997E-2</v>
      </c>
      <c r="EE85" s="228">
        <v>-9.9700000000000006</v>
      </c>
      <c r="EF85" s="229">
        <v>-4.3E-3</v>
      </c>
      <c r="EG85" s="230">
        <v>626735</v>
      </c>
      <c r="EH85" s="230">
        <v>1329700</v>
      </c>
      <c r="EI85" s="229">
        <v>-0.52869999999999995</v>
      </c>
      <c r="EJ85" s="229">
        <v>0.47689999999999999</v>
      </c>
      <c r="EK85" s="231">
        <v>2325.21</v>
      </c>
      <c r="EL85" s="231">
        <v>1262.8599999999999</v>
      </c>
      <c r="EM85" s="228">
        <v>411.82</v>
      </c>
      <c r="EN85" s="228">
        <v>154.30000000000001</v>
      </c>
      <c r="EO85" s="231">
        <v>3999.89</v>
      </c>
      <c r="EP85" s="231">
        <v>3474.6</v>
      </c>
      <c r="EQ85" s="228">
        <v>525.29</v>
      </c>
      <c r="ER85" s="229">
        <v>0.1512</v>
      </c>
      <c r="ES85" s="231">
        <v>1924.39</v>
      </c>
      <c r="ET85" s="228">
        <v>933.14</v>
      </c>
      <c r="EU85" s="231">
        <v>3551.11</v>
      </c>
      <c r="EV85" s="231">
        <v>89517840</v>
      </c>
      <c r="EW85" s="231">
        <v>6408.63</v>
      </c>
      <c r="EX85" s="231">
        <v>6283.5</v>
      </c>
      <c r="EY85" s="228">
        <v>125.13</v>
      </c>
      <c r="EZ85" s="229">
        <v>1.9900000000000001E-2</v>
      </c>
      <c r="FA85" s="229">
        <v>0.30640000000000001</v>
      </c>
      <c r="FB85" s="227" t="s">
        <v>566</v>
      </c>
      <c r="FC85">
        <f t="shared" si="1"/>
        <v>173</v>
      </c>
    </row>
    <row r="86" spans="1:159" ht="17.25" thickBot="1" x14ac:dyDescent="0.3">
      <c r="A86" s="226">
        <v>46148</v>
      </c>
      <c r="B86" s="227" t="s">
        <v>227</v>
      </c>
      <c r="C86" s="227" t="s">
        <v>665</v>
      </c>
      <c r="D86" s="228">
        <v>1225</v>
      </c>
      <c r="E86" s="228">
        <v>20</v>
      </c>
      <c r="F86" s="228">
        <v>638.95000000000005</v>
      </c>
      <c r="G86" s="228">
        <v>614.4</v>
      </c>
      <c r="H86" s="228">
        <v>24.55</v>
      </c>
      <c r="I86" s="229">
        <v>0.04</v>
      </c>
      <c r="J86" s="228">
        <v>634.6</v>
      </c>
      <c r="K86" s="228">
        <v>611.25</v>
      </c>
      <c r="L86" s="228">
        <v>23.35</v>
      </c>
      <c r="M86" s="229">
        <v>3.8199999999999998E-2</v>
      </c>
      <c r="N86" s="228">
        <v>638.95000000000005</v>
      </c>
      <c r="O86" s="228">
        <v>614.4</v>
      </c>
      <c r="P86" s="228">
        <v>24.55</v>
      </c>
      <c r="Q86" s="229">
        <v>0.04</v>
      </c>
      <c r="R86" s="228">
        <v>643.15</v>
      </c>
      <c r="S86" s="228">
        <v>618.4</v>
      </c>
      <c r="T86" s="228">
        <v>24.75</v>
      </c>
      <c r="U86" s="229">
        <v>0.04</v>
      </c>
      <c r="V86" s="228">
        <v>646.15</v>
      </c>
      <c r="W86" s="228">
        <v>621.6</v>
      </c>
      <c r="X86" s="228">
        <v>24.55</v>
      </c>
      <c r="Y86" s="229">
        <v>3.95E-2</v>
      </c>
      <c r="Z86" s="228">
        <v>4.3499999999999996</v>
      </c>
      <c r="AA86" s="228">
        <v>3.15</v>
      </c>
      <c r="AB86" s="228">
        <v>1.2</v>
      </c>
      <c r="AC86" s="229">
        <v>6.8999999999999999E-3</v>
      </c>
      <c r="AD86" s="228">
        <v>4.3499999999999996</v>
      </c>
      <c r="AE86" s="228">
        <v>3.15</v>
      </c>
      <c r="AF86" s="228">
        <v>1.2</v>
      </c>
      <c r="AG86" s="229">
        <v>6.8999999999999999E-3</v>
      </c>
      <c r="AH86" s="228">
        <v>8.5500000000000007</v>
      </c>
      <c r="AI86" s="228">
        <v>7.15</v>
      </c>
      <c r="AJ86" s="228">
        <v>1.4</v>
      </c>
      <c r="AK86" s="229">
        <v>1.35E-2</v>
      </c>
      <c r="AL86" s="228">
        <v>11.55</v>
      </c>
      <c r="AM86" s="228">
        <v>10.35</v>
      </c>
      <c r="AN86" s="228">
        <v>1.2</v>
      </c>
      <c r="AO86" s="229">
        <v>1.8200000000000001E-2</v>
      </c>
      <c r="AP86" s="228">
        <v>633.07000000000005</v>
      </c>
      <c r="AQ86" s="228">
        <v>638.80999999999995</v>
      </c>
      <c r="AR86" s="228">
        <v>0</v>
      </c>
      <c r="AS86" s="228">
        <v>656</v>
      </c>
      <c r="AT86" s="228">
        <v>245</v>
      </c>
      <c r="AU86" s="228">
        <v>411</v>
      </c>
      <c r="AV86" s="229">
        <v>1.6732</v>
      </c>
      <c r="AW86" s="228">
        <v>612</v>
      </c>
      <c r="AX86" s="228">
        <v>213</v>
      </c>
      <c r="AY86" s="228">
        <v>399</v>
      </c>
      <c r="AZ86" s="229">
        <v>1.8708</v>
      </c>
      <c r="BA86" s="228">
        <v>38</v>
      </c>
      <c r="BB86" s="228">
        <v>28</v>
      </c>
      <c r="BC86" s="228">
        <v>10</v>
      </c>
      <c r="BD86" s="229">
        <v>0.36309999999999998</v>
      </c>
      <c r="BE86" s="228">
        <v>6</v>
      </c>
      <c r="BF86" s="228">
        <v>4</v>
      </c>
      <c r="BG86" s="228">
        <v>1</v>
      </c>
      <c r="BH86" s="229">
        <v>0.35849999999999999</v>
      </c>
      <c r="BI86" s="230">
        <v>3378</v>
      </c>
      <c r="BJ86" s="228">
        <v>999</v>
      </c>
      <c r="BK86" s="230">
        <v>2379</v>
      </c>
      <c r="BL86" s="229">
        <v>2.3811</v>
      </c>
      <c r="BM86" s="230">
        <v>1631</v>
      </c>
      <c r="BN86" s="228">
        <v>687</v>
      </c>
      <c r="BO86" s="228">
        <v>943</v>
      </c>
      <c r="BP86" s="229">
        <v>1.3725000000000001</v>
      </c>
      <c r="BQ86" s="230">
        <v>5665</v>
      </c>
      <c r="BR86" s="230">
        <v>1932</v>
      </c>
      <c r="BS86" s="230">
        <v>3733</v>
      </c>
      <c r="BT86" s="229">
        <v>1.9322999999999999</v>
      </c>
      <c r="BU86" s="230">
        <v>10506950</v>
      </c>
      <c r="BV86" s="230">
        <v>4781588</v>
      </c>
      <c r="BW86" s="230">
        <v>5725362</v>
      </c>
      <c r="BX86" s="229">
        <v>1.1974</v>
      </c>
      <c r="BY86" s="230">
        <v>2307</v>
      </c>
      <c r="BZ86" s="230">
        <v>2211</v>
      </c>
      <c r="CA86" s="228">
        <v>96</v>
      </c>
      <c r="CB86" s="229">
        <v>4.3400000000000001E-2</v>
      </c>
      <c r="CC86" s="230">
        <v>2226</v>
      </c>
      <c r="CD86" s="230">
        <v>2137</v>
      </c>
      <c r="CE86" s="228">
        <v>89</v>
      </c>
      <c r="CF86" s="229">
        <v>4.1399999999999999E-2</v>
      </c>
      <c r="CG86" s="228">
        <v>71</v>
      </c>
      <c r="CH86" s="228">
        <v>66</v>
      </c>
      <c r="CI86" s="228">
        <v>5</v>
      </c>
      <c r="CJ86" s="229">
        <v>8.1900000000000001E-2</v>
      </c>
      <c r="CK86" s="228">
        <v>9</v>
      </c>
      <c r="CL86" s="228">
        <v>7</v>
      </c>
      <c r="CM86" s="228">
        <v>2</v>
      </c>
      <c r="CN86" s="229">
        <v>0.27960000000000002</v>
      </c>
      <c r="CO86" s="230">
        <v>1083</v>
      </c>
      <c r="CP86" s="230">
        <v>1049</v>
      </c>
      <c r="CQ86" s="228">
        <v>34</v>
      </c>
      <c r="CR86" s="229">
        <v>3.2300000000000002E-2</v>
      </c>
      <c r="CS86" s="228">
        <v>795</v>
      </c>
      <c r="CT86" s="228">
        <v>690</v>
      </c>
      <c r="CU86" s="228">
        <v>104</v>
      </c>
      <c r="CV86" s="229">
        <v>0.1512</v>
      </c>
      <c r="CW86" s="230">
        <v>4184</v>
      </c>
      <c r="CX86" s="230">
        <v>3950</v>
      </c>
      <c r="CY86" s="228">
        <v>234</v>
      </c>
      <c r="CZ86" s="229">
        <v>5.9299999999999999E-2</v>
      </c>
      <c r="DA86" s="228">
        <v>34.19</v>
      </c>
      <c r="DB86" s="228">
        <v>35.6</v>
      </c>
      <c r="DC86" s="228">
        <v>-1.41</v>
      </c>
      <c r="DD86" s="228">
        <v>-1.41</v>
      </c>
      <c r="DE86" s="228">
        <v>50.4</v>
      </c>
      <c r="DF86" s="228">
        <v>50.24</v>
      </c>
      <c r="DG86" s="228">
        <v>-16.21</v>
      </c>
      <c r="DH86" s="228">
        <v>0.16</v>
      </c>
      <c r="DI86" s="228">
        <v>33.75</v>
      </c>
      <c r="DJ86" s="228">
        <v>35.299999999999997</v>
      </c>
      <c r="DK86" s="228">
        <v>-1.55</v>
      </c>
      <c r="DL86" s="228">
        <v>-1.55</v>
      </c>
      <c r="DM86" s="228">
        <v>35.11</v>
      </c>
      <c r="DN86" s="228">
        <v>36.03</v>
      </c>
      <c r="DO86" s="228">
        <v>-0.92</v>
      </c>
      <c r="DP86" s="228">
        <v>-0.92</v>
      </c>
      <c r="DQ86" s="228">
        <v>0.73</v>
      </c>
      <c r="DR86" s="228">
        <v>0.66</v>
      </c>
      <c r="DS86" s="228">
        <v>7.0000000000000007E-2</v>
      </c>
      <c r="DT86" s="229">
        <v>0.1061</v>
      </c>
      <c r="DU86" s="228">
        <v>650</v>
      </c>
      <c r="DV86" s="228">
        <v>600</v>
      </c>
      <c r="DW86" s="228">
        <v>0.48</v>
      </c>
      <c r="DX86" s="228">
        <v>0.69</v>
      </c>
      <c r="DY86" s="228">
        <v>-0.21</v>
      </c>
      <c r="DZ86" s="229">
        <v>-0.30430000000000001</v>
      </c>
      <c r="EA86" s="229">
        <v>3.5000000000000003E-2</v>
      </c>
      <c r="EB86" s="230">
        <v>1145375</v>
      </c>
      <c r="EC86" s="229">
        <v>6.6E-3</v>
      </c>
      <c r="ED86" s="229">
        <v>3.5000000000000003E-2</v>
      </c>
      <c r="EE86" s="228">
        <v>5.74</v>
      </c>
      <c r="EF86" s="229">
        <v>9.1000000000000004E-3</v>
      </c>
      <c r="EG86" s="230">
        <v>5013100</v>
      </c>
      <c r="EH86" s="230">
        <v>2230515</v>
      </c>
      <c r="EI86" s="229">
        <v>1.2475000000000001</v>
      </c>
      <c r="EJ86" s="229">
        <v>0.47710000000000002</v>
      </c>
      <c r="EK86" s="231">
        <v>3513.83</v>
      </c>
      <c r="EL86" s="231">
        <v>1557.05</v>
      </c>
      <c r="EM86" s="228">
        <v>650.51</v>
      </c>
      <c r="EN86" s="228">
        <v>41.75</v>
      </c>
      <c r="EO86" s="231">
        <v>5721.39</v>
      </c>
      <c r="EP86" s="231">
        <v>1890.17</v>
      </c>
      <c r="EQ86" s="231">
        <v>3831.22</v>
      </c>
      <c r="ER86" s="229">
        <v>2.0268999999999999</v>
      </c>
      <c r="ES86" s="231">
        <v>1088.9100000000001</v>
      </c>
      <c r="ET86" s="228">
        <v>729.79</v>
      </c>
      <c r="EU86" s="231">
        <v>2307.0700000000002</v>
      </c>
      <c r="EV86" s="231">
        <v>241870587</v>
      </c>
      <c r="EW86" s="231">
        <v>4125.78</v>
      </c>
      <c r="EX86" s="231">
        <v>3795.1</v>
      </c>
      <c r="EY86" s="228">
        <v>330.68</v>
      </c>
      <c r="EZ86" s="229">
        <v>8.7099999999999997E-2</v>
      </c>
      <c r="FA86" s="229">
        <v>0.2707</v>
      </c>
      <c r="FB86" s="227" t="s">
        <v>555</v>
      </c>
      <c r="FC86">
        <f t="shared" si="1"/>
        <v>81</v>
      </c>
    </row>
    <row r="87" spans="1:159" ht="17.25" thickBot="1" x14ac:dyDescent="0.3">
      <c r="A87" s="226">
        <v>46148</v>
      </c>
      <c r="B87" s="227" t="s">
        <v>162</v>
      </c>
      <c r="C87" s="227" t="s">
        <v>692</v>
      </c>
      <c r="D87" s="228">
        <v>275</v>
      </c>
      <c r="E87" s="228">
        <v>20</v>
      </c>
      <c r="F87" s="231">
        <v>1840.8</v>
      </c>
      <c r="G87" s="231">
        <v>1796.7</v>
      </c>
      <c r="H87" s="228">
        <v>44.1</v>
      </c>
      <c r="I87" s="229">
        <v>2.4500000000000001E-2</v>
      </c>
      <c r="J87" s="231">
        <v>1839.9</v>
      </c>
      <c r="K87" s="231">
        <v>1822.5</v>
      </c>
      <c r="L87" s="228">
        <v>17.399999999999999</v>
      </c>
      <c r="M87" s="229">
        <v>9.4999999999999998E-3</v>
      </c>
      <c r="N87" s="231">
        <v>1840.8</v>
      </c>
      <c r="O87" s="231">
        <v>1796.7</v>
      </c>
      <c r="P87" s="228">
        <v>44.1</v>
      </c>
      <c r="Q87" s="229">
        <v>2.4500000000000001E-2</v>
      </c>
      <c r="R87" s="231">
        <v>1805.6</v>
      </c>
      <c r="S87" s="231">
        <v>1760.8</v>
      </c>
      <c r="T87" s="228">
        <v>44.8</v>
      </c>
      <c r="U87" s="229">
        <v>2.5399999999999999E-2</v>
      </c>
      <c r="V87" s="231">
        <v>1781.6</v>
      </c>
      <c r="W87" s="231">
        <v>1736.1</v>
      </c>
      <c r="X87" s="228">
        <v>45.5</v>
      </c>
      <c r="Y87" s="229">
        <v>2.6200000000000001E-2</v>
      </c>
      <c r="Z87" s="228">
        <v>0.9</v>
      </c>
      <c r="AA87" s="228">
        <v>-25.8</v>
      </c>
      <c r="AB87" s="228">
        <v>26.7</v>
      </c>
      <c r="AC87" s="229">
        <v>5.0000000000000001E-4</v>
      </c>
      <c r="AD87" s="228">
        <v>0.9</v>
      </c>
      <c r="AE87" s="228">
        <v>-25.8</v>
      </c>
      <c r="AF87" s="228">
        <v>26.7</v>
      </c>
      <c r="AG87" s="229">
        <v>5.0000000000000001E-4</v>
      </c>
      <c r="AH87" s="228">
        <v>-34.299999999999997</v>
      </c>
      <c r="AI87" s="228">
        <v>-61.7</v>
      </c>
      <c r="AJ87" s="228">
        <v>27.4</v>
      </c>
      <c r="AK87" s="229">
        <v>-1.8599999999999998E-2</v>
      </c>
      <c r="AL87" s="228">
        <v>-58.3</v>
      </c>
      <c r="AM87" s="228">
        <v>-86.4</v>
      </c>
      <c r="AN87" s="228">
        <v>28.1</v>
      </c>
      <c r="AO87" s="229">
        <v>-3.1699999999999999E-2</v>
      </c>
      <c r="AP87" s="231">
        <v>1822.07</v>
      </c>
      <c r="AQ87" s="231">
        <v>1786.44</v>
      </c>
      <c r="AR87" s="228">
        <v>0</v>
      </c>
      <c r="AS87" s="228">
        <v>332</v>
      </c>
      <c r="AT87" s="228">
        <v>463</v>
      </c>
      <c r="AU87" s="228">
        <v>-131</v>
      </c>
      <c r="AV87" s="229">
        <v>-0.2828</v>
      </c>
      <c r="AW87" s="228">
        <v>239</v>
      </c>
      <c r="AX87" s="228">
        <v>320</v>
      </c>
      <c r="AY87" s="228">
        <v>-81</v>
      </c>
      <c r="AZ87" s="229">
        <v>-0.25330000000000003</v>
      </c>
      <c r="BA87" s="228">
        <v>89</v>
      </c>
      <c r="BB87" s="228">
        <v>138</v>
      </c>
      <c r="BC87" s="228">
        <v>-48</v>
      </c>
      <c r="BD87" s="229">
        <v>-0.35189999999999999</v>
      </c>
      <c r="BE87" s="228">
        <v>4</v>
      </c>
      <c r="BF87" s="228">
        <v>6</v>
      </c>
      <c r="BG87" s="228">
        <v>-2</v>
      </c>
      <c r="BH87" s="229">
        <v>-0.26090000000000002</v>
      </c>
      <c r="BI87" s="228">
        <v>254</v>
      </c>
      <c r="BJ87" s="228">
        <v>329</v>
      </c>
      <c r="BK87" s="228">
        <v>-75</v>
      </c>
      <c r="BL87" s="229">
        <v>-0.22889999999999999</v>
      </c>
      <c r="BM87" s="228">
        <v>95</v>
      </c>
      <c r="BN87" s="228">
        <v>120</v>
      </c>
      <c r="BO87" s="228">
        <v>-26</v>
      </c>
      <c r="BP87" s="229">
        <v>-0.2122</v>
      </c>
      <c r="BQ87" s="228">
        <v>681</v>
      </c>
      <c r="BR87" s="228">
        <v>913</v>
      </c>
      <c r="BS87" s="228">
        <v>-232</v>
      </c>
      <c r="BT87" s="229">
        <v>-0.254</v>
      </c>
      <c r="BU87" s="230">
        <v>604937</v>
      </c>
      <c r="BV87" s="230">
        <v>685951</v>
      </c>
      <c r="BW87" s="230">
        <v>-81014</v>
      </c>
      <c r="BX87" s="229">
        <v>-0.1181</v>
      </c>
      <c r="BY87" s="230">
        <v>1768</v>
      </c>
      <c r="BZ87" s="230">
        <v>1743</v>
      </c>
      <c r="CA87" s="228">
        <v>25</v>
      </c>
      <c r="CB87" s="229">
        <v>1.41E-2</v>
      </c>
      <c r="CC87" s="230">
        <v>1531</v>
      </c>
      <c r="CD87" s="230">
        <v>1547</v>
      </c>
      <c r="CE87" s="228">
        <v>-17</v>
      </c>
      <c r="CF87" s="229">
        <v>-1.09E-2</v>
      </c>
      <c r="CG87" s="228">
        <v>229</v>
      </c>
      <c r="CH87" s="228">
        <v>186</v>
      </c>
      <c r="CI87" s="228">
        <v>43</v>
      </c>
      <c r="CJ87" s="229">
        <v>0.23219999999999999</v>
      </c>
      <c r="CK87" s="228">
        <v>8</v>
      </c>
      <c r="CL87" s="228">
        <v>10</v>
      </c>
      <c r="CM87" s="228">
        <v>-2</v>
      </c>
      <c r="CN87" s="229">
        <v>-0.1633</v>
      </c>
      <c r="CO87" s="228">
        <v>207</v>
      </c>
      <c r="CP87" s="228">
        <v>214</v>
      </c>
      <c r="CQ87" s="228">
        <v>-7</v>
      </c>
      <c r="CR87" s="229">
        <v>-3.4500000000000003E-2</v>
      </c>
      <c r="CS87" s="228">
        <v>179</v>
      </c>
      <c r="CT87" s="228">
        <v>155</v>
      </c>
      <c r="CU87" s="228">
        <v>24</v>
      </c>
      <c r="CV87" s="229">
        <v>0.15509999999999999</v>
      </c>
      <c r="CW87" s="230">
        <v>2153</v>
      </c>
      <c r="CX87" s="230">
        <v>2112</v>
      </c>
      <c r="CY87" s="228">
        <v>41</v>
      </c>
      <c r="CZ87" s="229">
        <v>1.9599999999999999E-2</v>
      </c>
      <c r="DA87" s="228">
        <v>39.61</v>
      </c>
      <c r="DB87" s="228">
        <v>40.93</v>
      </c>
      <c r="DC87" s="228">
        <v>-1.32</v>
      </c>
      <c r="DD87" s="228">
        <v>-1.32</v>
      </c>
      <c r="DE87" s="228">
        <v>33.67</v>
      </c>
      <c r="DF87" s="228">
        <v>33.6</v>
      </c>
      <c r="DG87" s="228">
        <v>5.94</v>
      </c>
      <c r="DH87" s="228">
        <v>7.0000000000000007E-2</v>
      </c>
      <c r="DI87" s="228">
        <v>39.659999999999997</v>
      </c>
      <c r="DJ87" s="228">
        <v>40.61</v>
      </c>
      <c r="DK87" s="228">
        <v>-0.95</v>
      </c>
      <c r="DL87" s="228">
        <v>-0.95</v>
      </c>
      <c r="DM87" s="228">
        <v>39.46</v>
      </c>
      <c r="DN87" s="228">
        <v>41.8</v>
      </c>
      <c r="DO87" s="228">
        <v>-2.34</v>
      </c>
      <c r="DP87" s="228">
        <v>-2.34</v>
      </c>
      <c r="DQ87" s="228">
        <v>0.87</v>
      </c>
      <c r="DR87" s="228">
        <v>0.72</v>
      </c>
      <c r="DS87" s="228">
        <v>0.15</v>
      </c>
      <c r="DT87" s="229">
        <v>0.20830000000000001</v>
      </c>
      <c r="DU87" s="231">
        <v>1900</v>
      </c>
      <c r="DV87" s="231">
        <v>1740</v>
      </c>
      <c r="DW87" s="228">
        <v>0.37</v>
      </c>
      <c r="DX87" s="228">
        <v>0.37</v>
      </c>
      <c r="DY87" s="228">
        <v>0</v>
      </c>
      <c r="DZ87" s="229">
        <v>0</v>
      </c>
      <c r="EA87" s="229">
        <v>0.13420000000000001</v>
      </c>
      <c r="EB87" s="230">
        <v>1063150</v>
      </c>
      <c r="EC87" s="229">
        <v>-1.9099999999999999E-2</v>
      </c>
      <c r="ED87" s="229">
        <v>0.13420000000000001</v>
      </c>
      <c r="EE87" s="228">
        <v>-35.630000000000003</v>
      </c>
      <c r="EF87" s="229">
        <v>-1.9599999999999999E-2</v>
      </c>
      <c r="EG87" s="230">
        <v>282632</v>
      </c>
      <c r="EH87" s="230">
        <v>232609</v>
      </c>
      <c r="EI87" s="229">
        <v>0.21510000000000001</v>
      </c>
      <c r="EJ87" s="229">
        <v>0.4672</v>
      </c>
      <c r="EK87" s="228">
        <v>268.58</v>
      </c>
      <c r="EL87" s="228">
        <v>91.78</v>
      </c>
      <c r="EM87" s="228">
        <v>326.94</v>
      </c>
      <c r="EN87" s="228">
        <v>54.57</v>
      </c>
      <c r="EO87" s="228">
        <v>687.3</v>
      </c>
      <c r="EP87" s="228">
        <v>910.65</v>
      </c>
      <c r="EQ87" s="228">
        <v>-223.35</v>
      </c>
      <c r="ER87" s="229">
        <v>-0.24529999999999999</v>
      </c>
      <c r="ES87" s="228">
        <v>213.55</v>
      </c>
      <c r="ET87" s="228">
        <v>169.03</v>
      </c>
      <c r="EU87" s="231">
        <v>1763.13</v>
      </c>
      <c r="EV87" s="231">
        <v>21329205</v>
      </c>
      <c r="EW87" s="231">
        <v>2145.6999999999998</v>
      </c>
      <c r="EX87" s="231">
        <v>2063.84</v>
      </c>
      <c r="EY87" s="228">
        <v>81.86</v>
      </c>
      <c r="EZ87" s="229">
        <v>3.9699999999999999E-2</v>
      </c>
      <c r="FA87" s="229">
        <v>0.54849999999999999</v>
      </c>
      <c r="FB87" s="227" t="s">
        <v>555</v>
      </c>
      <c r="FC87">
        <f t="shared" si="1"/>
        <v>237</v>
      </c>
    </row>
    <row r="88" spans="1:159" ht="17.25" thickBot="1" x14ac:dyDescent="0.3">
      <c r="A88" s="226">
        <v>46148</v>
      </c>
      <c r="B88" s="227" t="s">
        <v>172</v>
      </c>
      <c r="C88" s="227" t="s">
        <v>232</v>
      </c>
      <c r="D88" s="228">
        <v>700</v>
      </c>
      <c r="E88" s="228">
        <v>20</v>
      </c>
      <c r="F88" s="231">
        <v>1287.5999999999999</v>
      </c>
      <c r="G88" s="231">
        <v>1258.5</v>
      </c>
      <c r="H88" s="228">
        <v>29.1</v>
      </c>
      <c r="I88" s="229">
        <v>2.3099999999999999E-2</v>
      </c>
      <c r="J88" s="231">
        <v>1279.5</v>
      </c>
      <c r="K88" s="231">
        <v>1251.3</v>
      </c>
      <c r="L88" s="228">
        <v>28.2</v>
      </c>
      <c r="M88" s="229">
        <v>2.2499999999999999E-2</v>
      </c>
      <c r="N88" s="231">
        <v>1287.5999999999999</v>
      </c>
      <c r="O88" s="231">
        <v>1258.5</v>
      </c>
      <c r="P88" s="228">
        <v>29.1</v>
      </c>
      <c r="Q88" s="229">
        <v>2.3099999999999999E-2</v>
      </c>
      <c r="R88" s="231">
        <v>1294.5999999999999</v>
      </c>
      <c r="S88" s="231">
        <v>1266.4000000000001</v>
      </c>
      <c r="T88" s="228">
        <v>28.2</v>
      </c>
      <c r="U88" s="229">
        <v>2.23E-2</v>
      </c>
      <c r="V88" s="231">
        <v>1300.0999999999999</v>
      </c>
      <c r="W88" s="231">
        <v>1272.0999999999999</v>
      </c>
      <c r="X88" s="228">
        <v>28</v>
      </c>
      <c r="Y88" s="229">
        <v>2.1999999999999999E-2</v>
      </c>
      <c r="Z88" s="228">
        <v>8.1</v>
      </c>
      <c r="AA88" s="228">
        <v>7.2</v>
      </c>
      <c r="AB88" s="228">
        <v>0.9</v>
      </c>
      <c r="AC88" s="229">
        <v>6.3E-3</v>
      </c>
      <c r="AD88" s="228">
        <v>8.1</v>
      </c>
      <c r="AE88" s="228">
        <v>7.2</v>
      </c>
      <c r="AF88" s="228">
        <v>0.9</v>
      </c>
      <c r="AG88" s="229">
        <v>6.3E-3</v>
      </c>
      <c r="AH88" s="228">
        <v>15.1</v>
      </c>
      <c r="AI88" s="228">
        <v>15.1</v>
      </c>
      <c r="AJ88" s="228">
        <v>0</v>
      </c>
      <c r="AK88" s="229">
        <v>1.18E-2</v>
      </c>
      <c r="AL88" s="228">
        <v>20.6</v>
      </c>
      <c r="AM88" s="228">
        <v>20.8</v>
      </c>
      <c r="AN88" s="228">
        <v>-0.2</v>
      </c>
      <c r="AO88" s="229">
        <v>1.61E-2</v>
      </c>
      <c r="AP88" s="231">
        <v>1276.31</v>
      </c>
      <c r="AQ88" s="231">
        <v>1278.54</v>
      </c>
      <c r="AR88" s="228">
        <v>0</v>
      </c>
      <c r="AS88" s="230">
        <v>2908</v>
      </c>
      <c r="AT88" s="230">
        <v>1997</v>
      </c>
      <c r="AU88" s="228">
        <v>911</v>
      </c>
      <c r="AV88" s="229">
        <v>0.45619999999999999</v>
      </c>
      <c r="AW88" s="230">
        <v>2681</v>
      </c>
      <c r="AX88" s="230">
        <v>1661</v>
      </c>
      <c r="AY88" s="230">
        <v>1020</v>
      </c>
      <c r="AZ88" s="229">
        <v>0.61409999999999998</v>
      </c>
      <c r="BA88" s="228">
        <v>208</v>
      </c>
      <c r="BB88" s="228">
        <v>319</v>
      </c>
      <c r="BC88" s="228">
        <v>-111</v>
      </c>
      <c r="BD88" s="229">
        <v>-0.34799999999999998</v>
      </c>
      <c r="BE88" s="228">
        <v>19</v>
      </c>
      <c r="BF88" s="228">
        <v>16</v>
      </c>
      <c r="BG88" s="228">
        <v>2</v>
      </c>
      <c r="BH88" s="229">
        <v>0.12570000000000001</v>
      </c>
      <c r="BI88" s="230">
        <v>6582</v>
      </c>
      <c r="BJ88" s="230">
        <v>4588</v>
      </c>
      <c r="BK88" s="230">
        <v>1993</v>
      </c>
      <c r="BL88" s="229">
        <v>0.43440000000000001</v>
      </c>
      <c r="BM88" s="230">
        <v>3883</v>
      </c>
      <c r="BN88" s="230">
        <v>2517</v>
      </c>
      <c r="BO88" s="230">
        <v>1366</v>
      </c>
      <c r="BP88" s="229">
        <v>0.54259999999999997</v>
      </c>
      <c r="BQ88" s="230">
        <v>13373</v>
      </c>
      <c r="BR88" s="230">
        <v>9103</v>
      </c>
      <c r="BS88" s="230">
        <v>4270</v>
      </c>
      <c r="BT88" s="229">
        <v>0.46910000000000002</v>
      </c>
      <c r="BU88" s="230">
        <v>23263829</v>
      </c>
      <c r="BV88" s="230">
        <v>24769974</v>
      </c>
      <c r="BW88" s="230">
        <v>-1506145</v>
      </c>
      <c r="BX88" s="229">
        <v>-6.08E-2</v>
      </c>
      <c r="BY88" s="230">
        <v>19505</v>
      </c>
      <c r="BZ88" s="230">
        <v>18813</v>
      </c>
      <c r="CA88" s="228">
        <v>692</v>
      </c>
      <c r="CB88" s="229">
        <v>3.6799999999999999E-2</v>
      </c>
      <c r="CC88" s="230">
        <v>15624</v>
      </c>
      <c r="CD88" s="230">
        <v>15086</v>
      </c>
      <c r="CE88" s="228">
        <v>539</v>
      </c>
      <c r="CF88" s="229">
        <v>3.5700000000000003E-2</v>
      </c>
      <c r="CG88" s="230">
        <v>3838</v>
      </c>
      <c r="CH88" s="230">
        <v>3690</v>
      </c>
      <c r="CI88" s="228">
        <v>149</v>
      </c>
      <c r="CJ88" s="229">
        <v>4.0300000000000002E-2</v>
      </c>
      <c r="CK88" s="228">
        <v>42</v>
      </c>
      <c r="CL88" s="228">
        <v>37</v>
      </c>
      <c r="CM88" s="228">
        <v>5</v>
      </c>
      <c r="CN88" s="229">
        <v>0.13769999999999999</v>
      </c>
      <c r="CO88" s="230">
        <v>4580</v>
      </c>
      <c r="CP88" s="230">
        <v>4655</v>
      </c>
      <c r="CQ88" s="228">
        <v>-75</v>
      </c>
      <c r="CR88" s="229">
        <v>-1.61E-2</v>
      </c>
      <c r="CS88" s="230">
        <v>2765</v>
      </c>
      <c r="CT88" s="230">
        <v>2708</v>
      </c>
      <c r="CU88" s="228">
        <v>58</v>
      </c>
      <c r="CV88" s="229">
        <v>2.1299999999999999E-2</v>
      </c>
      <c r="CW88" s="230">
        <v>26850</v>
      </c>
      <c r="CX88" s="230">
        <v>26175</v>
      </c>
      <c r="CY88" s="228">
        <v>675</v>
      </c>
      <c r="CZ88" s="229">
        <v>2.58E-2</v>
      </c>
      <c r="DA88" s="228">
        <v>21.19</v>
      </c>
      <c r="DB88" s="228">
        <v>22.44</v>
      </c>
      <c r="DC88" s="228">
        <v>-1.25</v>
      </c>
      <c r="DD88" s="228">
        <v>-1.25</v>
      </c>
      <c r="DE88" s="228">
        <v>24.19</v>
      </c>
      <c r="DF88" s="228">
        <v>24.07</v>
      </c>
      <c r="DG88" s="228">
        <v>-3</v>
      </c>
      <c r="DH88" s="228">
        <v>0.12</v>
      </c>
      <c r="DI88" s="228">
        <v>21.24</v>
      </c>
      <c r="DJ88" s="228">
        <v>22.55</v>
      </c>
      <c r="DK88" s="228">
        <v>-1.31</v>
      </c>
      <c r="DL88" s="228">
        <v>-1.31</v>
      </c>
      <c r="DM88" s="228">
        <v>21.11</v>
      </c>
      <c r="DN88" s="228">
        <v>22.24</v>
      </c>
      <c r="DO88" s="228">
        <v>-1.1299999999999999</v>
      </c>
      <c r="DP88" s="228">
        <v>-1.1299999999999999</v>
      </c>
      <c r="DQ88" s="228">
        <v>0.6</v>
      </c>
      <c r="DR88" s="228">
        <v>0.57999999999999996</v>
      </c>
      <c r="DS88" s="228">
        <v>0.02</v>
      </c>
      <c r="DT88" s="229">
        <v>3.4500000000000003E-2</v>
      </c>
      <c r="DU88" s="231">
        <v>1300</v>
      </c>
      <c r="DV88" s="231">
        <v>1300</v>
      </c>
      <c r="DW88" s="228">
        <v>0.59</v>
      </c>
      <c r="DX88" s="228">
        <v>0.55000000000000004</v>
      </c>
      <c r="DY88" s="228">
        <v>0.04</v>
      </c>
      <c r="DZ88" s="229">
        <v>7.2700000000000001E-2</v>
      </c>
      <c r="EA88" s="229">
        <v>0.19900000000000001</v>
      </c>
      <c r="EB88" s="230">
        <v>28944300</v>
      </c>
      <c r="EC88" s="229">
        <v>5.4000000000000003E-3</v>
      </c>
      <c r="ED88" s="229">
        <v>0.19900000000000001</v>
      </c>
      <c r="EE88" s="228">
        <v>2.23</v>
      </c>
      <c r="EF88" s="229">
        <v>1.6999999999999999E-3</v>
      </c>
      <c r="EG88" s="230">
        <v>14542634</v>
      </c>
      <c r="EH88" s="230">
        <v>12647914</v>
      </c>
      <c r="EI88" s="229">
        <v>0.14979999999999999</v>
      </c>
      <c r="EJ88" s="229">
        <v>0.62509999999999999</v>
      </c>
      <c r="EK88" s="231">
        <v>6788.42</v>
      </c>
      <c r="EL88" s="231">
        <v>3810.72</v>
      </c>
      <c r="EM88" s="231">
        <v>2882.95</v>
      </c>
      <c r="EN88" s="228">
        <v>183.14</v>
      </c>
      <c r="EO88" s="231">
        <v>13482.1</v>
      </c>
      <c r="EP88" s="231">
        <v>9118.64</v>
      </c>
      <c r="EQ88" s="231">
        <v>4363.46</v>
      </c>
      <c r="ER88" s="229">
        <v>0.47849999999999998</v>
      </c>
      <c r="ES88" s="231">
        <v>4806.21</v>
      </c>
      <c r="ET88" s="231">
        <v>2749.76</v>
      </c>
      <c r="EU88" s="231">
        <v>19526.47</v>
      </c>
      <c r="EV88" s="231">
        <v>668616020</v>
      </c>
      <c r="EW88" s="231">
        <v>27082.45</v>
      </c>
      <c r="EX88" s="231">
        <v>25983.7</v>
      </c>
      <c r="EY88" s="231">
        <v>1098.75</v>
      </c>
      <c r="EZ88" s="229">
        <v>4.2299999999999997E-2</v>
      </c>
      <c r="FA88" s="229">
        <v>0.31190000000000001</v>
      </c>
      <c r="FB88" s="227" t="s">
        <v>555</v>
      </c>
      <c r="FC88">
        <f t="shared" si="1"/>
        <v>3881</v>
      </c>
    </row>
    <row r="89" spans="1:159" ht="17.25" thickBot="1" x14ac:dyDescent="0.3">
      <c r="A89" s="226">
        <v>46148</v>
      </c>
      <c r="B89" s="227" t="s">
        <v>175</v>
      </c>
      <c r="C89" s="227" t="s">
        <v>472</v>
      </c>
      <c r="D89" s="228">
        <v>325</v>
      </c>
      <c r="E89" s="228">
        <v>20</v>
      </c>
      <c r="F89" s="231">
        <v>1816.5</v>
      </c>
      <c r="G89" s="231">
        <v>1780.1</v>
      </c>
      <c r="H89" s="228">
        <v>36.4</v>
      </c>
      <c r="I89" s="229">
        <v>2.0400000000000001E-2</v>
      </c>
      <c r="J89" s="231">
        <v>1809.9</v>
      </c>
      <c r="K89" s="231">
        <v>1776.9</v>
      </c>
      <c r="L89" s="228">
        <v>33</v>
      </c>
      <c r="M89" s="229">
        <v>1.8599999999999998E-2</v>
      </c>
      <c r="N89" s="231">
        <v>1816.5</v>
      </c>
      <c r="O89" s="231">
        <v>1780.1</v>
      </c>
      <c r="P89" s="228">
        <v>36.4</v>
      </c>
      <c r="Q89" s="229">
        <v>2.0400000000000001E-2</v>
      </c>
      <c r="R89" s="231">
        <v>1823.8</v>
      </c>
      <c r="S89" s="231">
        <v>1789.8</v>
      </c>
      <c r="T89" s="228">
        <v>34</v>
      </c>
      <c r="U89" s="229">
        <v>1.9E-2</v>
      </c>
      <c r="V89" s="231">
        <v>1834</v>
      </c>
      <c r="W89" s="231">
        <v>1779.6</v>
      </c>
      <c r="X89" s="228">
        <v>54.4</v>
      </c>
      <c r="Y89" s="229">
        <v>3.0599999999999999E-2</v>
      </c>
      <c r="Z89" s="228">
        <v>6.6</v>
      </c>
      <c r="AA89" s="228">
        <v>3.2</v>
      </c>
      <c r="AB89" s="228">
        <v>3.4</v>
      </c>
      <c r="AC89" s="229">
        <v>3.5999999999999999E-3</v>
      </c>
      <c r="AD89" s="228">
        <v>6.6</v>
      </c>
      <c r="AE89" s="228">
        <v>3.2</v>
      </c>
      <c r="AF89" s="228">
        <v>3.4</v>
      </c>
      <c r="AG89" s="229">
        <v>3.5999999999999999E-3</v>
      </c>
      <c r="AH89" s="228">
        <v>13.9</v>
      </c>
      <c r="AI89" s="228">
        <v>12.9</v>
      </c>
      <c r="AJ89" s="228">
        <v>1</v>
      </c>
      <c r="AK89" s="229">
        <v>7.7000000000000002E-3</v>
      </c>
      <c r="AL89" s="228">
        <v>24.1</v>
      </c>
      <c r="AM89" s="228">
        <v>2.7</v>
      </c>
      <c r="AN89" s="228">
        <v>21.4</v>
      </c>
      <c r="AO89" s="229">
        <v>1.3299999999999999E-2</v>
      </c>
      <c r="AP89" s="231">
        <v>1812.74</v>
      </c>
      <c r="AQ89" s="231">
        <v>1815.75</v>
      </c>
      <c r="AR89" s="228">
        <v>0</v>
      </c>
      <c r="AS89" s="228">
        <v>105</v>
      </c>
      <c r="AT89" s="228">
        <v>56</v>
      </c>
      <c r="AU89" s="228">
        <v>49</v>
      </c>
      <c r="AV89" s="229">
        <v>0.88749999999999996</v>
      </c>
      <c r="AW89" s="228">
        <v>102</v>
      </c>
      <c r="AX89" s="228">
        <v>54</v>
      </c>
      <c r="AY89" s="228">
        <v>47</v>
      </c>
      <c r="AZ89" s="229">
        <v>0.86980000000000002</v>
      </c>
      <c r="BA89" s="228">
        <v>3</v>
      </c>
      <c r="BB89" s="228">
        <v>1</v>
      </c>
      <c r="BC89" s="228">
        <v>2</v>
      </c>
      <c r="BD89" s="229">
        <v>1.55</v>
      </c>
      <c r="BE89" s="228">
        <v>0</v>
      </c>
      <c r="BF89" s="228">
        <v>0</v>
      </c>
      <c r="BG89" s="228">
        <v>0</v>
      </c>
      <c r="BH89" s="229">
        <v>0</v>
      </c>
      <c r="BI89" s="228">
        <v>294</v>
      </c>
      <c r="BJ89" s="228">
        <v>154</v>
      </c>
      <c r="BK89" s="228">
        <v>140</v>
      </c>
      <c r="BL89" s="229">
        <v>0.91390000000000005</v>
      </c>
      <c r="BM89" s="228">
        <v>103</v>
      </c>
      <c r="BN89" s="228">
        <v>49</v>
      </c>
      <c r="BO89" s="228">
        <v>55</v>
      </c>
      <c r="BP89" s="229">
        <v>1.1264000000000001</v>
      </c>
      <c r="BQ89" s="228">
        <v>502</v>
      </c>
      <c r="BR89" s="228">
        <v>258</v>
      </c>
      <c r="BS89" s="228">
        <v>244</v>
      </c>
      <c r="BT89" s="229">
        <v>0.94820000000000004</v>
      </c>
      <c r="BU89" s="230">
        <v>1379849</v>
      </c>
      <c r="BV89" s="230">
        <v>515031</v>
      </c>
      <c r="BW89" s="230">
        <v>864818</v>
      </c>
      <c r="BX89" s="229">
        <v>1.6792</v>
      </c>
      <c r="BY89" s="228">
        <v>956</v>
      </c>
      <c r="BZ89" s="228">
        <v>965</v>
      </c>
      <c r="CA89" s="228">
        <v>-9</v>
      </c>
      <c r="CB89" s="229">
        <v>-8.8000000000000005E-3</v>
      </c>
      <c r="CC89" s="228">
        <v>901</v>
      </c>
      <c r="CD89" s="228">
        <v>910</v>
      </c>
      <c r="CE89" s="228">
        <v>-9</v>
      </c>
      <c r="CF89" s="229">
        <v>-9.2999999999999992E-3</v>
      </c>
      <c r="CG89" s="228">
        <v>54</v>
      </c>
      <c r="CH89" s="228">
        <v>54</v>
      </c>
      <c r="CI89" s="228">
        <v>0</v>
      </c>
      <c r="CJ89" s="229">
        <v>0</v>
      </c>
      <c r="CK89" s="228">
        <v>1</v>
      </c>
      <c r="CL89" s="228">
        <v>1</v>
      </c>
      <c r="CM89" s="228">
        <v>0</v>
      </c>
      <c r="CN89" s="229">
        <v>0</v>
      </c>
      <c r="CO89" s="228">
        <v>143</v>
      </c>
      <c r="CP89" s="228">
        <v>122</v>
      </c>
      <c r="CQ89" s="228">
        <v>21</v>
      </c>
      <c r="CR89" s="229">
        <v>0.17030000000000001</v>
      </c>
      <c r="CS89" s="228">
        <v>66</v>
      </c>
      <c r="CT89" s="228">
        <v>61</v>
      </c>
      <c r="CU89" s="228">
        <v>5</v>
      </c>
      <c r="CV89" s="229">
        <v>7.9399999999999998E-2</v>
      </c>
      <c r="CW89" s="230">
        <v>1165</v>
      </c>
      <c r="CX89" s="230">
        <v>1148</v>
      </c>
      <c r="CY89" s="228">
        <v>17</v>
      </c>
      <c r="CZ89" s="229">
        <v>1.4999999999999999E-2</v>
      </c>
      <c r="DA89" s="228">
        <v>23.33</v>
      </c>
      <c r="DB89" s="228">
        <v>22.55</v>
      </c>
      <c r="DC89" s="228">
        <v>0.78</v>
      </c>
      <c r="DD89" s="228">
        <v>0.78</v>
      </c>
      <c r="DE89" s="228">
        <v>26.88</v>
      </c>
      <c r="DF89" s="228">
        <v>26.83</v>
      </c>
      <c r="DG89" s="228">
        <v>-3.55</v>
      </c>
      <c r="DH89" s="228">
        <v>0.05</v>
      </c>
      <c r="DI89" s="228">
        <v>23.26</v>
      </c>
      <c r="DJ89" s="228">
        <v>22.4</v>
      </c>
      <c r="DK89" s="228">
        <v>0.86</v>
      </c>
      <c r="DL89" s="228">
        <v>0.86</v>
      </c>
      <c r="DM89" s="228">
        <v>23.51</v>
      </c>
      <c r="DN89" s="228">
        <v>23</v>
      </c>
      <c r="DO89" s="228">
        <v>0.51</v>
      </c>
      <c r="DP89" s="228">
        <v>0.51</v>
      </c>
      <c r="DQ89" s="228">
        <v>0.46</v>
      </c>
      <c r="DR89" s="228">
        <v>0.5</v>
      </c>
      <c r="DS89" s="228">
        <v>-0.04</v>
      </c>
      <c r="DT89" s="229">
        <v>-0.08</v>
      </c>
      <c r="DU89" s="231">
        <v>1900</v>
      </c>
      <c r="DV89" s="231">
        <v>1700</v>
      </c>
      <c r="DW89" s="228">
        <v>0.35</v>
      </c>
      <c r="DX89" s="228">
        <v>0.32</v>
      </c>
      <c r="DY89" s="228">
        <v>0.03</v>
      </c>
      <c r="DZ89" s="229">
        <v>9.3700000000000006E-2</v>
      </c>
      <c r="EA89" s="229">
        <v>5.74E-2</v>
      </c>
      <c r="EB89" s="230">
        <v>301925</v>
      </c>
      <c r="EC89" s="229">
        <v>4.0000000000000001E-3</v>
      </c>
      <c r="ED89" s="229">
        <v>5.74E-2</v>
      </c>
      <c r="EE89" s="228">
        <v>3.01</v>
      </c>
      <c r="EF89" s="229">
        <v>1.6999999999999999E-3</v>
      </c>
      <c r="EG89" s="230">
        <v>1079532</v>
      </c>
      <c r="EH89" s="230">
        <v>273948</v>
      </c>
      <c r="EI89" s="229">
        <v>2.9405999999999999</v>
      </c>
      <c r="EJ89" s="229">
        <v>0.78239999999999998</v>
      </c>
      <c r="EK89" s="228">
        <v>303.64999999999998</v>
      </c>
      <c r="EL89" s="228">
        <v>101.41</v>
      </c>
      <c r="EM89" s="228">
        <v>104.76</v>
      </c>
      <c r="EN89" s="228">
        <v>9.6999999999999993</v>
      </c>
      <c r="EO89" s="228">
        <v>509.82</v>
      </c>
      <c r="EP89" s="228">
        <v>258.62</v>
      </c>
      <c r="EQ89" s="228">
        <v>251.2</v>
      </c>
      <c r="ER89" s="229">
        <v>0.97130000000000005</v>
      </c>
      <c r="ES89" s="228">
        <v>148.46</v>
      </c>
      <c r="ET89" s="228">
        <v>63.41</v>
      </c>
      <c r="EU89" s="228">
        <v>956.26</v>
      </c>
      <c r="EV89" s="231">
        <v>27086521</v>
      </c>
      <c r="EW89" s="231">
        <v>1168.1199999999999</v>
      </c>
      <c r="EX89" s="231">
        <v>1130.1500000000001</v>
      </c>
      <c r="EY89" s="228">
        <v>37.97</v>
      </c>
      <c r="EZ89" s="229">
        <v>3.3599999999999998E-2</v>
      </c>
      <c r="FA89" s="229">
        <v>0.23680000000000001</v>
      </c>
      <c r="FB89" s="227" t="s">
        <v>691</v>
      </c>
      <c r="FC89">
        <f t="shared" si="1"/>
        <v>55</v>
      </c>
    </row>
    <row r="90" spans="1:159" ht="17.25" thickBot="1" x14ac:dyDescent="0.3">
      <c r="A90" s="226">
        <v>46148</v>
      </c>
      <c r="B90" s="227" t="s">
        <v>175</v>
      </c>
      <c r="C90" s="227" t="s">
        <v>233</v>
      </c>
      <c r="D90" s="228">
        <v>925</v>
      </c>
      <c r="E90" s="228">
        <v>20</v>
      </c>
      <c r="F90" s="228">
        <v>552.65</v>
      </c>
      <c r="G90" s="228">
        <v>538.85</v>
      </c>
      <c r="H90" s="228">
        <v>13.8</v>
      </c>
      <c r="I90" s="229">
        <v>2.5600000000000001E-2</v>
      </c>
      <c r="J90" s="228">
        <v>550.1</v>
      </c>
      <c r="K90" s="228">
        <v>537.35</v>
      </c>
      <c r="L90" s="228">
        <v>12.75</v>
      </c>
      <c r="M90" s="229">
        <v>2.3699999999999999E-2</v>
      </c>
      <c r="N90" s="228">
        <v>552.65</v>
      </c>
      <c r="O90" s="228">
        <v>538.85</v>
      </c>
      <c r="P90" s="228">
        <v>13.8</v>
      </c>
      <c r="Q90" s="229">
        <v>2.5600000000000001E-2</v>
      </c>
      <c r="R90" s="228">
        <v>555.4</v>
      </c>
      <c r="S90" s="228">
        <v>540.6</v>
      </c>
      <c r="T90" s="228">
        <v>14.8</v>
      </c>
      <c r="U90" s="229">
        <v>2.7400000000000001E-2</v>
      </c>
      <c r="V90" s="228">
        <v>556.35</v>
      </c>
      <c r="W90" s="228">
        <v>546.15</v>
      </c>
      <c r="X90" s="228">
        <v>10.199999999999999</v>
      </c>
      <c r="Y90" s="229">
        <v>1.8700000000000001E-2</v>
      </c>
      <c r="Z90" s="228">
        <v>2.5499999999999998</v>
      </c>
      <c r="AA90" s="228">
        <v>1.5</v>
      </c>
      <c r="AB90" s="228">
        <v>1.05</v>
      </c>
      <c r="AC90" s="229">
        <v>4.5999999999999999E-3</v>
      </c>
      <c r="AD90" s="228">
        <v>2.5499999999999998</v>
      </c>
      <c r="AE90" s="228">
        <v>1.5</v>
      </c>
      <c r="AF90" s="228">
        <v>1.05</v>
      </c>
      <c r="AG90" s="229">
        <v>4.5999999999999999E-3</v>
      </c>
      <c r="AH90" s="228">
        <v>5.3</v>
      </c>
      <c r="AI90" s="228">
        <v>3.25</v>
      </c>
      <c r="AJ90" s="228">
        <v>2.0499999999999998</v>
      </c>
      <c r="AK90" s="229">
        <v>9.5999999999999992E-3</v>
      </c>
      <c r="AL90" s="228">
        <v>6.25</v>
      </c>
      <c r="AM90" s="228">
        <v>8.8000000000000007</v>
      </c>
      <c r="AN90" s="228">
        <v>-2.5499999999999998</v>
      </c>
      <c r="AO90" s="229">
        <v>1.14E-2</v>
      </c>
      <c r="AP90" s="228">
        <v>548.86</v>
      </c>
      <c r="AQ90" s="228">
        <v>551.63</v>
      </c>
      <c r="AR90" s="228">
        <v>0</v>
      </c>
      <c r="AS90" s="228">
        <v>156</v>
      </c>
      <c r="AT90" s="228">
        <v>88</v>
      </c>
      <c r="AU90" s="228">
        <v>68</v>
      </c>
      <c r="AV90" s="229">
        <v>0.76600000000000001</v>
      </c>
      <c r="AW90" s="228">
        <v>152</v>
      </c>
      <c r="AX90" s="228">
        <v>85</v>
      </c>
      <c r="AY90" s="228">
        <v>67</v>
      </c>
      <c r="AZ90" s="229">
        <v>0.7802</v>
      </c>
      <c r="BA90" s="228">
        <v>4</v>
      </c>
      <c r="BB90" s="228">
        <v>3</v>
      </c>
      <c r="BC90" s="228">
        <v>1</v>
      </c>
      <c r="BD90" s="229">
        <v>0.46429999999999999</v>
      </c>
      <c r="BE90" s="228">
        <v>0</v>
      </c>
      <c r="BF90" s="228">
        <v>0</v>
      </c>
      <c r="BG90" s="228">
        <v>0</v>
      </c>
      <c r="BH90" s="229">
        <v>-0.6</v>
      </c>
      <c r="BI90" s="228">
        <v>276</v>
      </c>
      <c r="BJ90" s="228">
        <v>296</v>
      </c>
      <c r="BK90" s="228">
        <v>-20</v>
      </c>
      <c r="BL90" s="229">
        <v>-6.6600000000000006E-2</v>
      </c>
      <c r="BM90" s="228">
        <v>184</v>
      </c>
      <c r="BN90" s="228">
        <v>191</v>
      </c>
      <c r="BO90" s="228">
        <v>-7</v>
      </c>
      <c r="BP90" s="229">
        <v>-3.7199999999999997E-2</v>
      </c>
      <c r="BQ90" s="228">
        <v>616</v>
      </c>
      <c r="BR90" s="228">
        <v>575</v>
      </c>
      <c r="BS90" s="228">
        <v>41</v>
      </c>
      <c r="BT90" s="229">
        <v>7.1300000000000002E-2</v>
      </c>
      <c r="BU90" s="230">
        <v>2535091</v>
      </c>
      <c r="BV90" s="230">
        <v>859265</v>
      </c>
      <c r="BW90" s="230">
        <v>1675826</v>
      </c>
      <c r="BX90" s="229">
        <v>1.9502999999999999</v>
      </c>
      <c r="BY90" s="230">
        <v>1129</v>
      </c>
      <c r="BZ90" s="230">
        <v>1139</v>
      </c>
      <c r="CA90" s="228">
        <v>-10</v>
      </c>
      <c r="CB90" s="229">
        <v>-8.6E-3</v>
      </c>
      <c r="CC90" s="230">
        <v>1116</v>
      </c>
      <c r="CD90" s="230">
        <v>1126</v>
      </c>
      <c r="CE90" s="228">
        <v>-11</v>
      </c>
      <c r="CF90" s="229">
        <v>-9.4000000000000004E-3</v>
      </c>
      <c r="CG90" s="228">
        <v>13</v>
      </c>
      <c r="CH90" s="228">
        <v>12</v>
      </c>
      <c r="CI90" s="228">
        <v>1</v>
      </c>
      <c r="CJ90" s="229">
        <v>7.0199999999999999E-2</v>
      </c>
      <c r="CK90" s="228">
        <v>1</v>
      </c>
      <c r="CL90" s="228">
        <v>1</v>
      </c>
      <c r="CM90" s="228">
        <v>0</v>
      </c>
      <c r="CN90" s="229">
        <v>-0.15379999999999999</v>
      </c>
      <c r="CO90" s="228">
        <v>244</v>
      </c>
      <c r="CP90" s="228">
        <v>257</v>
      </c>
      <c r="CQ90" s="228">
        <v>-12</v>
      </c>
      <c r="CR90" s="229">
        <v>-4.8399999999999999E-2</v>
      </c>
      <c r="CS90" s="228">
        <v>205</v>
      </c>
      <c r="CT90" s="228">
        <v>196</v>
      </c>
      <c r="CU90" s="228">
        <v>9</v>
      </c>
      <c r="CV90" s="229">
        <v>4.65E-2</v>
      </c>
      <c r="CW90" s="230">
        <v>1579</v>
      </c>
      <c r="CX90" s="230">
        <v>1592</v>
      </c>
      <c r="CY90" s="228">
        <v>-13</v>
      </c>
      <c r="CZ90" s="229">
        <v>-8.3000000000000001E-3</v>
      </c>
      <c r="DA90" s="228">
        <v>27.91</v>
      </c>
      <c r="DB90" s="228">
        <v>28.01</v>
      </c>
      <c r="DC90" s="228">
        <v>-0.1</v>
      </c>
      <c r="DD90" s="228">
        <v>-0.1</v>
      </c>
      <c r="DE90" s="228">
        <v>29.69</v>
      </c>
      <c r="DF90" s="228">
        <v>29.56</v>
      </c>
      <c r="DG90" s="228">
        <v>-1.78</v>
      </c>
      <c r="DH90" s="228">
        <v>0.13</v>
      </c>
      <c r="DI90" s="228">
        <v>27.18</v>
      </c>
      <c r="DJ90" s="228">
        <v>27.56</v>
      </c>
      <c r="DK90" s="228">
        <v>-0.38</v>
      </c>
      <c r="DL90" s="228">
        <v>-0.38</v>
      </c>
      <c r="DM90" s="228">
        <v>29.02</v>
      </c>
      <c r="DN90" s="228">
        <v>28.69</v>
      </c>
      <c r="DO90" s="228">
        <v>0.33</v>
      </c>
      <c r="DP90" s="228">
        <v>0.33</v>
      </c>
      <c r="DQ90" s="228">
        <v>0.84</v>
      </c>
      <c r="DR90" s="228">
        <v>0.76</v>
      </c>
      <c r="DS90" s="228">
        <v>0.08</v>
      </c>
      <c r="DT90" s="229">
        <v>0.1053</v>
      </c>
      <c r="DU90" s="228">
        <v>570</v>
      </c>
      <c r="DV90" s="228">
        <v>540</v>
      </c>
      <c r="DW90" s="228">
        <v>0.67</v>
      </c>
      <c r="DX90" s="228">
        <v>0.65</v>
      </c>
      <c r="DY90" s="228">
        <v>0.02</v>
      </c>
      <c r="DZ90" s="229">
        <v>3.0800000000000001E-2</v>
      </c>
      <c r="EA90" s="229">
        <v>1.2200000000000001E-2</v>
      </c>
      <c r="EB90" s="230">
        <v>235875</v>
      </c>
      <c r="EC90" s="229">
        <v>5.0000000000000001E-3</v>
      </c>
      <c r="ED90" s="229">
        <v>1.2200000000000001E-2</v>
      </c>
      <c r="EE90" s="228">
        <v>2.77</v>
      </c>
      <c r="EF90" s="229">
        <v>5.0000000000000001E-3</v>
      </c>
      <c r="EG90" s="230">
        <v>1878548</v>
      </c>
      <c r="EH90" s="230">
        <v>348156</v>
      </c>
      <c r="EI90" s="229">
        <v>4.3956999999999997</v>
      </c>
      <c r="EJ90" s="229">
        <v>0.74099999999999999</v>
      </c>
      <c r="EK90" s="228">
        <v>285.14</v>
      </c>
      <c r="EL90" s="228">
        <v>176.43</v>
      </c>
      <c r="EM90" s="228">
        <v>155.22</v>
      </c>
      <c r="EN90" s="228">
        <v>21.22</v>
      </c>
      <c r="EO90" s="228">
        <v>616.79999999999995</v>
      </c>
      <c r="EP90" s="228">
        <v>578.11</v>
      </c>
      <c r="EQ90" s="228">
        <v>38.69</v>
      </c>
      <c r="ER90" s="229">
        <v>6.6900000000000001E-2</v>
      </c>
      <c r="ES90" s="228">
        <v>249.22</v>
      </c>
      <c r="ET90" s="228">
        <v>195.8</v>
      </c>
      <c r="EU90" s="231">
        <v>1129.57</v>
      </c>
      <c r="EV90" s="231">
        <v>58892926</v>
      </c>
      <c r="EW90" s="231">
        <v>1574.59</v>
      </c>
      <c r="EX90" s="231">
        <v>1558.22</v>
      </c>
      <c r="EY90" s="228">
        <v>16.37</v>
      </c>
      <c r="EZ90" s="229">
        <v>1.0500000000000001E-2</v>
      </c>
      <c r="FA90" s="229">
        <v>0.48499999999999999</v>
      </c>
      <c r="FB90" s="227" t="s">
        <v>691</v>
      </c>
      <c r="FC90">
        <f t="shared" si="1"/>
        <v>13</v>
      </c>
    </row>
    <row r="91" spans="1:159" ht="17.25" thickBot="1" x14ac:dyDescent="0.3">
      <c r="A91" s="226">
        <v>46148</v>
      </c>
      <c r="B91" s="227" t="s">
        <v>188</v>
      </c>
      <c r="C91" s="227" t="s">
        <v>234</v>
      </c>
      <c r="D91" s="228">
        <v>71475</v>
      </c>
      <c r="E91" s="228">
        <v>20</v>
      </c>
      <c r="F91" s="228">
        <v>11.37</v>
      </c>
      <c r="G91" s="228">
        <v>10.84</v>
      </c>
      <c r="H91" s="228">
        <v>0.53</v>
      </c>
      <c r="I91" s="229">
        <v>4.8899999999999999E-2</v>
      </c>
      <c r="J91" s="228">
        <v>11.3</v>
      </c>
      <c r="K91" s="228">
        <v>10.8</v>
      </c>
      <c r="L91" s="228">
        <v>0.5</v>
      </c>
      <c r="M91" s="229">
        <v>4.6300000000000001E-2</v>
      </c>
      <c r="N91" s="228">
        <v>11.37</v>
      </c>
      <c r="O91" s="228">
        <v>10.84</v>
      </c>
      <c r="P91" s="228">
        <v>0.53</v>
      </c>
      <c r="Q91" s="229">
        <v>4.8899999999999999E-2</v>
      </c>
      <c r="R91" s="228">
        <v>11.46</v>
      </c>
      <c r="S91" s="228">
        <v>10.92</v>
      </c>
      <c r="T91" s="228">
        <v>0.54</v>
      </c>
      <c r="U91" s="229">
        <v>4.9500000000000002E-2</v>
      </c>
      <c r="V91" s="228">
        <v>11.54</v>
      </c>
      <c r="W91" s="228">
        <v>10.99</v>
      </c>
      <c r="X91" s="228">
        <v>0.55000000000000004</v>
      </c>
      <c r="Y91" s="229">
        <v>0.05</v>
      </c>
      <c r="Z91" s="228">
        <v>7.0000000000000007E-2</v>
      </c>
      <c r="AA91" s="228">
        <v>0.04</v>
      </c>
      <c r="AB91" s="228">
        <v>0.03</v>
      </c>
      <c r="AC91" s="229">
        <v>6.1999999999999998E-3</v>
      </c>
      <c r="AD91" s="228">
        <v>7.0000000000000007E-2</v>
      </c>
      <c r="AE91" s="228">
        <v>0.04</v>
      </c>
      <c r="AF91" s="228">
        <v>0.03</v>
      </c>
      <c r="AG91" s="229">
        <v>6.1999999999999998E-3</v>
      </c>
      <c r="AH91" s="228">
        <v>0.16</v>
      </c>
      <c r="AI91" s="228">
        <v>0.12</v>
      </c>
      <c r="AJ91" s="228">
        <v>0.04</v>
      </c>
      <c r="AK91" s="229">
        <v>1.4200000000000001E-2</v>
      </c>
      <c r="AL91" s="228">
        <v>0.24</v>
      </c>
      <c r="AM91" s="228">
        <v>0.19</v>
      </c>
      <c r="AN91" s="228">
        <v>0.05</v>
      </c>
      <c r="AO91" s="229">
        <v>2.12E-2</v>
      </c>
      <c r="AP91" s="228">
        <v>11.28</v>
      </c>
      <c r="AQ91" s="228">
        <v>11.34</v>
      </c>
      <c r="AR91" s="228">
        <v>0</v>
      </c>
      <c r="AS91" s="230">
        <v>1188</v>
      </c>
      <c r="AT91" s="230">
        <v>1177</v>
      </c>
      <c r="AU91" s="228">
        <v>12</v>
      </c>
      <c r="AV91" s="229">
        <v>9.9000000000000008E-3</v>
      </c>
      <c r="AW91" s="230">
        <v>1060</v>
      </c>
      <c r="AX91" s="230">
        <v>1038</v>
      </c>
      <c r="AY91" s="228">
        <v>22</v>
      </c>
      <c r="AZ91" s="229">
        <v>2.1100000000000001E-2</v>
      </c>
      <c r="BA91" s="228">
        <v>111</v>
      </c>
      <c r="BB91" s="228">
        <v>114</v>
      </c>
      <c r="BC91" s="228">
        <v>-4</v>
      </c>
      <c r="BD91" s="229">
        <v>-3.27E-2</v>
      </c>
      <c r="BE91" s="228">
        <v>18</v>
      </c>
      <c r="BF91" s="228">
        <v>24</v>
      </c>
      <c r="BG91" s="228">
        <v>-7</v>
      </c>
      <c r="BH91" s="229">
        <v>-0.27029999999999998</v>
      </c>
      <c r="BI91" s="230">
        <v>2778</v>
      </c>
      <c r="BJ91" s="230">
        <v>3229</v>
      </c>
      <c r="BK91" s="228">
        <v>-452</v>
      </c>
      <c r="BL91" s="229">
        <v>-0.13980000000000001</v>
      </c>
      <c r="BM91" s="230">
        <v>1016</v>
      </c>
      <c r="BN91" s="228">
        <v>963</v>
      </c>
      <c r="BO91" s="228">
        <v>52</v>
      </c>
      <c r="BP91" s="229">
        <v>5.45E-2</v>
      </c>
      <c r="BQ91" s="230">
        <v>4981</v>
      </c>
      <c r="BR91" s="230">
        <v>5369</v>
      </c>
      <c r="BS91" s="228">
        <v>-387</v>
      </c>
      <c r="BT91" s="229">
        <v>-7.22E-2</v>
      </c>
      <c r="BU91" s="230">
        <v>945693473</v>
      </c>
      <c r="BV91" s="230">
        <v>869545161</v>
      </c>
      <c r="BW91" s="230">
        <v>76148312</v>
      </c>
      <c r="BX91" s="229">
        <v>8.7599999999999997E-2</v>
      </c>
      <c r="BY91" s="230">
        <v>7616</v>
      </c>
      <c r="BZ91" s="230">
        <v>7760</v>
      </c>
      <c r="CA91" s="228">
        <v>-143</v>
      </c>
      <c r="CB91" s="229">
        <v>-1.8499999999999999E-2</v>
      </c>
      <c r="CC91" s="230">
        <v>7360</v>
      </c>
      <c r="CD91" s="230">
        <v>7501</v>
      </c>
      <c r="CE91" s="228">
        <v>-141</v>
      </c>
      <c r="CF91" s="229">
        <v>-1.8800000000000001E-2</v>
      </c>
      <c r="CG91" s="228">
        <v>229</v>
      </c>
      <c r="CH91" s="228">
        <v>234</v>
      </c>
      <c r="CI91" s="228">
        <v>-4</v>
      </c>
      <c r="CJ91" s="229">
        <v>-1.8800000000000001E-2</v>
      </c>
      <c r="CK91" s="228">
        <v>27</v>
      </c>
      <c r="CL91" s="228">
        <v>24</v>
      </c>
      <c r="CM91" s="228">
        <v>2</v>
      </c>
      <c r="CN91" s="229">
        <v>9.2999999999999999E-2</v>
      </c>
      <c r="CO91" s="230">
        <v>1788</v>
      </c>
      <c r="CP91" s="230">
        <v>1813</v>
      </c>
      <c r="CQ91" s="228">
        <v>-25</v>
      </c>
      <c r="CR91" s="229">
        <v>-1.3899999999999999E-2</v>
      </c>
      <c r="CS91" s="228">
        <v>990</v>
      </c>
      <c r="CT91" s="228">
        <v>948</v>
      </c>
      <c r="CU91" s="228">
        <v>42</v>
      </c>
      <c r="CV91" s="229">
        <v>4.3999999999999997E-2</v>
      </c>
      <c r="CW91" s="230">
        <v>10394</v>
      </c>
      <c r="CX91" s="230">
        <v>10521</v>
      </c>
      <c r="CY91" s="228">
        <v>-127</v>
      </c>
      <c r="CZ91" s="229">
        <v>-1.2E-2</v>
      </c>
      <c r="DA91" s="228">
        <v>49.28</v>
      </c>
      <c r="DB91" s="228">
        <v>52.48</v>
      </c>
      <c r="DC91" s="228">
        <v>-3.2</v>
      </c>
      <c r="DD91" s="228">
        <v>-3.2</v>
      </c>
      <c r="DE91" s="228">
        <v>63.62</v>
      </c>
      <c r="DF91" s="228">
        <v>63.45</v>
      </c>
      <c r="DG91" s="228">
        <v>-14.34</v>
      </c>
      <c r="DH91" s="228">
        <v>0.17</v>
      </c>
      <c r="DI91" s="228">
        <v>50.47</v>
      </c>
      <c r="DJ91" s="228">
        <v>54.65</v>
      </c>
      <c r="DK91" s="228">
        <v>-4.18</v>
      </c>
      <c r="DL91" s="228">
        <v>-4.18</v>
      </c>
      <c r="DM91" s="228">
        <v>46.01</v>
      </c>
      <c r="DN91" s="228">
        <v>45.2</v>
      </c>
      <c r="DO91" s="228">
        <v>0.81</v>
      </c>
      <c r="DP91" s="228">
        <v>0.81</v>
      </c>
      <c r="DQ91" s="228">
        <v>0.55000000000000004</v>
      </c>
      <c r="DR91" s="228">
        <v>0.52</v>
      </c>
      <c r="DS91" s="228">
        <v>0.03</v>
      </c>
      <c r="DT91" s="229">
        <v>5.7700000000000001E-2</v>
      </c>
      <c r="DU91" s="228">
        <v>12</v>
      </c>
      <c r="DV91" s="228">
        <v>10</v>
      </c>
      <c r="DW91" s="228">
        <v>0.37</v>
      </c>
      <c r="DX91" s="228">
        <v>0.3</v>
      </c>
      <c r="DY91" s="228">
        <v>7.0000000000000007E-2</v>
      </c>
      <c r="DZ91" s="229">
        <v>0.23330000000000001</v>
      </c>
      <c r="EA91" s="229">
        <v>3.3599999999999998E-2</v>
      </c>
      <c r="EB91" s="230">
        <v>227076075</v>
      </c>
      <c r="EC91" s="229">
        <v>7.9000000000000008E-3</v>
      </c>
      <c r="ED91" s="229">
        <v>3.3599999999999998E-2</v>
      </c>
      <c r="EE91" s="228">
        <v>0.06</v>
      </c>
      <c r="EF91" s="229">
        <v>5.3E-3</v>
      </c>
      <c r="EG91" s="230">
        <v>259439900</v>
      </c>
      <c r="EH91" s="230">
        <v>198174070</v>
      </c>
      <c r="EI91" s="229">
        <v>0.30919999999999997</v>
      </c>
      <c r="EJ91" s="229">
        <v>0.27429999999999999</v>
      </c>
      <c r="EK91" s="231">
        <v>3078.94</v>
      </c>
      <c r="EL91" s="228">
        <v>978.23</v>
      </c>
      <c r="EM91" s="231">
        <v>1180.1099999999999</v>
      </c>
      <c r="EN91" s="228">
        <v>133.33000000000001</v>
      </c>
      <c r="EO91" s="231">
        <v>5237.28</v>
      </c>
      <c r="EP91" s="231">
        <v>5578.19</v>
      </c>
      <c r="EQ91" s="228">
        <v>-340.9</v>
      </c>
      <c r="ER91" s="229">
        <v>-6.1100000000000002E-2</v>
      </c>
      <c r="ES91" s="231">
        <v>1836.24</v>
      </c>
      <c r="ET91" s="228">
        <v>884.8</v>
      </c>
      <c r="EU91" s="231">
        <v>7618.65</v>
      </c>
      <c r="EV91" s="231">
        <v>12096038468</v>
      </c>
      <c r="EW91" s="231">
        <v>10339.69</v>
      </c>
      <c r="EX91" s="231">
        <v>10071.129999999999</v>
      </c>
      <c r="EY91" s="228">
        <v>268.56</v>
      </c>
      <c r="EZ91" s="229">
        <v>2.6700000000000002E-2</v>
      </c>
      <c r="FA91" s="229">
        <v>0.75580000000000003</v>
      </c>
      <c r="FB91" s="227" t="s">
        <v>691</v>
      </c>
      <c r="FC91">
        <f t="shared" si="1"/>
        <v>256</v>
      </c>
    </row>
    <row r="92" spans="1:159" ht="17.25" thickBot="1" x14ac:dyDescent="0.3">
      <c r="A92" s="226">
        <v>46148</v>
      </c>
      <c r="B92" s="227" t="s">
        <v>172</v>
      </c>
      <c r="C92" s="227" t="s">
        <v>235</v>
      </c>
      <c r="D92" s="228">
        <v>9275</v>
      </c>
      <c r="E92" s="228">
        <v>20</v>
      </c>
      <c r="F92" s="228">
        <v>70.08</v>
      </c>
      <c r="G92" s="228">
        <v>69.13</v>
      </c>
      <c r="H92" s="228">
        <v>0.95</v>
      </c>
      <c r="I92" s="229">
        <v>1.37E-2</v>
      </c>
      <c r="J92" s="228">
        <v>69.59</v>
      </c>
      <c r="K92" s="228">
        <v>68.75</v>
      </c>
      <c r="L92" s="228">
        <v>0.84</v>
      </c>
      <c r="M92" s="229">
        <v>1.2200000000000001E-2</v>
      </c>
      <c r="N92" s="228">
        <v>70.08</v>
      </c>
      <c r="O92" s="228">
        <v>69.13</v>
      </c>
      <c r="P92" s="228">
        <v>0.95</v>
      </c>
      <c r="Q92" s="229">
        <v>1.37E-2</v>
      </c>
      <c r="R92" s="228">
        <v>70.489999999999995</v>
      </c>
      <c r="S92" s="228">
        <v>69.59</v>
      </c>
      <c r="T92" s="228">
        <v>0.9</v>
      </c>
      <c r="U92" s="229">
        <v>1.29E-2</v>
      </c>
      <c r="V92" s="228">
        <v>70.790000000000006</v>
      </c>
      <c r="W92" s="228">
        <v>69.819999999999993</v>
      </c>
      <c r="X92" s="228">
        <v>0.97</v>
      </c>
      <c r="Y92" s="229">
        <v>1.3899999999999999E-2</v>
      </c>
      <c r="Z92" s="228">
        <v>0.49</v>
      </c>
      <c r="AA92" s="228">
        <v>0.38</v>
      </c>
      <c r="AB92" s="228">
        <v>0.11</v>
      </c>
      <c r="AC92" s="229">
        <v>7.0000000000000001E-3</v>
      </c>
      <c r="AD92" s="228">
        <v>0.49</v>
      </c>
      <c r="AE92" s="228">
        <v>0.38</v>
      </c>
      <c r="AF92" s="228">
        <v>0.11</v>
      </c>
      <c r="AG92" s="229">
        <v>7.0000000000000001E-3</v>
      </c>
      <c r="AH92" s="228">
        <v>0.9</v>
      </c>
      <c r="AI92" s="228">
        <v>0.84</v>
      </c>
      <c r="AJ92" s="228">
        <v>0.06</v>
      </c>
      <c r="AK92" s="229">
        <v>1.29E-2</v>
      </c>
      <c r="AL92" s="228">
        <v>1.2</v>
      </c>
      <c r="AM92" s="228">
        <v>1.07</v>
      </c>
      <c r="AN92" s="228">
        <v>0.13</v>
      </c>
      <c r="AO92" s="229">
        <v>1.72E-2</v>
      </c>
      <c r="AP92" s="228">
        <v>69.98</v>
      </c>
      <c r="AQ92" s="228">
        <v>70.23</v>
      </c>
      <c r="AR92" s="228">
        <v>0</v>
      </c>
      <c r="AS92" s="228">
        <v>370</v>
      </c>
      <c r="AT92" s="228">
        <v>182</v>
      </c>
      <c r="AU92" s="228">
        <v>188</v>
      </c>
      <c r="AV92" s="229">
        <v>1.0331999999999999</v>
      </c>
      <c r="AW92" s="228">
        <v>325</v>
      </c>
      <c r="AX92" s="228">
        <v>155</v>
      </c>
      <c r="AY92" s="228">
        <v>170</v>
      </c>
      <c r="AZ92" s="229">
        <v>1.0938000000000001</v>
      </c>
      <c r="BA92" s="228">
        <v>39</v>
      </c>
      <c r="BB92" s="228">
        <v>25</v>
      </c>
      <c r="BC92" s="228">
        <v>13</v>
      </c>
      <c r="BD92" s="229">
        <v>0.52559999999999996</v>
      </c>
      <c r="BE92" s="228">
        <v>7</v>
      </c>
      <c r="BF92" s="228">
        <v>2</v>
      </c>
      <c r="BG92" s="228">
        <v>5</v>
      </c>
      <c r="BH92" s="229">
        <v>3.25</v>
      </c>
      <c r="BI92" s="228">
        <v>883</v>
      </c>
      <c r="BJ92" s="228">
        <v>526</v>
      </c>
      <c r="BK92" s="228">
        <v>357</v>
      </c>
      <c r="BL92" s="229">
        <v>0.67800000000000005</v>
      </c>
      <c r="BM92" s="228">
        <v>548</v>
      </c>
      <c r="BN92" s="228">
        <v>331</v>
      </c>
      <c r="BO92" s="228">
        <v>216</v>
      </c>
      <c r="BP92" s="229">
        <v>0.65200000000000002</v>
      </c>
      <c r="BQ92" s="230">
        <v>1801</v>
      </c>
      <c r="BR92" s="230">
        <v>1040</v>
      </c>
      <c r="BS92" s="228">
        <v>761</v>
      </c>
      <c r="BT92" s="229">
        <v>0.7319</v>
      </c>
      <c r="BU92" s="230">
        <v>32678287</v>
      </c>
      <c r="BV92" s="230">
        <v>16343441</v>
      </c>
      <c r="BW92" s="230">
        <v>16334846</v>
      </c>
      <c r="BX92" s="229">
        <v>0.99950000000000006</v>
      </c>
      <c r="BY92" s="230">
        <v>2954</v>
      </c>
      <c r="BZ92" s="230">
        <v>2877</v>
      </c>
      <c r="CA92" s="228">
        <v>77</v>
      </c>
      <c r="CB92" s="229">
        <v>2.6700000000000002E-2</v>
      </c>
      <c r="CC92" s="230">
        <v>2616</v>
      </c>
      <c r="CD92" s="230">
        <v>2561</v>
      </c>
      <c r="CE92" s="228">
        <v>55</v>
      </c>
      <c r="CF92" s="229">
        <v>2.1399999999999999E-2</v>
      </c>
      <c r="CG92" s="228">
        <v>325</v>
      </c>
      <c r="CH92" s="228">
        <v>307</v>
      </c>
      <c r="CI92" s="228">
        <v>18</v>
      </c>
      <c r="CJ92" s="229">
        <v>5.8500000000000003E-2</v>
      </c>
      <c r="CK92" s="228">
        <v>13</v>
      </c>
      <c r="CL92" s="228">
        <v>9</v>
      </c>
      <c r="CM92" s="228">
        <v>4</v>
      </c>
      <c r="CN92" s="229">
        <v>0.4526</v>
      </c>
      <c r="CO92" s="228">
        <v>734</v>
      </c>
      <c r="CP92" s="228">
        <v>660</v>
      </c>
      <c r="CQ92" s="228">
        <v>75</v>
      </c>
      <c r="CR92" s="229">
        <v>0.1135</v>
      </c>
      <c r="CS92" s="228">
        <v>604</v>
      </c>
      <c r="CT92" s="228">
        <v>583</v>
      </c>
      <c r="CU92" s="228">
        <v>21</v>
      </c>
      <c r="CV92" s="229">
        <v>3.56E-2</v>
      </c>
      <c r="CW92" s="230">
        <v>4292</v>
      </c>
      <c r="CX92" s="230">
        <v>4120</v>
      </c>
      <c r="CY92" s="228">
        <v>173</v>
      </c>
      <c r="CZ92" s="229">
        <v>4.19E-2</v>
      </c>
      <c r="DA92" s="228">
        <v>31.83</v>
      </c>
      <c r="DB92" s="228">
        <v>32.11</v>
      </c>
      <c r="DC92" s="228">
        <v>-0.28000000000000003</v>
      </c>
      <c r="DD92" s="228">
        <v>-0.28000000000000003</v>
      </c>
      <c r="DE92" s="228">
        <v>41.12</v>
      </c>
      <c r="DF92" s="228">
        <v>41.18</v>
      </c>
      <c r="DG92" s="228">
        <v>-9.2899999999999991</v>
      </c>
      <c r="DH92" s="228">
        <v>-0.06</v>
      </c>
      <c r="DI92" s="228">
        <v>31.46</v>
      </c>
      <c r="DJ92" s="228">
        <v>32.15</v>
      </c>
      <c r="DK92" s="228">
        <v>-0.69</v>
      </c>
      <c r="DL92" s="228">
        <v>-0.69</v>
      </c>
      <c r="DM92" s="228">
        <v>32.409999999999997</v>
      </c>
      <c r="DN92" s="228">
        <v>32.06</v>
      </c>
      <c r="DO92" s="228">
        <v>0.35</v>
      </c>
      <c r="DP92" s="228">
        <v>0.35</v>
      </c>
      <c r="DQ92" s="228">
        <v>0.82</v>
      </c>
      <c r="DR92" s="228">
        <v>0.88</v>
      </c>
      <c r="DS92" s="228">
        <v>-0.06</v>
      </c>
      <c r="DT92" s="229">
        <v>-6.8199999999999997E-2</v>
      </c>
      <c r="DU92" s="228">
        <v>70</v>
      </c>
      <c r="DV92" s="228">
        <v>70</v>
      </c>
      <c r="DW92" s="228">
        <v>0.62</v>
      </c>
      <c r="DX92" s="228">
        <v>0.63</v>
      </c>
      <c r="DY92" s="228">
        <v>-0.01</v>
      </c>
      <c r="DZ92" s="229">
        <v>-1.5900000000000001E-2</v>
      </c>
      <c r="EA92" s="229">
        <v>0.1143</v>
      </c>
      <c r="EB92" s="230">
        <v>45020850</v>
      </c>
      <c r="EC92" s="229">
        <v>5.8999999999999999E-3</v>
      </c>
      <c r="ED92" s="229">
        <v>0.1143</v>
      </c>
      <c r="EE92" s="228">
        <v>0.25</v>
      </c>
      <c r="EF92" s="229">
        <v>3.5999999999999999E-3</v>
      </c>
      <c r="EG92" s="230">
        <v>17902591</v>
      </c>
      <c r="EH92" s="230">
        <v>6876143</v>
      </c>
      <c r="EI92" s="229">
        <v>1.6035999999999999</v>
      </c>
      <c r="EJ92" s="229">
        <v>0.54779999999999995</v>
      </c>
      <c r="EK92" s="228">
        <v>931.04</v>
      </c>
      <c r="EL92" s="228">
        <v>533.20000000000005</v>
      </c>
      <c r="EM92" s="228">
        <v>369.93</v>
      </c>
      <c r="EN92" s="228">
        <v>47.72</v>
      </c>
      <c r="EO92" s="231">
        <v>1834.18</v>
      </c>
      <c r="EP92" s="231">
        <v>1063.0899999999999</v>
      </c>
      <c r="EQ92" s="228">
        <v>771.08</v>
      </c>
      <c r="ER92" s="229">
        <v>0.72529999999999994</v>
      </c>
      <c r="ES92" s="228">
        <v>755.26</v>
      </c>
      <c r="ET92" s="228">
        <v>589.54999999999995</v>
      </c>
      <c r="EU92" s="231">
        <v>2955.59</v>
      </c>
      <c r="EV92" s="231">
        <v>1101871266</v>
      </c>
      <c r="EW92" s="231">
        <v>4300.41</v>
      </c>
      <c r="EX92" s="231">
        <v>4090.78</v>
      </c>
      <c r="EY92" s="228">
        <v>209.63</v>
      </c>
      <c r="EZ92" s="229">
        <v>5.1200000000000002E-2</v>
      </c>
      <c r="FA92" s="229">
        <v>0.55589999999999995</v>
      </c>
      <c r="FB92" s="227" t="s">
        <v>555</v>
      </c>
      <c r="FC92">
        <f t="shared" si="1"/>
        <v>338</v>
      </c>
    </row>
    <row r="93" spans="1:159" ht="17.25" thickBot="1" x14ac:dyDescent="0.3">
      <c r="A93" s="226">
        <v>46148</v>
      </c>
      <c r="B93" s="227" t="s">
        <v>161</v>
      </c>
      <c r="C93" s="227" t="s">
        <v>514</v>
      </c>
      <c r="D93" s="228">
        <v>3750</v>
      </c>
      <c r="E93" s="228">
        <v>20</v>
      </c>
      <c r="F93" s="228">
        <v>128.72</v>
      </c>
      <c r="G93" s="228">
        <v>126.35</v>
      </c>
      <c r="H93" s="228">
        <v>2.37</v>
      </c>
      <c r="I93" s="229">
        <v>1.8800000000000001E-2</v>
      </c>
      <c r="J93" s="228">
        <v>129.80000000000001</v>
      </c>
      <c r="K93" s="228">
        <v>127.62</v>
      </c>
      <c r="L93" s="228">
        <v>2.1800000000000002</v>
      </c>
      <c r="M93" s="229">
        <v>1.7100000000000001E-2</v>
      </c>
      <c r="N93" s="228">
        <v>128.72</v>
      </c>
      <c r="O93" s="228">
        <v>126.35</v>
      </c>
      <c r="P93" s="228">
        <v>2.37</v>
      </c>
      <c r="Q93" s="229">
        <v>1.8800000000000001E-2</v>
      </c>
      <c r="R93" s="228">
        <v>129.27000000000001</v>
      </c>
      <c r="S93" s="228">
        <v>126.96</v>
      </c>
      <c r="T93" s="228">
        <v>2.31</v>
      </c>
      <c r="U93" s="229">
        <v>1.8200000000000001E-2</v>
      </c>
      <c r="V93" s="228">
        <v>130.15</v>
      </c>
      <c r="W93" s="228">
        <v>128.44999999999999</v>
      </c>
      <c r="X93" s="228">
        <v>1.7</v>
      </c>
      <c r="Y93" s="229">
        <v>1.32E-2</v>
      </c>
      <c r="Z93" s="228">
        <v>-1.08</v>
      </c>
      <c r="AA93" s="228">
        <v>-1.27</v>
      </c>
      <c r="AB93" s="228">
        <v>0.19</v>
      </c>
      <c r="AC93" s="229">
        <v>-8.3000000000000001E-3</v>
      </c>
      <c r="AD93" s="228">
        <v>-1.08</v>
      </c>
      <c r="AE93" s="228">
        <v>-1.27</v>
      </c>
      <c r="AF93" s="228">
        <v>0.19</v>
      </c>
      <c r="AG93" s="229">
        <v>-8.3000000000000001E-3</v>
      </c>
      <c r="AH93" s="228">
        <v>-0.53</v>
      </c>
      <c r="AI93" s="228">
        <v>-0.66</v>
      </c>
      <c r="AJ93" s="228">
        <v>0.13</v>
      </c>
      <c r="AK93" s="229">
        <v>-4.1000000000000003E-3</v>
      </c>
      <c r="AL93" s="228">
        <v>0.35</v>
      </c>
      <c r="AM93" s="228">
        <v>0.83</v>
      </c>
      <c r="AN93" s="228">
        <v>-0.48</v>
      </c>
      <c r="AO93" s="229">
        <v>2.7000000000000001E-3</v>
      </c>
      <c r="AP93" s="228">
        <v>128.15</v>
      </c>
      <c r="AQ93" s="228">
        <v>128.63999999999999</v>
      </c>
      <c r="AR93" s="228">
        <v>0</v>
      </c>
      <c r="AS93" s="228">
        <v>104</v>
      </c>
      <c r="AT93" s="228">
        <v>84</v>
      </c>
      <c r="AU93" s="228">
        <v>21</v>
      </c>
      <c r="AV93" s="229">
        <v>0.2457</v>
      </c>
      <c r="AW93" s="228">
        <v>95</v>
      </c>
      <c r="AX93" s="228">
        <v>75</v>
      </c>
      <c r="AY93" s="228">
        <v>20</v>
      </c>
      <c r="AZ93" s="229">
        <v>0.26069999999999999</v>
      </c>
      <c r="BA93" s="228">
        <v>9</v>
      </c>
      <c r="BB93" s="228">
        <v>8</v>
      </c>
      <c r="BC93" s="228">
        <v>0</v>
      </c>
      <c r="BD93" s="229">
        <v>5.8500000000000003E-2</v>
      </c>
      <c r="BE93" s="228">
        <v>1</v>
      </c>
      <c r="BF93" s="228">
        <v>0</v>
      </c>
      <c r="BG93" s="228">
        <v>0</v>
      </c>
      <c r="BH93" s="229">
        <v>4.5</v>
      </c>
      <c r="BI93" s="228">
        <v>443</v>
      </c>
      <c r="BJ93" s="228">
        <v>371</v>
      </c>
      <c r="BK93" s="228">
        <v>72</v>
      </c>
      <c r="BL93" s="229">
        <v>0.1951</v>
      </c>
      <c r="BM93" s="228">
        <v>222</v>
      </c>
      <c r="BN93" s="228">
        <v>109</v>
      </c>
      <c r="BO93" s="228">
        <v>113</v>
      </c>
      <c r="BP93" s="229">
        <v>1.0349999999999999</v>
      </c>
      <c r="BQ93" s="228">
        <v>769</v>
      </c>
      <c r="BR93" s="228">
        <v>563</v>
      </c>
      <c r="BS93" s="228">
        <v>206</v>
      </c>
      <c r="BT93" s="229">
        <v>0.36499999999999999</v>
      </c>
      <c r="BU93" s="230">
        <v>6623909</v>
      </c>
      <c r="BV93" s="230">
        <v>6122049</v>
      </c>
      <c r="BW93" s="230">
        <v>501860</v>
      </c>
      <c r="BX93" s="229">
        <v>8.2000000000000003E-2</v>
      </c>
      <c r="BY93" s="228">
        <v>909</v>
      </c>
      <c r="BZ93" s="228">
        <v>929</v>
      </c>
      <c r="CA93" s="228">
        <v>-19</v>
      </c>
      <c r="CB93" s="229">
        <v>-2.0799999999999999E-2</v>
      </c>
      <c r="CC93" s="228">
        <v>868</v>
      </c>
      <c r="CD93" s="228">
        <v>886</v>
      </c>
      <c r="CE93" s="228">
        <v>-19</v>
      </c>
      <c r="CF93" s="229">
        <v>-2.1000000000000001E-2</v>
      </c>
      <c r="CG93" s="228">
        <v>40</v>
      </c>
      <c r="CH93" s="228">
        <v>41</v>
      </c>
      <c r="CI93" s="228">
        <v>-1</v>
      </c>
      <c r="CJ93" s="229">
        <v>-2.1299999999999999E-2</v>
      </c>
      <c r="CK93" s="228">
        <v>2</v>
      </c>
      <c r="CL93" s="228">
        <v>2</v>
      </c>
      <c r="CM93" s="228">
        <v>0</v>
      </c>
      <c r="CN93" s="229">
        <v>0.1333</v>
      </c>
      <c r="CO93" s="228">
        <v>581</v>
      </c>
      <c r="CP93" s="228">
        <v>564</v>
      </c>
      <c r="CQ93" s="228">
        <v>17</v>
      </c>
      <c r="CR93" s="229">
        <v>2.93E-2</v>
      </c>
      <c r="CS93" s="228">
        <v>371</v>
      </c>
      <c r="CT93" s="228">
        <v>341</v>
      </c>
      <c r="CU93" s="228">
        <v>30</v>
      </c>
      <c r="CV93" s="229">
        <v>8.7300000000000003E-2</v>
      </c>
      <c r="CW93" s="230">
        <v>1861</v>
      </c>
      <c r="CX93" s="230">
        <v>1834</v>
      </c>
      <c r="CY93" s="228">
        <v>27</v>
      </c>
      <c r="CZ93" s="229">
        <v>1.47E-2</v>
      </c>
      <c r="DA93" s="228">
        <v>35.97</v>
      </c>
      <c r="DB93" s="228">
        <v>38.880000000000003</v>
      </c>
      <c r="DC93" s="228">
        <v>-2.91</v>
      </c>
      <c r="DD93" s="228">
        <v>-2.91</v>
      </c>
      <c r="DE93" s="228">
        <v>51.76</v>
      </c>
      <c r="DF93" s="228">
        <v>51.83</v>
      </c>
      <c r="DG93" s="228">
        <v>-15.79</v>
      </c>
      <c r="DH93" s="228">
        <v>-7.0000000000000007E-2</v>
      </c>
      <c r="DI93" s="228">
        <v>36.1</v>
      </c>
      <c r="DJ93" s="228">
        <v>39.22</v>
      </c>
      <c r="DK93" s="228">
        <v>-3.12</v>
      </c>
      <c r="DL93" s="228">
        <v>-3.12</v>
      </c>
      <c r="DM93" s="228">
        <v>35.72</v>
      </c>
      <c r="DN93" s="228">
        <v>37.76</v>
      </c>
      <c r="DO93" s="228">
        <v>-2.04</v>
      </c>
      <c r="DP93" s="228">
        <v>-2.04</v>
      </c>
      <c r="DQ93" s="228">
        <v>0.64</v>
      </c>
      <c r="DR93" s="228">
        <v>0.6</v>
      </c>
      <c r="DS93" s="228">
        <v>0.04</v>
      </c>
      <c r="DT93" s="229">
        <v>6.6699999999999995E-2</v>
      </c>
      <c r="DU93" s="228">
        <v>150</v>
      </c>
      <c r="DV93" s="228">
        <v>125</v>
      </c>
      <c r="DW93" s="228">
        <v>0.5</v>
      </c>
      <c r="DX93" s="228">
        <v>0.28999999999999998</v>
      </c>
      <c r="DY93" s="228">
        <v>0.21</v>
      </c>
      <c r="DZ93" s="229">
        <v>0.72409999999999997</v>
      </c>
      <c r="EA93" s="229">
        <v>4.5999999999999999E-2</v>
      </c>
      <c r="EB93" s="230">
        <v>3303000</v>
      </c>
      <c r="EC93" s="229">
        <v>4.3E-3</v>
      </c>
      <c r="ED93" s="229">
        <v>4.5999999999999999E-2</v>
      </c>
      <c r="EE93" s="228">
        <v>0.49</v>
      </c>
      <c r="EF93" s="229">
        <v>3.8E-3</v>
      </c>
      <c r="EG93" s="230">
        <v>3297211</v>
      </c>
      <c r="EH93" s="230">
        <v>2870491</v>
      </c>
      <c r="EI93" s="229">
        <v>0.1487</v>
      </c>
      <c r="EJ93" s="229">
        <v>0.49780000000000002</v>
      </c>
      <c r="EK93" s="228">
        <v>473.43</v>
      </c>
      <c r="EL93" s="228">
        <v>211.35</v>
      </c>
      <c r="EM93" s="228">
        <v>103.93</v>
      </c>
      <c r="EN93" s="228">
        <v>18.239999999999998</v>
      </c>
      <c r="EO93" s="228">
        <v>788.71</v>
      </c>
      <c r="EP93" s="228">
        <v>579.19000000000005</v>
      </c>
      <c r="EQ93" s="228">
        <v>209.52</v>
      </c>
      <c r="ER93" s="229">
        <v>0.36170000000000002</v>
      </c>
      <c r="ES93" s="228">
        <v>613.28</v>
      </c>
      <c r="ET93" s="228">
        <v>362.57</v>
      </c>
      <c r="EU93" s="228">
        <v>909.62</v>
      </c>
      <c r="EV93" s="231">
        <v>133395043</v>
      </c>
      <c r="EW93" s="231">
        <v>1885.47</v>
      </c>
      <c r="EX93" s="231">
        <v>1840.2</v>
      </c>
      <c r="EY93" s="228">
        <v>45.27</v>
      </c>
      <c r="EZ93" s="229">
        <v>2.46E-2</v>
      </c>
      <c r="FA93" s="229">
        <v>1.0837000000000001</v>
      </c>
      <c r="FB93" s="227" t="s">
        <v>691</v>
      </c>
      <c r="FC93">
        <f t="shared" si="1"/>
        <v>41</v>
      </c>
    </row>
    <row r="94" spans="1:159" ht="17.25" thickBot="1" x14ac:dyDescent="0.3">
      <c r="A94" s="226">
        <v>46148</v>
      </c>
      <c r="B94" s="227" t="s">
        <v>206</v>
      </c>
      <c r="C94" s="227" t="s">
        <v>501</v>
      </c>
      <c r="D94" s="228">
        <v>1000</v>
      </c>
      <c r="E94" s="228">
        <v>20</v>
      </c>
      <c r="F94" s="228">
        <v>669.85</v>
      </c>
      <c r="G94" s="228">
        <v>650.29999999999995</v>
      </c>
      <c r="H94" s="228">
        <v>19.55</v>
      </c>
      <c r="I94" s="229">
        <v>3.0099999999999998E-2</v>
      </c>
      <c r="J94" s="228">
        <v>666.15</v>
      </c>
      <c r="K94" s="228">
        <v>647.79999999999995</v>
      </c>
      <c r="L94" s="228">
        <v>18.350000000000001</v>
      </c>
      <c r="M94" s="229">
        <v>2.8299999999999999E-2</v>
      </c>
      <c r="N94" s="228">
        <v>669.85</v>
      </c>
      <c r="O94" s="228">
        <v>650.29999999999995</v>
      </c>
      <c r="P94" s="228">
        <v>19.55</v>
      </c>
      <c r="Q94" s="229">
        <v>3.0099999999999998E-2</v>
      </c>
      <c r="R94" s="228">
        <v>673.7</v>
      </c>
      <c r="S94" s="228">
        <v>652.20000000000005</v>
      </c>
      <c r="T94" s="228">
        <v>21.5</v>
      </c>
      <c r="U94" s="229">
        <v>3.3000000000000002E-2</v>
      </c>
      <c r="V94" s="228">
        <v>676.2</v>
      </c>
      <c r="W94" s="228">
        <v>656.4</v>
      </c>
      <c r="X94" s="228">
        <v>19.8</v>
      </c>
      <c r="Y94" s="229">
        <v>3.0200000000000001E-2</v>
      </c>
      <c r="Z94" s="228">
        <v>3.7</v>
      </c>
      <c r="AA94" s="228">
        <v>2.5</v>
      </c>
      <c r="AB94" s="228">
        <v>1.2</v>
      </c>
      <c r="AC94" s="229">
        <v>5.5999999999999999E-3</v>
      </c>
      <c r="AD94" s="228">
        <v>3.7</v>
      </c>
      <c r="AE94" s="228">
        <v>2.5</v>
      </c>
      <c r="AF94" s="228">
        <v>1.2</v>
      </c>
      <c r="AG94" s="229">
        <v>5.5999999999999999E-3</v>
      </c>
      <c r="AH94" s="228">
        <v>7.55</v>
      </c>
      <c r="AI94" s="228">
        <v>4.4000000000000004</v>
      </c>
      <c r="AJ94" s="228">
        <v>3.15</v>
      </c>
      <c r="AK94" s="229">
        <v>1.1299999999999999E-2</v>
      </c>
      <c r="AL94" s="228">
        <v>10.050000000000001</v>
      </c>
      <c r="AM94" s="228">
        <v>8.6</v>
      </c>
      <c r="AN94" s="228">
        <v>1.45</v>
      </c>
      <c r="AO94" s="229">
        <v>1.5100000000000001E-2</v>
      </c>
      <c r="AP94" s="228">
        <v>666.04</v>
      </c>
      <c r="AQ94" s="228">
        <v>667.61</v>
      </c>
      <c r="AR94" s="228">
        <v>0</v>
      </c>
      <c r="AS94" s="228">
        <v>320</v>
      </c>
      <c r="AT94" s="228">
        <v>164</v>
      </c>
      <c r="AU94" s="228">
        <v>156</v>
      </c>
      <c r="AV94" s="229">
        <v>0.94940000000000002</v>
      </c>
      <c r="AW94" s="228">
        <v>299</v>
      </c>
      <c r="AX94" s="228">
        <v>160</v>
      </c>
      <c r="AY94" s="228">
        <v>139</v>
      </c>
      <c r="AZ94" s="229">
        <v>0.8639</v>
      </c>
      <c r="BA94" s="228">
        <v>20</v>
      </c>
      <c r="BB94" s="228">
        <v>3</v>
      </c>
      <c r="BC94" s="228">
        <v>16</v>
      </c>
      <c r="BD94" s="229">
        <v>4.6730999999999998</v>
      </c>
      <c r="BE94" s="228">
        <v>1</v>
      </c>
      <c r="BF94" s="228">
        <v>0</v>
      </c>
      <c r="BG94" s="228">
        <v>1</v>
      </c>
      <c r="BH94" s="229">
        <v>3.2</v>
      </c>
      <c r="BI94" s="228">
        <v>820</v>
      </c>
      <c r="BJ94" s="228">
        <v>288</v>
      </c>
      <c r="BK94" s="228">
        <v>532</v>
      </c>
      <c r="BL94" s="229">
        <v>1.8458000000000001</v>
      </c>
      <c r="BM94" s="228">
        <v>412</v>
      </c>
      <c r="BN94" s="228">
        <v>169</v>
      </c>
      <c r="BO94" s="228">
        <v>243</v>
      </c>
      <c r="BP94" s="229">
        <v>1.4336</v>
      </c>
      <c r="BQ94" s="230">
        <v>1553</v>
      </c>
      <c r="BR94" s="228">
        <v>622</v>
      </c>
      <c r="BS94" s="228">
        <v>931</v>
      </c>
      <c r="BT94" s="229">
        <v>1.4966999999999999</v>
      </c>
      <c r="BU94" s="230">
        <v>2561200</v>
      </c>
      <c r="BV94" s="230">
        <v>1219083</v>
      </c>
      <c r="BW94" s="230">
        <v>1342117</v>
      </c>
      <c r="BX94" s="229">
        <v>1.1009</v>
      </c>
      <c r="BY94" s="230">
        <v>1477</v>
      </c>
      <c r="BZ94" s="230">
        <v>1501</v>
      </c>
      <c r="CA94" s="228">
        <v>-25</v>
      </c>
      <c r="CB94" s="229">
        <v>-1.6299999999999999E-2</v>
      </c>
      <c r="CC94" s="230">
        <v>1352</v>
      </c>
      <c r="CD94" s="230">
        <v>1383</v>
      </c>
      <c r="CE94" s="228">
        <v>-31</v>
      </c>
      <c r="CF94" s="229">
        <v>-2.23E-2</v>
      </c>
      <c r="CG94" s="228">
        <v>123</v>
      </c>
      <c r="CH94" s="228">
        <v>117</v>
      </c>
      <c r="CI94" s="228">
        <v>6</v>
      </c>
      <c r="CJ94" s="229">
        <v>4.8500000000000001E-2</v>
      </c>
      <c r="CK94" s="228">
        <v>1</v>
      </c>
      <c r="CL94" s="228">
        <v>1</v>
      </c>
      <c r="CM94" s="228">
        <v>1</v>
      </c>
      <c r="CN94" s="229">
        <v>1.1111</v>
      </c>
      <c r="CO94" s="228">
        <v>357</v>
      </c>
      <c r="CP94" s="228">
        <v>317</v>
      </c>
      <c r="CQ94" s="228">
        <v>40</v>
      </c>
      <c r="CR94" s="229">
        <v>0.1245</v>
      </c>
      <c r="CS94" s="228">
        <v>353</v>
      </c>
      <c r="CT94" s="228">
        <v>340</v>
      </c>
      <c r="CU94" s="228">
        <v>13</v>
      </c>
      <c r="CV94" s="229">
        <v>3.85E-2</v>
      </c>
      <c r="CW94" s="230">
        <v>2186</v>
      </c>
      <c r="CX94" s="230">
        <v>2158</v>
      </c>
      <c r="CY94" s="228">
        <v>28</v>
      </c>
      <c r="CZ94" s="229">
        <v>1.2999999999999999E-2</v>
      </c>
      <c r="DA94" s="228">
        <v>30.73</v>
      </c>
      <c r="DB94" s="228">
        <v>31.02</v>
      </c>
      <c r="DC94" s="228">
        <v>-0.28999999999999998</v>
      </c>
      <c r="DD94" s="228">
        <v>-0.28999999999999998</v>
      </c>
      <c r="DE94" s="228">
        <v>34.89</v>
      </c>
      <c r="DF94" s="228">
        <v>34.78</v>
      </c>
      <c r="DG94" s="228">
        <v>-4.16</v>
      </c>
      <c r="DH94" s="228">
        <v>0.11</v>
      </c>
      <c r="DI94" s="228">
        <v>29.69</v>
      </c>
      <c r="DJ94" s="228">
        <v>30.33</v>
      </c>
      <c r="DK94" s="228">
        <v>-0.64</v>
      </c>
      <c r="DL94" s="228">
        <v>-0.64</v>
      </c>
      <c r="DM94" s="228">
        <v>32.81</v>
      </c>
      <c r="DN94" s="228">
        <v>32.19</v>
      </c>
      <c r="DO94" s="228">
        <v>0.62</v>
      </c>
      <c r="DP94" s="228">
        <v>0.62</v>
      </c>
      <c r="DQ94" s="228">
        <v>0.99</v>
      </c>
      <c r="DR94" s="228">
        <v>1.07</v>
      </c>
      <c r="DS94" s="228">
        <v>-0.08</v>
      </c>
      <c r="DT94" s="229">
        <v>-7.4800000000000005E-2</v>
      </c>
      <c r="DU94" s="228">
        <v>700</v>
      </c>
      <c r="DV94" s="228">
        <v>660</v>
      </c>
      <c r="DW94" s="228">
        <v>0.5</v>
      </c>
      <c r="DX94" s="228">
        <v>0.59</v>
      </c>
      <c r="DY94" s="228">
        <v>-0.09</v>
      </c>
      <c r="DZ94" s="229">
        <v>-0.1525</v>
      </c>
      <c r="EA94" s="229">
        <v>8.4199999999999997E-2</v>
      </c>
      <c r="EB94" s="230">
        <v>1762000</v>
      </c>
      <c r="EC94" s="229">
        <v>5.7000000000000002E-3</v>
      </c>
      <c r="ED94" s="229">
        <v>8.4199999999999997E-2</v>
      </c>
      <c r="EE94" s="228">
        <v>1.57</v>
      </c>
      <c r="EF94" s="229">
        <v>2.3999999999999998E-3</v>
      </c>
      <c r="EG94" s="230">
        <v>1099923</v>
      </c>
      <c r="EH94" s="230">
        <v>629603</v>
      </c>
      <c r="EI94" s="229">
        <v>0.747</v>
      </c>
      <c r="EJ94" s="229">
        <v>0.42949999999999999</v>
      </c>
      <c r="EK94" s="228">
        <v>849.26</v>
      </c>
      <c r="EL94" s="228">
        <v>398.13</v>
      </c>
      <c r="EM94" s="228">
        <v>318.43</v>
      </c>
      <c r="EN94" s="228">
        <v>21.45</v>
      </c>
      <c r="EO94" s="231">
        <v>1565.81</v>
      </c>
      <c r="EP94" s="228">
        <v>613.04</v>
      </c>
      <c r="EQ94" s="228">
        <v>952.77</v>
      </c>
      <c r="ER94" s="229">
        <v>1.5542</v>
      </c>
      <c r="ES94" s="228">
        <v>362.05</v>
      </c>
      <c r="ET94" s="228">
        <v>339.7</v>
      </c>
      <c r="EU94" s="231">
        <v>1477.47</v>
      </c>
      <c r="EV94" s="231">
        <v>123332004</v>
      </c>
      <c r="EW94" s="231">
        <v>2179.2199999999998</v>
      </c>
      <c r="EX94" s="231">
        <v>2101.34</v>
      </c>
      <c r="EY94" s="228">
        <v>77.88</v>
      </c>
      <c r="EZ94" s="229">
        <v>3.7100000000000001E-2</v>
      </c>
      <c r="FA94" s="229">
        <v>0.2646</v>
      </c>
      <c r="FB94" s="227" t="s">
        <v>691</v>
      </c>
      <c r="FC94">
        <f t="shared" si="1"/>
        <v>125</v>
      </c>
    </row>
    <row r="95" spans="1:159" ht="17.25" thickBot="1" x14ac:dyDescent="0.3">
      <c r="A95" s="226">
        <v>46148</v>
      </c>
      <c r="B95" s="227" t="s">
        <v>172</v>
      </c>
      <c r="C95" s="227" t="s">
        <v>577</v>
      </c>
      <c r="D95" s="228">
        <v>1000</v>
      </c>
      <c r="E95" s="228">
        <v>20</v>
      </c>
      <c r="F95" s="228">
        <v>872.95</v>
      </c>
      <c r="G95" s="228">
        <v>853.3</v>
      </c>
      <c r="H95" s="228">
        <v>19.649999999999999</v>
      </c>
      <c r="I95" s="229">
        <v>2.3E-2</v>
      </c>
      <c r="J95" s="228">
        <v>866.85</v>
      </c>
      <c r="K95" s="228">
        <v>848.75</v>
      </c>
      <c r="L95" s="228">
        <v>18.100000000000001</v>
      </c>
      <c r="M95" s="229">
        <v>2.1299999999999999E-2</v>
      </c>
      <c r="N95" s="228">
        <v>872.95</v>
      </c>
      <c r="O95" s="228">
        <v>853.3</v>
      </c>
      <c r="P95" s="228">
        <v>19.649999999999999</v>
      </c>
      <c r="Q95" s="229">
        <v>2.3E-2</v>
      </c>
      <c r="R95" s="228">
        <v>874.55</v>
      </c>
      <c r="S95" s="228">
        <v>854.8</v>
      </c>
      <c r="T95" s="228">
        <v>19.75</v>
      </c>
      <c r="U95" s="229">
        <v>2.3099999999999999E-2</v>
      </c>
      <c r="V95" s="228">
        <v>876.5</v>
      </c>
      <c r="W95" s="228">
        <v>859.8</v>
      </c>
      <c r="X95" s="228">
        <v>16.7</v>
      </c>
      <c r="Y95" s="229">
        <v>1.9400000000000001E-2</v>
      </c>
      <c r="Z95" s="228">
        <v>6.1</v>
      </c>
      <c r="AA95" s="228">
        <v>4.55</v>
      </c>
      <c r="AB95" s="228">
        <v>1.55</v>
      </c>
      <c r="AC95" s="229">
        <v>7.0000000000000001E-3</v>
      </c>
      <c r="AD95" s="228">
        <v>6.1</v>
      </c>
      <c r="AE95" s="228">
        <v>4.55</v>
      </c>
      <c r="AF95" s="228">
        <v>1.55</v>
      </c>
      <c r="AG95" s="229">
        <v>7.0000000000000001E-3</v>
      </c>
      <c r="AH95" s="228">
        <v>7.7</v>
      </c>
      <c r="AI95" s="228">
        <v>6.05</v>
      </c>
      <c r="AJ95" s="228">
        <v>1.65</v>
      </c>
      <c r="AK95" s="229">
        <v>8.8999999999999999E-3</v>
      </c>
      <c r="AL95" s="228">
        <v>9.65</v>
      </c>
      <c r="AM95" s="228">
        <v>11.05</v>
      </c>
      <c r="AN95" s="228">
        <v>-1.4</v>
      </c>
      <c r="AO95" s="229">
        <v>1.11E-2</v>
      </c>
      <c r="AP95" s="228">
        <v>867.6</v>
      </c>
      <c r="AQ95" s="228">
        <v>869.32</v>
      </c>
      <c r="AR95" s="228">
        <v>0</v>
      </c>
      <c r="AS95" s="228">
        <v>352</v>
      </c>
      <c r="AT95" s="228">
        <v>385</v>
      </c>
      <c r="AU95" s="228">
        <v>-33</v>
      </c>
      <c r="AV95" s="229">
        <v>-8.5800000000000001E-2</v>
      </c>
      <c r="AW95" s="228">
        <v>339</v>
      </c>
      <c r="AX95" s="228">
        <v>377</v>
      </c>
      <c r="AY95" s="228">
        <v>-38</v>
      </c>
      <c r="AZ95" s="229">
        <v>-0.1003</v>
      </c>
      <c r="BA95" s="228">
        <v>11</v>
      </c>
      <c r="BB95" s="228">
        <v>7</v>
      </c>
      <c r="BC95" s="228">
        <v>4</v>
      </c>
      <c r="BD95" s="229">
        <v>0.56630000000000003</v>
      </c>
      <c r="BE95" s="228">
        <v>1</v>
      </c>
      <c r="BF95" s="228">
        <v>1</v>
      </c>
      <c r="BG95" s="228">
        <v>1</v>
      </c>
      <c r="BH95" s="229">
        <v>0.88890000000000002</v>
      </c>
      <c r="BI95" s="230">
        <v>1442</v>
      </c>
      <c r="BJ95" s="230">
        <v>1125</v>
      </c>
      <c r="BK95" s="228">
        <v>316</v>
      </c>
      <c r="BL95" s="229">
        <v>0.28120000000000001</v>
      </c>
      <c r="BM95" s="228">
        <v>683</v>
      </c>
      <c r="BN95" s="228">
        <v>509</v>
      </c>
      <c r="BO95" s="228">
        <v>175</v>
      </c>
      <c r="BP95" s="229">
        <v>0.34379999999999999</v>
      </c>
      <c r="BQ95" s="230">
        <v>2477</v>
      </c>
      <c r="BR95" s="230">
        <v>2019</v>
      </c>
      <c r="BS95" s="228">
        <v>458</v>
      </c>
      <c r="BT95" s="229">
        <v>0.22700000000000001</v>
      </c>
      <c r="BU95" s="230">
        <v>2762764</v>
      </c>
      <c r="BV95" s="230">
        <v>3515740</v>
      </c>
      <c r="BW95" s="230">
        <v>-752976</v>
      </c>
      <c r="BX95" s="229">
        <v>-0.2142</v>
      </c>
      <c r="BY95" s="230">
        <v>1219</v>
      </c>
      <c r="BZ95" s="230">
        <v>1190</v>
      </c>
      <c r="CA95" s="228">
        <v>30</v>
      </c>
      <c r="CB95" s="229">
        <v>2.5100000000000001E-2</v>
      </c>
      <c r="CC95" s="230">
        <v>1171</v>
      </c>
      <c r="CD95" s="230">
        <v>1142</v>
      </c>
      <c r="CE95" s="228">
        <v>28</v>
      </c>
      <c r="CF95" s="229">
        <v>2.4899999999999999E-2</v>
      </c>
      <c r="CG95" s="228">
        <v>47</v>
      </c>
      <c r="CH95" s="228">
        <v>45</v>
      </c>
      <c r="CI95" s="228">
        <v>1</v>
      </c>
      <c r="CJ95" s="229">
        <v>2.9000000000000001E-2</v>
      </c>
      <c r="CK95" s="228">
        <v>2</v>
      </c>
      <c r="CL95" s="228">
        <v>2</v>
      </c>
      <c r="CM95" s="228">
        <v>0</v>
      </c>
      <c r="CN95" s="229">
        <v>4.3499999999999997E-2</v>
      </c>
      <c r="CO95" s="228">
        <v>612</v>
      </c>
      <c r="CP95" s="228">
        <v>621</v>
      </c>
      <c r="CQ95" s="228">
        <v>-10</v>
      </c>
      <c r="CR95" s="229">
        <v>-1.55E-2</v>
      </c>
      <c r="CS95" s="228">
        <v>335</v>
      </c>
      <c r="CT95" s="228">
        <v>325</v>
      </c>
      <c r="CU95" s="228">
        <v>9</v>
      </c>
      <c r="CV95" s="229">
        <v>2.7900000000000001E-2</v>
      </c>
      <c r="CW95" s="230">
        <v>2166</v>
      </c>
      <c r="CX95" s="230">
        <v>2136</v>
      </c>
      <c r="CY95" s="228">
        <v>29</v>
      </c>
      <c r="CZ95" s="229">
        <v>1.37E-2</v>
      </c>
      <c r="DA95" s="228">
        <v>34.67</v>
      </c>
      <c r="DB95" s="228">
        <v>36.130000000000003</v>
      </c>
      <c r="DC95" s="228">
        <v>-1.46</v>
      </c>
      <c r="DD95" s="228">
        <v>-1.46</v>
      </c>
      <c r="DE95" s="228">
        <v>41.35</v>
      </c>
      <c r="DF95" s="228">
        <v>41.36</v>
      </c>
      <c r="DG95" s="228">
        <v>-6.68</v>
      </c>
      <c r="DH95" s="228">
        <v>-0.01</v>
      </c>
      <c r="DI95" s="228">
        <v>34.44</v>
      </c>
      <c r="DJ95" s="228">
        <v>36.18</v>
      </c>
      <c r="DK95" s="228">
        <v>-1.74</v>
      </c>
      <c r="DL95" s="228">
        <v>-1.74</v>
      </c>
      <c r="DM95" s="228">
        <v>35.15</v>
      </c>
      <c r="DN95" s="228">
        <v>36</v>
      </c>
      <c r="DO95" s="228">
        <v>-0.85</v>
      </c>
      <c r="DP95" s="228">
        <v>-0.85</v>
      </c>
      <c r="DQ95" s="228">
        <v>0.55000000000000004</v>
      </c>
      <c r="DR95" s="228">
        <v>0.52</v>
      </c>
      <c r="DS95" s="228">
        <v>0.03</v>
      </c>
      <c r="DT95" s="229">
        <v>5.7700000000000001E-2</v>
      </c>
      <c r="DU95" s="231">
        <v>1000</v>
      </c>
      <c r="DV95" s="228">
        <v>900</v>
      </c>
      <c r="DW95" s="228">
        <v>0.47</v>
      </c>
      <c r="DX95" s="228">
        <v>0.45</v>
      </c>
      <c r="DY95" s="228">
        <v>0.02</v>
      </c>
      <c r="DZ95" s="229">
        <v>4.4400000000000002E-2</v>
      </c>
      <c r="EA95" s="229">
        <v>3.9899999999999998E-2</v>
      </c>
      <c r="EB95" s="230">
        <v>541000</v>
      </c>
      <c r="EC95" s="229">
        <v>1.8E-3</v>
      </c>
      <c r="ED95" s="229">
        <v>3.9899999999999998E-2</v>
      </c>
      <c r="EE95" s="228">
        <v>1.72</v>
      </c>
      <c r="EF95" s="229">
        <v>2E-3</v>
      </c>
      <c r="EG95" s="230">
        <v>1118455</v>
      </c>
      <c r="EH95" s="230">
        <v>1561024</v>
      </c>
      <c r="EI95" s="229">
        <v>-0.28349999999999997</v>
      </c>
      <c r="EJ95" s="229">
        <v>0.40479999999999999</v>
      </c>
      <c r="EK95" s="231">
        <v>1519.53</v>
      </c>
      <c r="EL95" s="228">
        <v>668.58</v>
      </c>
      <c r="EM95" s="228">
        <v>349.67</v>
      </c>
      <c r="EN95" s="228">
        <v>73.44</v>
      </c>
      <c r="EO95" s="231">
        <v>2537.79</v>
      </c>
      <c r="EP95" s="231">
        <v>2021.75</v>
      </c>
      <c r="EQ95" s="228">
        <v>516.04</v>
      </c>
      <c r="ER95" s="229">
        <v>0.25519999999999998</v>
      </c>
      <c r="ES95" s="228">
        <v>650.6</v>
      </c>
      <c r="ET95" s="228">
        <v>324.5</v>
      </c>
      <c r="EU95" s="231">
        <v>1219.52</v>
      </c>
      <c r="EV95" s="231">
        <v>52862157</v>
      </c>
      <c r="EW95" s="231">
        <v>2194.62</v>
      </c>
      <c r="EX95" s="231">
        <v>2138.77</v>
      </c>
      <c r="EY95" s="228">
        <v>55.85</v>
      </c>
      <c r="EZ95" s="229">
        <v>2.6100000000000002E-2</v>
      </c>
      <c r="FA95" s="229">
        <v>0.46929999999999999</v>
      </c>
      <c r="FB95" s="227" t="s">
        <v>555</v>
      </c>
      <c r="FC95">
        <f t="shared" si="1"/>
        <v>48</v>
      </c>
    </row>
    <row r="96" spans="1:159" ht="17.25" thickBot="1" x14ac:dyDescent="0.3">
      <c r="A96" s="226">
        <v>46148</v>
      </c>
      <c r="B96" s="227" t="s">
        <v>181</v>
      </c>
      <c r="C96" s="227" t="s">
        <v>684</v>
      </c>
      <c r="D96" s="228">
        <v>1</v>
      </c>
      <c r="E96" s="228">
        <v>20</v>
      </c>
      <c r="F96" s="228">
        <v>16.68</v>
      </c>
      <c r="G96" s="228">
        <v>17.91</v>
      </c>
      <c r="H96" s="228">
        <v>-1.23</v>
      </c>
      <c r="I96" s="229">
        <v>-6.88E-2</v>
      </c>
      <c r="J96" s="228">
        <v>16.68</v>
      </c>
      <c r="K96" s="228">
        <v>17.91</v>
      </c>
      <c r="L96" s="228">
        <v>-1.23</v>
      </c>
      <c r="M96" s="229">
        <v>-6.88E-2</v>
      </c>
      <c r="N96" s="228">
        <v>0</v>
      </c>
      <c r="O96" s="228">
        <v>0</v>
      </c>
      <c r="P96" s="228">
        <v>0</v>
      </c>
      <c r="Q96" s="229">
        <v>0</v>
      </c>
      <c r="R96" s="228">
        <v>0</v>
      </c>
      <c r="S96" s="228">
        <v>0</v>
      </c>
      <c r="T96" s="228">
        <v>0</v>
      </c>
      <c r="U96" s="229">
        <v>0</v>
      </c>
      <c r="V96" s="228">
        <v>0</v>
      </c>
      <c r="W96" s="228">
        <v>0</v>
      </c>
      <c r="X96" s="228">
        <v>0</v>
      </c>
      <c r="Y96" s="229">
        <v>0</v>
      </c>
      <c r="Z96" s="228">
        <v>0</v>
      </c>
      <c r="AA96" s="228">
        <v>0</v>
      </c>
      <c r="AB96" s="228">
        <v>0</v>
      </c>
      <c r="AC96" s="229">
        <v>0</v>
      </c>
      <c r="AD96" s="228">
        <v>0</v>
      </c>
      <c r="AE96" s="228">
        <v>0</v>
      </c>
      <c r="AF96" s="228">
        <v>0</v>
      </c>
      <c r="AG96" s="229">
        <v>0</v>
      </c>
      <c r="AH96" s="228">
        <v>0</v>
      </c>
      <c r="AI96" s="228">
        <v>0</v>
      </c>
      <c r="AJ96" s="228">
        <v>0</v>
      </c>
      <c r="AK96" s="229">
        <v>0</v>
      </c>
      <c r="AL96" s="228">
        <v>0</v>
      </c>
      <c r="AM96" s="228">
        <v>0</v>
      </c>
      <c r="AN96" s="228">
        <v>0</v>
      </c>
      <c r="AO96" s="229">
        <v>0</v>
      </c>
      <c r="AP96" s="228">
        <v>0</v>
      </c>
      <c r="AQ96" s="228">
        <v>0</v>
      </c>
      <c r="AR96" s="228">
        <v>0</v>
      </c>
      <c r="AS96" s="228">
        <v>0</v>
      </c>
      <c r="AT96" s="228">
        <v>0</v>
      </c>
      <c r="AU96" s="228">
        <v>0</v>
      </c>
      <c r="AV96" s="229">
        <v>0</v>
      </c>
      <c r="AW96" s="228">
        <v>0</v>
      </c>
      <c r="AX96" s="228">
        <v>0</v>
      </c>
      <c r="AY96" s="228">
        <v>0</v>
      </c>
      <c r="AZ96" s="229">
        <v>0</v>
      </c>
      <c r="BA96" s="228">
        <v>0</v>
      </c>
      <c r="BB96" s="228">
        <v>0</v>
      </c>
      <c r="BC96" s="228">
        <v>0</v>
      </c>
      <c r="BD96" s="229">
        <v>0</v>
      </c>
      <c r="BE96" s="228">
        <v>0</v>
      </c>
      <c r="BF96" s="228">
        <v>0</v>
      </c>
      <c r="BG96" s="228">
        <v>0</v>
      </c>
      <c r="BH96" s="229">
        <v>0</v>
      </c>
      <c r="BI96" s="228">
        <v>0</v>
      </c>
      <c r="BJ96" s="228">
        <v>0</v>
      </c>
      <c r="BK96" s="228">
        <v>0</v>
      </c>
      <c r="BL96" s="229">
        <v>0</v>
      </c>
      <c r="BM96" s="228">
        <v>0</v>
      </c>
      <c r="BN96" s="228">
        <v>0</v>
      </c>
      <c r="BO96" s="228">
        <v>0</v>
      </c>
      <c r="BP96" s="229">
        <v>0</v>
      </c>
      <c r="BQ96" s="228">
        <v>0</v>
      </c>
      <c r="BR96" s="228">
        <v>0</v>
      </c>
      <c r="BS96" s="228">
        <v>0</v>
      </c>
      <c r="BT96" s="229">
        <v>0</v>
      </c>
      <c r="BU96" s="228">
        <v>0</v>
      </c>
      <c r="BV96" s="228">
        <v>0</v>
      </c>
      <c r="BW96" s="228">
        <v>0</v>
      </c>
      <c r="BX96" s="229">
        <v>0</v>
      </c>
      <c r="BY96" s="228">
        <v>0</v>
      </c>
      <c r="BZ96" s="228">
        <v>0</v>
      </c>
      <c r="CA96" s="228">
        <v>0</v>
      </c>
      <c r="CB96" s="229">
        <v>0</v>
      </c>
      <c r="CC96" s="228">
        <v>0</v>
      </c>
      <c r="CD96" s="228">
        <v>0</v>
      </c>
      <c r="CE96" s="228">
        <v>0</v>
      </c>
      <c r="CF96" s="229">
        <v>0</v>
      </c>
      <c r="CG96" s="228">
        <v>0</v>
      </c>
      <c r="CH96" s="228">
        <v>0</v>
      </c>
      <c r="CI96" s="228">
        <v>0</v>
      </c>
      <c r="CJ96" s="229">
        <v>0</v>
      </c>
      <c r="CK96" s="228">
        <v>0</v>
      </c>
      <c r="CL96" s="228">
        <v>0</v>
      </c>
      <c r="CM96" s="228">
        <v>0</v>
      </c>
      <c r="CN96" s="229">
        <v>0</v>
      </c>
      <c r="CO96" s="228">
        <v>0</v>
      </c>
      <c r="CP96" s="228">
        <v>0</v>
      </c>
      <c r="CQ96" s="228">
        <v>0</v>
      </c>
      <c r="CR96" s="229">
        <v>0</v>
      </c>
      <c r="CS96" s="228">
        <v>0</v>
      </c>
      <c r="CT96" s="228">
        <v>0</v>
      </c>
      <c r="CU96" s="228">
        <v>0</v>
      </c>
      <c r="CV96" s="229">
        <v>0</v>
      </c>
      <c r="CW96" s="228">
        <v>0</v>
      </c>
      <c r="CX96" s="228">
        <v>0</v>
      </c>
      <c r="CY96" s="228">
        <v>0</v>
      </c>
      <c r="CZ96" s="229">
        <v>0</v>
      </c>
      <c r="DA96" s="228">
        <v>0</v>
      </c>
      <c r="DB96" s="228">
        <v>0</v>
      </c>
      <c r="DC96" s="228">
        <v>0</v>
      </c>
      <c r="DD96" s="228">
        <v>0</v>
      </c>
      <c r="DE96" s="228">
        <v>0</v>
      </c>
      <c r="DF96" s="228">
        <v>0</v>
      </c>
      <c r="DG96" s="228">
        <v>0</v>
      </c>
      <c r="DH96" s="228">
        <v>0</v>
      </c>
      <c r="DI96" s="228">
        <v>0</v>
      </c>
      <c r="DJ96" s="228">
        <v>0</v>
      </c>
      <c r="DK96" s="228">
        <v>0</v>
      </c>
      <c r="DL96" s="228">
        <v>0</v>
      </c>
      <c r="DM96" s="228">
        <v>0</v>
      </c>
      <c r="DN96" s="228">
        <v>0</v>
      </c>
      <c r="DO96" s="228">
        <v>0</v>
      </c>
      <c r="DP96" s="228">
        <v>0</v>
      </c>
      <c r="DQ96" s="228">
        <v>0</v>
      </c>
      <c r="DR96" s="228">
        <v>0</v>
      </c>
      <c r="DS96" s="228">
        <v>0</v>
      </c>
      <c r="DT96" s="229">
        <v>0</v>
      </c>
      <c r="DU96" s="228">
        <v>0</v>
      </c>
      <c r="DV96" s="228">
        <v>0</v>
      </c>
      <c r="DW96" s="228">
        <v>0</v>
      </c>
      <c r="DX96" s="228">
        <v>0</v>
      </c>
      <c r="DY96" s="228">
        <v>0</v>
      </c>
      <c r="DZ96" s="229">
        <v>0</v>
      </c>
      <c r="EA96" s="229">
        <v>0</v>
      </c>
      <c r="EB96" s="228">
        <v>0</v>
      </c>
      <c r="EC96" s="229">
        <v>0</v>
      </c>
      <c r="ED96" s="229">
        <v>0</v>
      </c>
      <c r="EE96" s="228">
        <v>0</v>
      </c>
      <c r="EF96" s="229">
        <v>0</v>
      </c>
      <c r="EG96" s="228">
        <v>0</v>
      </c>
      <c r="EH96" s="228">
        <v>0</v>
      </c>
      <c r="EI96" s="229">
        <v>0</v>
      </c>
      <c r="EJ96" s="229">
        <v>0</v>
      </c>
      <c r="EK96" s="228">
        <v>0</v>
      </c>
      <c r="EL96" s="228">
        <v>0</v>
      </c>
      <c r="EM96" s="228">
        <v>0</v>
      </c>
      <c r="EN96" s="228">
        <v>0</v>
      </c>
      <c r="EO96" s="228">
        <v>0</v>
      </c>
      <c r="EP96" s="228">
        <v>0</v>
      </c>
      <c r="EQ96" s="228">
        <v>0</v>
      </c>
      <c r="ER96" s="229">
        <v>0</v>
      </c>
      <c r="ES96" s="228">
        <v>0</v>
      </c>
      <c r="ET96" s="228">
        <v>0</v>
      </c>
      <c r="EU96" s="228">
        <v>0</v>
      </c>
      <c r="EV96" s="228">
        <v>0</v>
      </c>
      <c r="EW96" s="228">
        <v>0</v>
      </c>
      <c r="EX96" s="228">
        <v>0</v>
      </c>
      <c r="EY96" s="228">
        <v>0</v>
      </c>
      <c r="EZ96" s="229">
        <v>0</v>
      </c>
      <c r="FA96" s="229">
        <v>0</v>
      </c>
      <c r="FB96" s="227" t="s">
        <v>237</v>
      </c>
      <c r="FC96">
        <f t="shared" si="1"/>
        <v>0</v>
      </c>
    </row>
    <row r="97" spans="1:159" ht="17.25" thickBot="1" x14ac:dyDescent="0.3">
      <c r="A97" s="226">
        <v>46148</v>
      </c>
      <c r="B97" s="227" t="s">
        <v>215</v>
      </c>
      <c r="C97" s="227" t="s">
        <v>238</v>
      </c>
      <c r="D97" s="228">
        <v>150</v>
      </c>
      <c r="E97" s="228">
        <v>20</v>
      </c>
      <c r="F97" s="231">
        <v>4541.8999999999996</v>
      </c>
      <c r="G97" s="231">
        <v>4262.7</v>
      </c>
      <c r="H97" s="228">
        <v>279.2</v>
      </c>
      <c r="I97" s="229">
        <v>6.5500000000000003E-2</v>
      </c>
      <c r="J97" s="231">
        <v>4520.2</v>
      </c>
      <c r="K97" s="231">
        <v>4238.3999999999996</v>
      </c>
      <c r="L97" s="228">
        <v>281.8</v>
      </c>
      <c r="M97" s="229">
        <v>6.6500000000000004E-2</v>
      </c>
      <c r="N97" s="231">
        <v>4541.8999999999996</v>
      </c>
      <c r="O97" s="231">
        <v>4262.7</v>
      </c>
      <c r="P97" s="228">
        <v>279.2</v>
      </c>
      <c r="Q97" s="229">
        <v>6.5500000000000003E-2</v>
      </c>
      <c r="R97" s="231">
        <v>4571.2</v>
      </c>
      <c r="S97" s="231">
        <v>4290.1000000000004</v>
      </c>
      <c r="T97" s="228">
        <v>281.10000000000002</v>
      </c>
      <c r="U97" s="229">
        <v>6.5500000000000003E-2</v>
      </c>
      <c r="V97" s="231">
        <v>4579.3</v>
      </c>
      <c r="W97" s="231">
        <v>4304.7</v>
      </c>
      <c r="X97" s="228">
        <v>274.60000000000002</v>
      </c>
      <c r="Y97" s="229">
        <v>6.3799999999999996E-2</v>
      </c>
      <c r="Z97" s="228">
        <v>21.7</v>
      </c>
      <c r="AA97" s="228">
        <v>24.3</v>
      </c>
      <c r="AB97" s="228">
        <v>-2.6</v>
      </c>
      <c r="AC97" s="229">
        <v>4.7999999999999996E-3</v>
      </c>
      <c r="AD97" s="228">
        <v>21.7</v>
      </c>
      <c r="AE97" s="228">
        <v>24.3</v>
      </c>
      <c r="AF97" s="228">
        <v>-2.6</v>
      </c>
      <c r="AG97" s="229">
        <v>4.7999999999999996E-3</v>
      </c>
      <c r="AH97" s="228">
        <v>51</v>
      </c>
      <c r="AI97" s="228">
        <v>51.7</v>
      </c>
      <c r="AJ97" s="228">
        <v>-0.7</v>
      </c>
      <c r="AK97" s="229">
        <v>1.1299999999999999E-2</v>
      </c>
      <c r="AL97" s="228">
        <v>59.1</v>
      </c>
      <c r="AM97" s="228">
        <v>66.3</v>
      </c>
      <c r="AN97" s="228">
        <v>-7.2</v>
      </c>
      <c r="AO97" s="229">
        <v>1.3100000000000001E-2</v>
      </c>
      <c r="AP97" s="231">
        <v>4472.3</v>
      </c>
      <c r="AQ97" s="231">
        <v>4473.0200000000004</v>
      </c>
      <c r="AR97" s="228">
        <v>0</v>
      </c>
      <c r="AS97" s="230">
        <v>1391</v>
      </c>
      <c r="AT97" s="228">
        <v>502</v>
      </c>
      <c r="AU97" s="228">
        <v>889</v>
      </c>
      <c r="AV97" s="229">
        <v>1.7703</v>
      </c>
      <c r="AW97" s="230">
        <v>1326</v>
      </c>
      <c r="AX97" s="228">
        <v>481</v>
      </c>
      <c r="AY97" s="228">
        <v>845</v>
      </c>
      <c r="AZ97" s="229">
        <v>1.7577</v>
      </c>
      <c r="BA97" s="228">
        <v>56</v>
      </c>
      <c r="BB97" s="228">
        <v>20</v>
      </c>
      <c r="BC97" s="228">
        <v>36</v>
      </c>
      <c r="BD97" s="229">
        <v>1.8536999999999999</v>
      </c>
      <c r="BE97" s="228">
        <v>10</v>
      </c>
      <c r="BF97" s="228">
        <v>2</v>
      </c>
      <c r="BG97" s="228">
        <v>8</v>
      </c>
      <c r="BH97" s="229">
        <v>4.1852</v>
      </c>
      <c r="BI97" s="230">
        <v>6381</v>
      </c>
      <c r="BJ97" s="230">
        <v>1896</v>
      </c>
      <c r="BK97" s="230">
        <v>4486</v>
      </c>
      <c r="BL97" s="229">
        <v>2.3662999999999998</v>
      </c>
      <c r="BM97" s="230">
        <v>2786</v>
      </c>
      <c r="BN97" s="230">
        <v>1311</v>
      </c>
      <c r="BO97" s="230">
        <v>1475</v>
      </c>
      <c r="BP97" s="229">
        <v>1.125</v>
      </c>
      <c r="BQ97" s="230">
        <v>10559</v>
      </c>
      <c r="BR97" s="230">
        <v>3709</v>
      </c>
      <c r="BS97" s="230">
        <v>6850</v>
      </c>
      <c r="BT97" s="229">
        <v>1.8468</v>
      </c>
      <c r="BU97" s="230">
        <v>2811417</v>
      </c>
      <c r="BV97" s="230">
        <v>1281319</v>
      </c>
      <c r="BW97" s="230">
        <v>1530098</v>
      </c>
      <c r="BX97" s="229">
        <v>1.1941999999999999</v>
      </c>
      <c r="BY97" s="230">
        <v>3526</v>
      </c>
      <c r="BZ97" s="230">
        <v>3596</v>
      </c>
      <c r="CA97" s="228">
        <v>-69</v>
      </c>
      <c r="CB97" s="229">
        <v>-1.9300000000000001E-2</v>
      </c>
      <c r="CC97" s="230">
        <v>3404</v>
      </c>
      <c r="CD97" s="230">
        <v>3473</v>
      </c>
      <c r="CE97" s="228">
        <v>-70</v>
      </c>
      <c r="CF97" s="229">
        <v>-2.01E-2</v>
      </c>
      <c r="CG97" s="228">
        <v>114</v>
      </c>
      <c r="CH97" s="228">
        <v>114</v>
      </c>
      <c r="CI97" s="228">
        <v>0</v>
      </c>
      <c r="CJ97" s="229">
        <v>4.1999999999999997E-3</v>
      </c>
      <c r="CK97" s="228">
        <v>8</v>
      </c>
      <c r="CL97" s="228">
        <v>8</v>
      </c>
      <c r="CM97" s="228">
        <v>0</v>
      </c>
      <c r="CN97" s="229">
        <v>-1.61E-2</v>
      </c>
      <c r="CO97" s="230">
        <v>1953</v>
      </c>
      <c r="CP97" s="230">
        <v>1706</v>
      </c>
      <c r="CQ97" s="228">
        <v>247</v>
      </c>
      <c r="CR97" s="229">
        <v>0.14460000000000001</v>
      </c>
      <c r="CS97" s="230">
        <v>1171</v>
      </c>
      <c r="CT97" s="228">
        <v>946</v>
      </c>
      <c r="CU97" s="228">
        <v>224</v>
      </c>
      <c r="CV97" s="229">
        <v>0.23710000000000001</v>
      </c>
      <c r="CW97" s="230">
        <v>6650</v>
      </c>
      <c r="CX97" s="230">
        <v>6248</v>
      </c>
      <c r="CY97" s="228">
        <v>402</v>
      </c>
      <c r="CZ97" s="229">
        <v>6.4299999999999996E-2</v>
      </c>
      <c r="DA97" s="228">
        <v>36.47</v>
      </c>
      <c r="DB97" s="228">
        <v>38.97</v>
      </c>
      <c r="DC97" s="228">
        <v>-2.5</v>
      </c>
      <c r="DD97" s="228">
        <v>-2.5</v>
      </c>
      <c r="DE97" s="228">
        <v>40.47</v>
      </c>
      <c r="DF97" s="228">
        <v>39.619999999999997</v>
      </c>
      <c r="DG97" s="228">
        <v>-4</v>
      </c>
      <c r="DH97" s="228">
        <v>0.85</v>
      </c>
      <c r="DI97" s="228">
        <v>35.61</v>
      </c>
      <c r="DJ97" s="228">
        <v>38.270000000000003</v>
      </c>
      <c r="DK97" s="228">
        <v>-2.66</v>
      </c>
      <c r="DL97" s="228">
        <v>-2.66</v>
      </c>
      <c r="DM97" s="228">
        <v>38.450000000000003</v>
      </c>
      <c r="DN97" s="228">
        <v>39.979999999999997</v>
      </c>
      <c r="DO97" s="228">
        <v>-1.53</v>
      </c>
      <c r="DP97" s="228">
        <v>-1.53</v>
      </c>
      <c r="DQ97" s="228">
        <v>0.6</v>
      </c>
      <c r="DR97" s="228">
        <v>0.55000000000000004</v>
      </c>
      <c r="DS97" s="228">
        <v>0.05</v>
      </c>
      <c r="DT97" s="229">
        <v>9.0899999999999995E-2</v>
      </c>
      <c r="DU97" s="231">
        <v>4500</v>
      </c>
      <c r="DV97" s="231">
        <v>4200</v>
      </c>
      <c r="DW97" s="228">
        <v>0.44</v>
      </c>
      <c r="DX97" s="228">
        <v>0.69</v>
      </c>
      <c r="DY97" s="228">
        <v>-0.25</v>
      </c>
      <c r="DZ97" s="229">
        <v>-0.36230000000000001</v>
      </c>
      <c r="EA97" s="229">
        <v>3.4799999999999998E-2</v>
      </c>
      <c r="EB97" s="230">
        <v>269550</v>
      </c>
      <c r="EC97" s="229">
        <v>6.4999999999999997E-3</v>
      </c>
      <c r="ED97" s="229">
        <v>3.4799999999999998E-2</v>
      </c>
      <c r="EE97" s="228">
        <v>0.72</v>
      </c>
      <c r="EF97" s="229">
        <v>2.0000000000000001E-4</v>
      </c>
      <c r="EG97" s="230">
        <v>1206369</v>
      </c>
      <c r="EH97" s="230">
        <v>691696</v>
      </c>
      <c r="EI97" s="229">
        <v>0.74409999999999998</v>
      </c>
      <c r="EJ97" s="229">
        <v>0.42909999999999998</v>
      </c>
      <c r="EK97" s="231">
        <v>6640.5</v>
      </c>
      <c r="EL97" s="231">
        <v>2668.61</v>
      </c>
      <c r="EM97" s="231">
        <v>1369.93</v>
      </c>
      <c r="EN97" s="228">
        <v>97.91</v>
      </c>
      <c r="EO97" s="231">
        <v>10679.04</v>
      </c>
      <c r="EP97" s="231">
        <v>3632.68</v>
      </c>
      <c r="EQ97" s="231">
        <v>7046.36</v>
      </c>
      <c r="ER97" s="229">
        <v>1.9397</v>
      </c>
      <c r="ES97" s="231">
        <v>2000.16</v>
      </c>
      <c r="ET97" s="231">
        <v>1101.95</v>
      </c>
      <c r="EU97" s="231">
        <v>3527.14</v>
      </c>
      <c r="EV97" s="231">
        <v>33878797</v>
      </c>
      <c r="EW97" s="231">
        <v>6629.25</v>
      </c>
      <c r="EX97" s="231">
        <v>5999.12</v>
      </c>
      <c r="EY97" s="228">
        <v>630.13</v>
      </c>
      <c r="EZ97" s="229">
        <v>0.105</v>
      </c>
      <c r="FA97" s="229">
        <v>0.43219999999999997</v>
      </c>
      <c r="FB97" s="227" t="s">
        <v>691</v>
      </c>
      <c r="FC97">
        <f t="shared" si="1"/>
        <v>122</v>
      </c>
    </row>
    <row r="98" spans="1:159" ht="17.25" thickBot="1" x14ac:dyDescent="0.3">
      <c r="A98" s="226">
        <v>46148</v>
      </c>
      <c r="B98" s="227" t="s">
        <v>172</v>
      </c>
      <c r="C98" s="227" t="s">
        <v>239</v>
      </c>
      <c r="D98" s="228">
        <v>700</v>
      </c>
      <c r="E98" s="228">
        <v>20</v>
      </c>
      <c r="F98" s="228">
        <v>953</v>
      </c>
      <c r="G98" s="228">
        <v>915.85</v>
      </c>
      <c r="H98" s="228">
        <v>37.15</v>
      </c>
      <c r="I98" s="229">
        <v>4.0599999999999997E-2</v>
      </c>
      <c r="J98" s="228">
        <v>946.75</v>
      </c>
      <c r="K98" s="228">
        <v>910.7</v>
      </c>
      <c r="L98" s="228">
        <v>36.049999999999997</v>
      </c>
      <c r="M98" s="229">
        <v>3.9600000000000003E-2</v>
      </c>
      <c r="N98" s="228">
        <v>953</v>
      </c>
      <c r="O98" s="228">
        <v>915.85</v>
      </c>
      <c r="P98" s="228">
        <v>37.15</v>
      </c>
      <c r="Q98" s="229">
        <v>4.0599999999999997E-2</v>
      </c>
      <c r="R98" s="228">
        <v>958.3</v>
      </c>
      <c r="S98" s="228">
        <v>919.75</v>
      </c>
      <c r="T98" s="228">
        <v>38.549999999999997</v>
      </c>
      <c r="U98" s="229">
        <v>4.19E-2</v>
      </c>
      <c r="V98" s="228">
        <v>962.9</v>
      </c>
      <c r="W98" s="228">
        <v>925.5</v>
      </c>
      <c r="X98" s="228">
        <v>37.4</v>
      </c>
      <c r="Y98" s="229">
        <v>4.0399999999999998E-2</v>
      </c>
      <c r="Z98" s="228">
        <v>6.25</v>
      </c>
      <c r="AA98" s="228">
        <v>5.15</v>
      </c>
      <c r="AB98" s="228">
        <v>1.1000000000000001</v>
      </c>
      <c r="AC98" s="229">
        <v>6.6E-3</v>
      </c>
      <c r="AD98" s="228">
        <v>6.25</v>
      </c>
      <c r="AE98" s="228">
        <v>5.15</v>
      </c>
      <c r="AF98" s="228">
        <v>1.1000000000000001</v>
      </c>
      <c r="AG98" s="229">
        <v>6.6E-3</v>
      </c>
      <c r="AH98" s="228">
        <v>11.55</v>
      </c>
      <c r="AI98" s="228">
        <v>9.0500000000000007</v>
      </c>
      <c r="AJ98" s="228">
        <v>2.5</v>
      </c>
      <c r="AK98" s="229">
        <v>1.2200000000000001E-2</v>
      </c>
      <c r="AL98" s="228">
        <v>16.149999999999999</v>
      </c>
      <c r="AM98" s="228">
        <v>14.8</v>
      </c>
      <c r="AN98" s="228">
        <v>1.35</v>
      </c>
      <c r="AO98" s="229">
        <v>1.7100000000000001E-2</v>
      </c>
      <c r="AP98" s="228">
        <v>940.1</v>
      </c>
      <c r="AQ98" s="228">
        <v>941.5</v>
      </c>
      <c r="AR98" s="228">
        <v>0</v>
      </c>
      <c r="AS98" s="228">
        <v>443</v>
      </c>
      <c r="AT98" s="228">
        <v>277</v>
      </c>
      <c r="AU98" s="228">
        <v>167</v>
      </c>
      <c r="AV98" s="229">
        <v>0.60199999999999998</v>
      </c>
      <c r="AW98" s="228">
        <v>388</v>
      </c>
      <c r="AX98" s="228">
        <v>230</v>
      </c>
      <c r="AY98" s="228">
        <v>158</v>
      </c>
      <c r="AZ98" s="229">
        <v>0.68630000000000002</v>
      </c>
      <c r="BA98" s="228">
        <v>49</v>
      </c>
      <c r="BB98" s="228">
        <v>46</v>
      </c>
      <c r="BC98" s="228">
        <v>2</v>
      </c>
      <c r="BD98" s="229">
        <v>5.3400000000000003E-2</v>
      </c>
      <c r="BE98" s="228">
        <v>7</v>
      </c>
      <c r="BF98" s="228">
        <v>1</v>
      </c>
      <c r="BG98" s="228">
        <v>6</v>
      </c>
      <c r="BH98" s="229">
        <v>10.5556</v>
      </c>
      <c r="BI98" s="228">
        <v>928</v>
      </c>
      <c r="BJ98" s="228">
        <v>665</v>
      </c>
      <c r="BK98" s="228">
        <v>263</v>
      </c>
      <c r="BL98" s="229">
        <v>0.39479999999999998</v>
      </c>
      <c r="BM98" s="228">
        <v>752</v>
      </c>
      <c r="BN98" s="228">
        <v>448</v>
      </c>
      <c r="BO98" s="228">
        <v>304</v>
      </c>
      <c r="BP98" s="229">
        <v>0.67989999999999995</v>
      </c>
      <c r="BQ98" s="230">
        <v>2124</v>
      </c>
      <c r="BR98" s="230">
        <v>1390</v>
      </c>
      <c r="BS98" s="228">
        <v>734</v>
      </c>
      <c r="BT98" s="229">
        <v>0.52790000000000004</v>
      </c>
      <c r="BU98" s="230">
        <v>3023648</v>
      </c>
      <c r="BV98" s="230">
        <v>2118939</v>
      </c>
      <c r="BW98" s="230">
        <v>904709</v>
      </c>
      <c r="BX98" s="229">
        <v>0.42699999999999999</v>
      </c>
      <c r="BY98" s="230">
        <v>3486</v>
      </c>
      <c r="BZ98" s="230">
        <v>3474</v>
      </c>
      <c r="CA98" s="228">
        <v>12</v>
      </c>
      <c r="CB98" s="229">
        <v>3.5000000000000001E-3</v>
      </c>
      <c r="CC98" s="230">
        <v>3287</v>
      </c>
      <c r="CD98" s="230">
        <v>3300</v>
      </c>
      <c r="CE98" s="228">
        <v>-13</v>
      </c>
      <c r="CF98" s="229">
        <v>-4.1000000000000003E-3</v>
      </c>
      <c r="CG98" s="228">
        <v>194</v>
      </c>
      <c r="CH98" s="228">
        <v>171</v>
      </c>
      <c r="CI98" s="228">
        <v>22</v>
      </c>
      <c r="CJ98" s="229">
        <v>0.13059999999999999</v>
      </c>
      <c r="CK98" s="228">
        <v>6</v>
      </c>
      <c r="CL98" s="228">
        <v>3</v>
      </c>
      <c r="CM98" s="228">
        <v>3</v>
      </c>
      <c r="CN98" s="229">
        <v>1.1795</v>
      </c>
      <c r="CO98" s="228">
        <v>627</v>
      </c>
      <c r="CP98" s="228">
        <v>594</v>
      </c>
      <c r="CQ98" s="228">
        <v>33</v>
      </c>
      <c r="CR98" s="229">
        <v>5.5100000000000003E-2</v>
      </c>
      <c r="CS98" s="228">
        <v>571</v>
      </c>
      <c r="CT98" s="228">
        <v>521</v>
      </c>
      <c r="CU98" s="228">
        <v>50</v>
      </c>
      <c r="CV98" s="229">
        <v>9.6799999999999997E-2</v>
      </c>
      <c r="CW98" s="230">
        <v>4685</v>
      </c>
      <c r="CX98" s="230">
        <v>4589</v>
      </c>
      <c r="CY98" s="228">
        <v>95</v>
      </c>
      <c r="CZ98" s="229">
        <v>2.07E-2</v>
      </c>
      <c r="DA98" s="228">
        <v>32.06</v>
      </c>
      <c r="DB98" s="228">
        <v>31.62</v>
      </c>
      <c r="DC98" s="228">
        <v>0.44</v>
      </c>
      <c r="DD98" s="228">
        <v>0.44</v>
      </c>
      <c r="DE98" s="228">
        <v>43.54</v>
      </c>
      <c r="DF98" s="228">
        <v>43.33</v>
      </c>
      <c r="DG98" s="228">
        <v>-11.48</v>
      </c>
      <c r="DH98" s="228">
        <v>0.21</v>
      </c>
      <c r="DI98" s="228">
        <v>31.02</v>
      </c>
      <c r="DJ98" s="228">
        <v>31.41</v>
      </c>
      <c r="DK98" s="228">
        <v>-0.39</v>
      </c>
      <c r="DL98" s="228">
        <v>-0.39</v>
      </c>
      <c r="DM98" s="228">
        <v>33.35</v>
      </c>
      <c r="DN98" s="228">
        <v>31.93</v>
      </c>
      <c r="DO98" s="228">
        <v>1.42</v>
      </c>
      <c r="DP98" s="228">
        <v>1.42</v>
      </c>
      <c r="DQ98" s="228">
        <v>0.91</v>
      </c>
      <c r="DR98" s="228">
        <v>0.88</v>
      </c>
      <c r="DS98" s="228">
        <v>0.03</v>
      </c>
      <c r="DT98" s="229">
        <v>3.4099999999999998E-2</v>
      </c>
      <c r="DU98" s="228">
        <v>900</v>
      </c>
      <c r="DV98" s="228">
        <v>900</v>
      </c>
      <c r="DW98" s="228">
        <v>0.81</v>
      </c>
      <c r="DX98" s="228">
        <v>0.67</v>
      </c>
      <c r="DY98" s="228">
        <v>0.14000000000000001</v>
      </c>
      <c r="DZ98" s="229">
        <v>0.20899999999999999</v>
      </c>
      <c r="EA98" s="229">
        <v>5.7099999999999998E-2</v>
      </c>
      <c r="EB98" s="230">
        <v>1823500</v>
      </c>
      <c r="EC98" s="229">
        <v>5.5999999999999999E-3</v>
      </c>
      <c r="ED98" s="229">
        <v>5.7099999999999998E-2</v>
      </c>
      <c r="EE98" s="228">
        <v>1.4</v>
      </c>
      <c r="EF98" s="229">
        <v>1.5E-3</v>
      </c>
      <c r="EG98" s="230">
        <v>1643779</v>
      </c>
      <c r="EH98" s="230">
        <v>1123651</v>
      </c>
      <c r="EI98" s="229">
        <v>0.46289999999999998</v>
      </c>
      <c r="EJ98" s="229">
        <v>0.54359999999999997</v>
      </c>
      <c r="EK98" s="228">
        <v>956.41</v>
      </c>
      <c r="EL98" s="228">
        <v>724.91</v>
      </c>
      <c r="EM98" s="228">
        <v>437.42</v>
      </c>
      <c r="EN98" s="228">
        <v>60.61</v>
      </c>
      <c r="EO98" s="231">
        <v>2118.7399999999998</v>
      </c>
      <c r="EP98" s="231">
        <v>1364.41</v>
      </c>
      <c r="EQ98" s="228">
        <v>754.33</v>
      </c>
      <c r="ER98" s="229">
        <v>0.55289999999999995</v>
      </c>
      <c r="ES98" s="228">
        <v>614.88</v>
      </c>
      <c r="ET98" s="228">
        <v>529.86</v>
      </c>
      <c r="EU98" s="231">
        <v>3487.4</v>
      </c>
      <c r="EV98" s="231">
        <v>93808799</v>
      </c>
      <c r="EW98" s="231">
        <v>4632.1400000000003</v>
      </c>
      <c r="EX98" s="231">
        <v>4398.04</v>
      </c>
      <c r="EY98" s="228">
        <v>234.1</v>
      </c>
      <c r="EZ98" s="229">
        <v>5.3199999999999997E-2</v>
      </c>
      <c r="FA98" s="229">
        <v>0.52400000000000002</v>
      </c>
      <c r="FB98" s="227" t="s">
        <v>555</v>
      </c>
      <c r="FC98">
        <f t="shared" si="1"/>
        <v>199</v>
      </c>
    </row>
    <row r="99" spans="1:159" ht="17.25" thickBot="1" x14ac:dyDescent="0.3">
      <c r="A99" s="226">
        <v>46148</v>
      </c>
      <c r="B99" s="227" t="s">
        <v>188</v>
      </c>
      <c r="C99" s="227" t="s">
        <v>473</v>
      </c>
      <c r="D99" s="228">
        <v>1700</v>
      </c>
      <c r="E99" s="228">
        <v>20</v>
      </c>
      <c r="F99" s="228">
        <v>410.1</v>
      </c>
      <c r="G99" s="228">
        <v>404.95</v>
      </c>
      <c r="H99" s="228">
        <v>5.15</v>
      </c>
      <c r="I99" s="229">
        <v>1.2699999999999999E-2</v>
      </c>
      <c r="J99" s="228">
        <v>408.3</v>
      </c>
      <c r="K99" s="228">
        <v>402.7</v>
      </c>
      <c r="L99" s="228">
        <v>5.6</v>
      </c>
      <c r="M99" s="229">
        <v>1.3899999999999999E-2</v>
      </c>
      <c r="N99" s="228">
        <v>410.1</v>
      </c>
      <c r="O99" s="228">
        <v>404.95</v>
      </c>
      <c r="P99" s="228">
        <v>5.15</v>
      </c>
      <c r="Q99" s="229">
        <v>1.2699999999999999E-2</v>
      </c>
      <c r="R99" s="228">
        <v>412.75</v>
      </c>
      <c r="S99" s="228">
        <v>407.7</v>
      </c>
      <c r="T99" s="228">
        <v>5.05</v>
      </c>
      <c r="U99" s="229">
        <v>1.24E-2</v>
      </c>
      <c r="V99" s="228">
        <v>415.15</v>
      </c>
      <c r="W99" s="228">
        <v>410</v>
      </c>
      <c r="X99" s="228">
        <v>5.15</v>
      </c>
      <c r="Y99" s="229">
        <v>1.26E-2</v>
      </c>
      <c r="Z99" s="228">
        <v>1.8</v>
      </c>
      <c r="AA99" s="228">
        <v>2.25</v>
      </c>
      <c r="AB99" s="228">
        <v>-0.45</v>
      </c>
      <c r="AC99" s="229">
        <v>4.4000000000000003E-3</v>
      </c>
      <c r="AD99" s="228">
        <v>1.8</v>
      </c>
      <c r="AE99" s="228">
        <v>2.25</v>
      </c>
      <c r="AF99" s="228">
        <v>-0.45</v>
      </c>
      <c r="AG99" s="229">
        <v>4.4000000000000003E-3</v>
      </c>
      <c r="AH99" s="228">
        <v>4.45</v>
      </c>
      <c r="AI99" s="228">
        <v>5</v>
      </c>
      <c r="AJ99" s="228">
        <v>-0.55000000000000004</v>
      </c>
      <c r="AK99" s="229">
        <v>1.09E-2</v>
      </c>
      <c r="AL99" s="228">
        <v>6.85</v>
      </c>
      <c r="AM99" s="228">
        <v>7.3</v>
      </c>
      <c r="AN99" s="228">
        <v>-0.45</v>
      </c>
      <c r="AO99" s="229">
        <v>1.6799999999999999E-2</v>
      </c>
      <c r="AP99" s="228">
        <v>410.54</v>
      </c>
      <c r="AQ99" s="228">
        <v>413.96</v>
      </c>
      <c r="AR99" s="228">
        <v>0</v>
      </c>
      <c r="AS99" s="228">
        <v>469</v>
      </c>
      <c r="AT99" s="228">
        <v>380</v>
      </c>
      <c r="AU99" s="228">
        <v>89</v>
      </c>
      <c r="AV99" s="229">
        <v>0.23400000000000001</v>
      </c>
      <c r="AW99" s="228">
        <v>451</v>
      </c>
      <c r="AX99" s="228">
        <v>367</v>
      </c>
      <c r="AY99" s="228">
        <v>84</v>
      </c>
      <c r="AZ99" s="229">
        <v>0.22950000000000001</v>
      </c>
      <c r="BA99" s="228">
        <v>16</v>
      </c>
      <c r="BB99" s="228">
        <v>11</v>
      </c>
      <c r="BC99" s="228">
        <v>5</v>
      </c>
      <c r="BD99" s="229">
        <v>0.41360000000000002</v>
      </c>
      <c r="BE99" s="228">
        <v>2</v>
      </c>
      <c r="BF99" s="228">
        <v>2</v>
      </c>
      <c r="BG99" s="228">
        <v>0</v>
      </c>
      <c r="BH99" s="229">
        <v>6.25E-2</v>
      </c>
      <c r="BI99" s="230">
        <v>1337</v>
      </c>
      <c r="BJ99" s="230">
        <v>1483</v>
      </c>
      <c r="BK99" s="228">
        <v>-146</v>
      </c>
      <c r="BL99" s="229">
        <v>-9.8199999999999996E-2</v>
      </c>
      <c r="BM99" s="228">
        <v>451</v>
      </c>
      <c r="BN99" s="228">
        <v>492</v>
      </c>
      <c r="BO99" s="228">
        <v>-41</v>
      </c>
      <c r="BP99" s="229">
        <v>-8.3900000000000002E-2</v>
      </c>
      <c r="BQ99" s="230">
        <v>2258</v>
      </c>
      <c r="BR99" s="230">
        <v>2355</v>
      </c>
      <c r="BS99" s="228">
        <v>-98</v>
      </c>
      <c r="BT99" s="229">
        <v>-4.1599999999999998E-2</v>
      </c>
      <c r="BU99" s="230">
        <v>5794323</v>
      </c>
      <c r="BV99" s="230">
        <v>4690191</v>
      </c>
      <c r="BW99" s="230">
        <v>1104132</v>
      </c>
      <c r="BX99" s="229">
        <v>0.2354</v>
      </c>
      <c r="BY99" s="230">
        <v>3442</v>
      </c>
      <c r="BZ99" s="230">
        <v>3407</v>
      </c>
      <c r="CA99" s="228">
        <v>36</v>
      </c>
      <c r="CB99" s="229">
        <v>1.0500000000000001E-2</v>
      </c>
      <c r="CC99" s="230">
        <v>3283</v>
      </c>
      <c r="CD99" s="230">
        <v>3251</v>
      </c>
      <c r="CE99" s="228">
        <v>32</v>
      </c>
      <c r="CF99" s="229">
        <v>9.7999999999999997E-3</v>
      </c>
      <c r="CG99" s="228">
        <v>155</v>
      </c>
      <c r="CH99" s="228">
        <v>152</v>
      </c>
      <c r="CI99" s="228">
        <v>3</v>
      </c>
      <c r="CJ99" s="229">
        <v>1.9300000000000001E-2</v>
      </c>
      <c r="CK99" s="228">
        <v>5</v>
      </c>
      <c r="CL99" s="228">
        <v>4</v>
      </c>
      <c r="CM99" s="228">
        <v>1</v>
      </c>
      <c r="CN99" s="229">
        <v>0.27450000000000002</v>
      </c>
      <c r="CO99" s="230">
        <v>1200</v>
      </c>
      <c r="CP99" s="230">
        <v>1248</v>
      </c>
      <c r="CQ99" s="228">
        <v>-48</v>
      </c>
      <c r="CR99" s="229">
        <v>-3.8399999999999997E-2</v>
      </c>
      <c r="CS99" s="228">
        <v>836</v>
      </c>
      <c r="CT99" s="228">
        <v>847</v>
      </c>
      <c r="CU99" s="228">
        <v>-11</v>
      </c>
      <c r="CV99" s="229">
        <v>-1.3100000000000001E-2</v>
      </c>
      <c r="CW99" s="230">
        <v>5478</v>
      </c>
      <c r="CX99" s="230">
        <v>5501</v>
      </c>
      <c r="CY99" s="228">
        <v>-23</v>
      </c>
      <c r="CZ99" s="229">
        <v>-4.1999999999999997E-3</v>
      </c>
      <c r="DA99" s="228">
        <v>29</v>
      </c>
      <c r="DB99" s="228">
        <v>30.16</v>
      </c>
      <c r="DC99" s="228">
        <v>-1.1599999999999999</v>
      </c>
      <c r="DD99" s="228">
        <v>-1.1599999999999999</v>
      </c>
      <c r="DE99" s="228">
        <v>37.299999999999997</v>
      </c>
      <c r="DF99" s="228">
        <v>37.35</v>
      </c>
      <c r="DG99" s="228">
        <v>-8.3000000000000007</v>
      </c>
      <c r="DH99" s="228">
        <v>-0.05</v>
      </c>
      <c r="DI99" s="228">
        <v>28.99</v>
      </c>
      <c r="DJ99" s="228">
        <v>30.41</v>
      </c>
      <c r="DK99" s="228">
        <v>-1.42</v>
      </c>
      <c r="DL99" s="228">
        <v>-1.42</v>
      </c>
      <c r="DM99" s="228">
        <v>29.05</v>
      </c>
      <c r="DN99" s="228">
        <v>29.41</v>
      </c>
      <c r="DO99" s="228">
        <v>-0.36</v>
      </c>
      <c r="DP99" s="228">
        <v>-0.36</v>
      </c>
      <c r="DQ99" s="228">
        <v>0.7</v>
      </c>
      <c r="DR99" s="228">
        <v>0.68</v>
      </c>
      <c r="DS99" s="228">
        <v>0.02</v>
      </c>
      <c r="DT99" s="229">
        <v>2.9399999999999999E-2</v>
      </c>
      <c r="DU99" s="228">
        <v>440</v>
      </c>
      <c r="DV99" s="228">
        <v>400</v>
      </c>
      <c r="DW99" s="228">
        <v>0.34</v>
      </c>
      <c r="DX99" s="228">
        <v>0.33</v>
      </c>
      <c r="DY99" s="228">
        <v>0.01</v>
      </c>
      <c r="DZ99" s="229">
        <v>3.0300000000000001E-2</v>
      </c>
      <c r="EA99" s="229">
        <v>4.6199999999999998E-2</v>
      </c>
      <c r="EB99" s="230">
        <v>3785900</v>
      </c>
      <c r="EC99" s="229">
        <v>6.4999999999999997E-3</v>
      </c>
      <c r="ED99" s="229">
        <v>4.6199999999999998E-2</v>
      </c>
      <c r="EE99" s="228">
        <v>3.42</v>
      </c>
      <c r="EF99" s="229">
        <v>8.3000000000000001E-3</v>
      </c>
      <c r="EG99" s="230">
        <v>2962096</v>
      </c>
      <c r="EH99" s="230">
        <v>1909053</v>
      </c>
      <c r="EI99" s="229">
        <v>0.55159999999999998</v>
      </c>
      <c r="EJ99" s="229">
        <v>0.51119999999999999</v>
      </c>
      <c r="EK99" s="231">
        <v>1397.33</v>
      </c>
      <c r="EL99" s="228">
        <v>445.56</v>
      </c>
      <c r="EM99" s="228">
        <v>469.79</v>
      </c>
      <c r="EN99" s="228">
        <v>84.52</v>
      </c>
      <c r="EO99" s="231">
        <v>2312.69</v>
      </c>
      <c r="EP99" s="231">
        <v>2405.14</v>
      </c>
      <c r="EQ99" s="228">
        <v>-92.45</v>
      </c>
      <c r="ER99" s="229">
        <v>-3.8399999999999997E-2</v>
      </c>
      <c r="ES99" s="231">
        <v>1247.46</v>
      </c>
      <c r="ET99" s="228">
        <v>815.57</v>
      </c>
      <c r="EU99" s="231">
        <v>3443.26</v>
      </c>
      <c r="EV99" s="231">
        <v>193625858</v>
      </c>
      <c r="EW99" s="231">
        <v>5506.29</v>
      </c>
      <c r="EX99" s="231">
        <v>5486</v>
      </c>
      <c r="EY99" s="228">
        <v>20.29</v>
      </c>
      <c r="EZ99" s="229">
        <v>3.7000000000000002E-3</v>
      </c>
      <c r="FA99" s="229">
        <v>0.68979999999999997</v>
      </c>
      <c r="FB99" s="227" t="s">
        <v>555</v>
      </c>
      <c r="FC99">
        <f t="shared" si="1"/>
        <v>159</v>
      </c>
    </row>
    <row r="100" spans="1:159" ht="17.25" thickBot="1" x14ac:dyDescent="0.3">
      <c r="A100" s="226">
        <v>46148</v>
      </c>
      <c r="B100" s="227" t="s">
        <v>221</v>
      </c>
      <c r="C100" s="227" t="s">
        <v>240</v>
      </c>
      <c r="D100" s="228">
        <v>400</v>
      </c>
      <c r="E100" s="228">
        <v>20</v>
      </c>
      <c r="F100" s="231">
        <v>1171</v>
      </c>
      <c r="G100" s="231">
        <v>1178.3</v>
      </c>
      <c r="H100" s="228">
        <v>-7.3</v>
      </c>
      <c r="I100" s="229">
        <v>-6.1999999999999998E-3</v>
      </c>
      <c r="J100" s="231">
        <v>1167.2</v>
      </c>
      <c r="K100" s="231">
        <v>1178.0999999999999</v>
      </c>
      <c r="L100" s="228">
        <v>-10.9</v>
      </c>
      <c r="M100" s="229">
        <v>-9.2999999999999992E-3</v>
      </c>
      <c r="N100" s="231">
        <v>1171</v>
      </c>
      <c r="O100" s="231">
        <v>1178.3</v>
      </c>
      <c r="P100" s="228">
        <v>-7.3</v>
      </c>
      <c r="Q100" s="229">
        <v>-6.1999999999999998E-3</v>
      </c>
      <c r="R100" s="231">
        <v>1172.4000000000001</v>
      </c>
      <c r="S100" s="231">
        <v>1178.8</v>
      </c>
      <c r="T100" s="228">
        <v>-6.4</v>
      </c>
      <c r="U100" s="229">
        <v>-5.4000000000000003E-3</v>
      </c>
      <c r="V100" s="231">
        <v>1176</v>
      </c>
      <c r="W100" s="231">
        <v>1181.5999999999999</v>
      </c>
      <c r="X100" s="228">
        <v>-5.6</v>
      </c>
      <c r="Y100" s="229">
        <v>-4.7000000000000002E-3</v>
      </c>
      <c r="Z100" s="228">
        <v>3.8</v>
      </c>
      <c r="AA100" s="228">
        <v>0.2</v>
      </c>
      <c r="AB100" s="228">
        <v>3.6</v>
      </c>
      <c r="AC100" s="229">
        <v>3.3E-3</v>
      </c>
      <c r="AD100" s="228">
        <v>3.8</v>
      </c>
      <c r="AE100" s="228">
        <v>0.2</v>
      </c>
      <c r="AF100" s="228">
        <v>3.6</v>
      </c>
      <c r="AG100" s="229">
        <v>3.3E-3</v>
      </c>
      <c r="AH100" s="228">
        <v>5.2</v>
      </c>
      <c r="AI100" s="228">
        <v>0.7</v>
      </c>
      <c r="AJ100" s="228">
        <v>4.5</v>
      </c>
      <c r="AK100" s="229">
        <v>4.4999999999999997E-3</v>
      </c>
      <c r="AL100" s="228">
        <v>8.8000000000000007</v>
      </c>
      <c r="AM100" s="228">
        <v>3.5</v>
      </c>
      <c r="AN100" s="228">
        <v>5.3</v>
      </c>
      <c r="AO100" s="229">
        <v>7.4999999999999997E-3</v>
      </c>
      <c r="AP100" s="231">
        <v>1174.18</v>
      </c>
      <c r="AQ100" s="231">
        <v>1175.19</v>
      </c>
      <c r="AR100" s="228">
        <v>0</v>
      </c>
      <c r="AS100" s="230">
        <v>1282</v>
      </c>
      <c r="AT100" s="228">
        <v>701</v>
      </c>
      <c r="AU100" s="228">
        <v>581</v>
      </c>
      <c r="AV100" s="229">
        <v>0.82899999999999996</v>
      </c>
      <c r="AW100" s="230">
        <v>1158</v>
      </c>
      <c r="AX100" s="228">
        <v>640</v>
      </c>
      <c r="AY100" s="228">
        <v>518</v>
      </c>
      <c r="AZ100" s="229">
        <v>0.81040000000000001</v>
      </c>
      <c r="BA100" s="228">
        <v>108</v>
      </c>
      <c r="BB100" s="228">
        <v>54</v>
      </c>
      <c r="BC100" s="228">
        <v>54</v>
      </c>
      <c r="BD100" s="229">
        <v>1.0052000000000001</v>
      </c>
      <c r="BE100" s="228">
        <v>16</v>
      </c>
      <c r="BF100" s="228">
        <v>7</v>
      </c>
      <c r="BG100" s="228">
        <v>9</v>
      </c>
      <c r="BH100" s="229">
        <v>1.1375</v>
      </c>
      <c r="BI100" s="230">
        <v>3731</v>
      </c>
      <c r="BJ100" s="230">
        <v>2130</v>
      </c>
      <c r="BK100" s="230">
        <v>1601</v>
      </c>
      <c r="BL100" s="229">
        <v>0.75190000000000001</v>
      </c>
      <c r="BM100" s="230">
        <v>1901</v>
      </c>
      <c r="BN100" s="230">
        <v>1064</v>
      </c>
      <c r="BO100" s="228">
        <v>837</v>
      </c>
      <c r="BP100" s="229">
        <v>0.78710000000000002</v>
      </c>
      <c r="BQ100" s="230">
        <v>6915</v>
      </c>
      <c r="BR100" s="230">
        <v>3895</v>
      </c>
      <c r="BS100" s="230">
        <v>3020</v>
      </c>
      <c r="BT100" s="229">
        <v>0.77539999999999998</v>
      </c>
      <c r="BU100" s="230">
        <v>10174454</v>
      </c>
      <c r="BV100" s="230">
        <v>8507610</v>
      </c>
      <c r="BW100" s="230">
        <v>1666844</v>
      </c>
      <c r="BX100" s="229">
        <v>0.19589999999999999</v>
      </c>
      <c r="BY100" s="230">
        <v>10056</v>
      </c>
      <c r="BZ100" s="230">
        <v>9708</v>
      </c>
      <c r="CA100" s="228">
        <v>348</v>
      </c>
      <c r="CB100" s="229">
        <v>3.5799999999999998E-2</v>
      </c>
      <c r="CC100" s="230">
        <v>9355</v>
      </c>
      <c r="CD100" s="230">
        <v>9068</v>
      </c>
      <c r="CE100" s="228">
        <v>286</v>
      </c>
      <c r="CF100" s="229">
        <v>3.15E-2</v>
      </c>
      <c r="CG100" s="228">
        <v>667</v>
      </c>
      <c r="CH100" s="228">
        <v>615</v>
      </c>
      <c r="CI100" s="228">
        <v>52</v>
      </c>
      <c r="CJ100" s="229">
        <v>8.4099999999999994E-2</v>
      </c>
      <c r="CK100" s="228">
        <v>35</v>
      </c>
      <c r="CL100" s="228">
        <v>25</v>
      </c>
      <c r="CM100" s="228">
        <v>10</v>
      </c>
      <c r="CN100" s="229">
        <v>0.40799999999999997</v>
      </c>
      <c r="CO100" s="230">
        <v>4738</v>
      </c>
      <c r="CP100" s="230">
        <v>4209</v>
      </c>
      <c r="CQ100" s="228">
        <v>530</v>
      </c>
      <c r="CR100" s="229">
        <v>0.1258</v>
      </c>
      <c r="CS100" s="230">
        <v>2681</v>
      </c>
      <c r="CT100" s="230">
        <v>2462</v>
      </c>
      <c r="CU100" s="228">
        <v>219</v>
      </c>
      <c r="CV100" s="229">
        <v>8.9200000000000002E-2</v>
      </c>
      <c r="CW100" s="230">
        <v>17476</v>
      </c>
      <c r="CX100" s="230">
        <v>16379</v>
      </c>
      <c r="CY100" s="230">
        <v>1097</v>
      </c>
      <c r="CZ100" s="229">
        <v>6.7000000000000004E-2</v>
      </c>
      <c r="DA100" s="228">
        <v>30.09</v>
      </c>
      <c r="DB100" s="228">
        <v>30.18</v>
      </c>
      <c r="DC100" s="228">
        <v>-0.09</v>
      </c>
      <c r="DD100" s="228">
        <v>-0.09</v>
      </c>
      <c r="DE100" s="228">
        <v>32.28</v>
      </c>
      <c r="DF100" s="228">
        <v>32.340000000000003</v>
      </c>
      <c r="DG100" s="228">
        <v>-2.19</v>
      </c>
      <c r="DH100" s="228">
        <v>-0.06</v>
      </c>
      <c r="DI100" s="228">
        <v>30.55</v>
      </c>
      <c r="DJ100" s="228">
        <v>30.43</v>
      </c>
      <c r="DK100" s="228">
        <v>0.12</v>
      </c>
      <c r="DL100" s="228">
        <v>0.12</v>
      </c>
      <c r="DM100" s="228">
        <v>29.18</v>
      </c>
      <c r="DN100" s="228">
        <v>29.69</v>
      </c>
      <c r="DO100" s="228">
        <v>-0.51</v>
      </c>
      <c r="DP100" s="228">
        <v>-0.51</v>
      </c>
      <c r="DQ100" s="228">
        <v>0.56999999999999995</v>
      </c>
      <c r="DR100" s="228">
        <v>0.57999999999999996</v>
      </c>
      <c r="DS100" s="228">
        <v>-0.01</v>
      </c>
      <c r="DT100" s="229">
        <v>-1.72E-2</v>
      </c>
      <c r="DU100" s="231">
        <v>1200</v>
      </c>
      <c r="DV100" s="231">
        <v>1100</v>
      </c>
      <c r="DW100" s="228">
        <v>0.51</v>
      </c>
      <c r="DX100" s="228">
        <v>0.5</v>
      </c>
      <c r="DY100" s="228">
        <v>0.01</v>
      </c>
      <c r="DZ100" s="229">
        <v>0.02</v>
      </c>
      <c r="EA100" s="229">
        <v>6.9800000000000001E-2</v>
      </c>
      <c r="EB100" s="230">
        <v>5464400</v>
      </c>
      <c r="EC100" s="229">
        <v>1.1999999999999999E-3</v>
      </c>
      <c r="ED100" s="229">
        <v>6.9800000000000001E-2</v>
      </c>
      <c r="EE100" s="228">
        <v>1.01</v>
      </c>
      <c r="EF100" s="229">
        <v>8.9999999999999998E-4</v>
      </c>
      <c r="EG100" s="230">
        <v>5946754</v>
      </c>
      <c r="EH100" s="230">
        <v>3366050</v>
      </c>
      <c r="EI100" s="229">
        <v>0.76670000000000005</v>
      </c>
      <c r="EJ100" s="229">
        <v>0.58450000000000002</v>
      </c>
      <c r="EK100" s="231">
        <v>3974.45</v>
      </c>
      <c r="EL100" s="231">
        <v>1886.11</v>
      </c>
      <c r="EM100" s="231">
        <v>1285.83</v>
      </c>
      <c r="EN100" s="228">
        <v>192.35</v>
      </c>
      <c r="EO100" s="231">
        <v>7146.4</v>
      </c>
      <c r="EP100" s="231">
        <v>4043.84</v>
      </c>
      <c r="EQ100" s="231">
        <v>3102.55</v>
      </c>
      <c r="ER100" s="229">
        <v>0.76719999999999999</v>
      </c>
      <c r="ES100" s="231">
        <v>5094.78</v>
      </c>
      <c r="ET100" s="231">
        <v>2693.78</v>
      </c>
      <c r="EU100" s="231">
        <v>10057.120000000001</v>
      </c>
      <c r="EV100" s="231">
        <v>475237614</v>
      </c>
      <c r="EW100" s="231">
        <v>17845.68</v>
      </c>
      <c r="EX100" s="231">
        <v>16796.009999999998</v>
      </c>
      <c r="EY100" s="231">
        <v>1049.67</v>
      </c>
      <c r="EZ100" s="229">
        <v>6.25E-2</v>
      </c>
      <c r="FA100" s="229">
        <v>0.314</v>
      </c>
      <c r="FB100" s="227" t="s">
        <v>566</v>
      </c>
      <c r="FC100">
        <f t="shared" si="1"/>
        <v>701</v>
      </c>
    </row>
    <row r="101" spans="1:159" ht="17.25" thickBot="1" x14ac:dyDescent="0.3">
      <c r="A101" s="226">
        <v>46148</v>
      </c>
      <c r="B101" s="227" t="s">
        <v>161</v>
      </c>
      <c r="C101" s="227" t="s">
        <v>666</v>
      </c>
      <c r="D101" s="228">
        <v>3575</v>
      </c>
      <c r="E101" s="228">
        <v>20</v>
      </c>
      <c r="F101" s="228">
        <v>107.53</v>
      </c>
      <c r="G101" s="228">
        <v>104.73</v>
      </c>
      <c r="H101" s="228">
        <v>2.8</v>
      </c>
      <c r="I101" s="229">
        <v>2.6700000000000002E-2</v>
      </c>
      <c r="J101" s="228">
        <v>107.11</v>
      </c>
      <c r="K101" s="228">
        <v>104.47</v>
      </c>
      <c r="L101" s="228">
        <v>2.64</v>
      </c>
      <c r="M101" s="229">
        <v>2.53E-2</v>
      </c>
      <c r="N101" s="228">
        <v>107.53</v>
      </c>
      <c r="O101" s="228">
        <v>104.73</v>
      </c>
      <c r="P101" s="228">
        <v>2.8</v>
      </c>
      <c r="Q101" s="229">
        <v>2.6700000000000002E-2</v>
      </c>
      <c r="R101" s="228">
        <v>108.07</v>
      </c>
      <c r="S101" s="228">
        <v>105.41</v>
      </c>
      <c r="T101" s="228">
        <v>2.66</v>
      </c>
      <c r="U101" s="229">
        <v>2.52E-2</v>
      </c>
      <c r="V101" s="228">
        <v>109</v>
      </c>
      <c r="W101" s="228">
        <v>106.37</v>
      </c>
      <c r="X101" s="228">
        <v>2.63</v>
      </c>
      <c r="Y101" s="229">
        <v>2.47E-2</v>
      </c>
      <c r="Z101" s="228">
        <v>0.42</v>
      </c>
      <c r="AA101" s="228">
        <v>0.26</v>
      </c>
      <c r="AB101" s="228">
        <v>0.16</v>
      </c>
      <c r="AC101" s="229">
        <v>3.8999999999999998E-3</v>
      </c>
      <c r="AD101" s="228">
        <v>0.42</v>
      </c>
      <c r="AE101" s="228">
        <v>0.26</v>
      </c>
      <c r="AF101" s="228">
        <v>0.16</v>
      </c>
      <c r="AG101" s="229">
        <v>3.8999999999999998E-3</v>
      </c>
      <c r="AH101" s="228">
        <v>0.96</v>
      </c>
      <c r="AI101" s="228">
        <v>0.94</v>
      </c>
      <c r="AJ101" s="228">
        <v>0.02</v>
      </c>
      <c r="AK101" s="229">
        <v>8.9999999999999993E-3</v>
      </c>
      <c r="AL101" s="228">
        <v>1.89</v>
      </c>
      <c r="AM101" s="228">
        <v>1.9</v>
      </c>
      <c r="AN101" s="228">
        <v>-0.01</v>
      </c>
      <c r="AO101" s="229">
        <v>1.7600000000000001E-2</v>
      </c>
      <c r="AP101" s="228">
        <v>107.03</v>
      </c>
      <c r="AQ101" s="228">
        <v>107.54</v>
      </c>
      <c r="AR101" s="228">
        <v>0</v>
      </c>
      <c r="AS101" s="228">
        <v>183</v>
      </c>
      <c r="AT101" s="228">
        <v>242</v>
      </c>
      <c r="AU101" s="228">
        <v>-59</v>
      </c>
      <c r="AV101" s="229">
        <v>-0.24399999999999999</v>
      </c>
      <c r="AW101" s="228">
        <v>175</v>
      </c>
      <c r="AX101" s="228">
        <v>235</v>
      </c>
      <c r="AY101" s="228">
        <v>-60</v>
      </c>
      <c r="AZ101" s="229">
        <v>-0.25390000000000001</v>
      </c>
      <c r="BA101" s="228">
        <v>7</v>
      </c>
      <c r="BB101" s="228">
        <v>7</v>
      </c>
      <c r="BC101" s="228">
        <v>0</v>
      </c>
      <c r="BD101" s="229">
        <v>6.9000000000000006E-2</v>
      </c>
      <c r="BE101" s="228">
        <v>0</v>
      </c>
      <c r="BF101" s="228">
        <v>0</v>
      </c>
      <c r="BG101" s="228">
        <v>0</v>
      </c>
      <c r="BH101" s="229">
        <v>0.44440000000000002</v>
      </c>
      <c r="BI101" s="228">
        <v>434</v>
      </c>
      <c r="BJ101" s="228">
        <v>541</v>
      </c>
      <c r="BK101" s="228">
        <v>-108</v>
      </c>
      <c r="BL101" s="229">
        <v>-0.19900000000000001</v>
      </c>
      <c r="BM101" s="228">
        <v>96</v>
      </c>
      <c r="BN101" s="228">
        <v>135</v>
      </c>
      <c r="BO101" s="228">
        <v>-39</v>
      </c>
      <c r="BP101" s="229">
        <v>-0.28589999999999999</v>
      </c>
      <c r="BQ101" s="228">
        <v>713</v>
      </c>
      <c r="BR101" s="228">
        <v>918</v>
      </c>
      <c r="BS101" s="228">
        <v>-205</v>
      </c>
      <c r="BT101" s="229">
        <v>-0.22359999999999999</v>
      </c>
      <c r="BU101" s="230">
        <v>22350801</v>
      </c>
      <c r="BV101" s="230">
        <v>27369456</v>
      </c>
      <c r="BW101" s="230">
        <v>-5018655</v>
      </c>
      <c r="BX101" s="229">
        <v>-0.18340000000000001</v>
      </c>
      <c r="BY101" s="228">
        <v>988</v>
      </c>
      <c r="BZ101" s="230">
        <v>1007</v>
      </c>
      <c r="CA101" s="228">
        <v>-20</v>
      </c>
      <c r="CB101" s="229">
        <v>-1.9400000000000001E-2</v>
      </c>
      <c r="CC101" s="228">
        <v>953</v>
      </c>
      <c r="CD101" s="228">
        <v>972</v>
      </c>
      <c r="CE101" s="228">
        <v>-19</v>
      </c>
      <c r="CF101" s="229">
        <v>-1.95E-2</v>
      </c>
      <c r="CG101" s="228">
        <v>26</v>
      </c>
      <c r="CH101" s="228">
        <v>27</v>
      </c>
      <c r="CI101" s="228">
        <v>-1</v>
      </c>
      <c r="CJ101" s="229">
        <v>-2.29E-2</v>
      </c>
      <c r="CK101" s="228">
        <v>9</v>
      </c>
      <c r="CL101" s="228">
        <v>9</v>
      </c>
      <c r="CM101" s="228">
        <v>0</v>
      </c>
      <c r="CN101" s="229">
        <v>0</v>
      </c>
      <c r="CO101" s="228">
        <v>285</v>
      </c>
      <c r="CP101" s="228">
        <v>261</v>
      </c>
      <c r="CQ101" s="228">
        <v>24</v>
      </c>
      <c r="CR101" s="229">
        <v>9.1300000000000006E-2</v>
      </c>
      <c r="CS101" s="228">
        <v>145</v>
      </c>
      <c r="CT101" s="228">
        <v>135</v>
      </c>
      <c r="CU101" s="228">
        <v>10</v>
      </c>
      <c r="CV101" s="229">
        <v>7.4499999999999997E-2</v>
      </c>
      <c r="CW101" s="230">
        <v>1418</v>
      </c>
      <c r="CX101" s="230">
        <v>1404</v>
      </c>
      <c r="CY101" s="228">
        <v>14</v>
      </c>
      <c r="CZ101" s="229">
        <v>1.0200000000000001E-2</v>
      </c>
      <c r="DA101" s="228">
        <v>50.75</v>
      </c>
      <c r="DB101" s="228">
        <v>52.8</v>
      </c>
      <c r="DC101" s="228">
        <v>-2.0499999999999998</v>
      </c>
      <c r="DD101" s="228">
        <v>-2.0499999999999998</v>
      </c>
      <c r="DE101" s="228">
        <v>53.68</v>
      </c>
      <c r="DF101" s="228">
        <v>53.69</v>
      </c>
      <c r="DG101" s="228">
        <v>-2.93</v>
      </c>
      <c r="DH101" s="228">
        <v>-0.01</v>
      </c>
      <c r="DI101" s="228">
        <v>50.66</v>
      </c>
      <c r="DJ101" s="228">
        <v>52.92</v>
      </c>
      <c r="DK101" s="228">
        <v>-2.2599999999999998</v>
      </c>
      <c r="DL101" s="228">
        <v>-2.2599999999999998</v>
      </c>
      <c r="DM101" s="228">
        <v>51.18</v>
      </c>
      <c r="DN101" s="228">
        <v>52.28</v>
      </c>
      <c r="DO101" s="228">
        <v>-1.1000000000000001</v>
      </c>
      <c r="DP101" s="228">
        <v>-1.1000000000000001</v>
      </c>
      <c r="DQ101" s="228">
        <v>0.51</v>
      </c>
      <c r="DR101" s="228">
        <v>0.52</v>
      </c>
      <c r="DS101" s="228">
        <v>-0.01</v>
      </c>
      <c r="DT101" s="229">
        <v>-1.9199999999999998E-2</v>
      </c>
      <c r="DU101" s="228">
        <v>110</v>
      </c>
      <c r="DV101" s="228">
        <v>100</v>
      </c>
      <c r="DW101" s="228">
        <v>0.22</v>
      </c>
      <c r="DX101" s="228">
        <v>0.25</v>
      </c>
      <c r="DY101" s="228">
        <v>-0.03</v>
      </c>
      <c r="DZ101" s="229">
        <v>-0.12</v>
      </c>
      <c r="EA101" s="229">
        <v>3.5299999999999998E-2</v>
      </c>
      <c r="EB101" s="230">
        <v>3301750</v>
      </c>
      <c r="EC101" s="229">
        <v>5.0000000000000001E-3</v>
      </c>
      <c r="ED101" s="229">
        <v>3.5299999999999998E-2</v>
      </c>
      <c r="EE101" s="228">
        <v>0.51</v>
      </c>
      <c r="EF101" s="229">
        <v>4.7999999999999996E-3</v>
      </c>
      <c r="EG101" s="230">
        <v>9002330</v>
      </c>
      <c r="EH101" s="230">
        <v>10926780</v>
      </c>
      <c r="EI101" s="229">
        <v>-0.17610000000000001</v>
      </c>
      <c r="EJ101" s="229">
        <v>0.40279999999999999</v>
      </c>
      <c r="EK101" s="228">
        <v>456.79</v>
      </c>
      <c r="EL101" s="228">
        <v>93.33</v>
      </c>
      <c r="EM101" s="228">
        <v>182.57</v>
      </c>
      <c r="EN101" s="228">
        <v>58.35</v>
      </c>
      <c r="EO101" s="228">
        <v>732.7</v>
      </c>
      <c r="EP101" s="228">
        <v>932.62</v>
      </c>
      <c r="EQ101" s="228">
        <v>-199.92</v>
      </c>
      <c r="ER101" s="229">
        <v>-0.21440000000000001</v>
      </c>
      <c r="ES101" s="228">
        <v>282.38</v>
      </c>
      <c r="ET101" s="228">
        <v>136.18</v>
      </c>
      <c r="EU101" s="228">
        <v>988.04</v>
      </c>
      <c r="EV101" s="231">
        <v>144708707</v>
      </c>
      <c r="EW101" s="231">
        <v>1406.6</v>
      </c>
      <c r="EX101" s="231">
        <v>1365.76</v>
      </c>
      <c r="EY101" s="228">
        <v>40.840000000000003</v>
      </c>
      <c r="EZ101" s="229">
        <v>2.9899999999999999E-2</v>
      </c>
      <c r="FA101" s="229">
        <v>0.91120000000000001</v>
      </c>
      <c r="FB101" s="227" t="s">
        <v>691</v>
      </c>
      <c r="FC101">
        <f t="shared" si="1"/>
        <v>35</v>
      </c>
    </row>
    <row r="102" spans="1:159" ht="17.25" thickBot="1" x14ac:dyDescent="0.3">
      <c r="A102" s="226">
        <v>46148</v>
      </c>
      <c r="B102" s="227" t="s">
        <v>193</v>
      </c>
      <c r="C102" s="227" t="s">
        <v>241</v>
      </c>
      <c r="D102" s="228">
        <v>4875</v>
      </c>
      <c r="E102" s="228">
        <v>20</v>
      </c>
      <c r="F102" s="228">
        <v>149.18</v>
      </c>
      <c r="G102" s="228">
        <v>142.99</v>
      </c>
      <c r="H102" s="228">
        <v>6.19</v>
      </c>
      <c r="I102" s="229">
        <v>4.3299999999999998E-2</v>
      </c>
      <c r="J102" s="228">
        <v>148.21</v>
      </c>
      <c r="K102" s="228">
        <v>142.13999999999999</v>
      </c>
      <c r="L102" s="228">
        <v>6.07</v>
      </c>
      <c r="M102" s="229">
        <v>4.2700000000000002E-2</v>
      </c>
      <c r="N102" s="228">
        <v>149.18</v>
      </c>
      <c r="O102" s="228">
        <v>142.99</v>
      </c>
      <c r="P102" s="228">
        <v>6.19</v>
      </c>
      <c r="Q102" s="229">
        <v>4.3299999999999998E-2</v>
      </c>
      <c r="R102" s="228">
        <v>150.18</v>
      </c>
      <c r="S102" s="228">
        <v>143.97999999999999</v>
      </c>
      <c r="T102" s="228">
        <v>6.2</v>
      </c>
      <c r="U102" s="229">
        <v>4.3099999999999999E-2</v>
      </c>
      <c r="V102" s="228">
        <v>150.9</v>
      </c>
      <c r="W102" s="228">
        <v>145</v>
      </c>
      <c r="X102" s="228">
        <v>5.9</v>
      </c>
      <c r="Y102" s="229">
        <v>4.07E-2</v>
      </c>
      <c r="Z102" s="228">
        <v>0.97</v>
      </c>
      <c r="AA102" s="228">
        <v>0.85</v>
      </c>
      <c r="AB102" s="228">
        <v>0.12</v>
      </c>
      <c r="AC102" s="229">
        <v>6.4999999999999997E-3</v>
      </c>
      <c r="AD102" s="228">
        <v>0.97</v>
      </c>
      <c r="AE102" s="228">
        <v>0.85</v>
      </c>
      <c r="AF102" s="228">
        <v>0.12</v>
      </c>
      <c r="AG102" s="229">
        <v>6.4999999999999997E-3</v>
      </c>
      <c r="AH102" s="228">
        <v>1.97</v>
      </c>
      <c r="AI102" s="228">
        <v>1.84</v>
      </c>
      <c r="AJ102" s="228">
        <v>0.13</v>
      </c>
      <c r="AK102" s="229">
        <v>1.3299999999999999E-2</v>
      </c>
      <c r="AL102" s="228">
        <v>2.69</v>
      </c>
      <c r="AM102" s="228">
        <v>2.86</v>
      </c>
      <c r="AN102" s="228">
        <v>-0.17</v>
      </c>
      <c r="AO102" s="229">
        <v>1.8100000000000002E-2</v>
      </c>
      <c r="AP102" s="228">
        <v>147.5</v>
      </c>
      <c r="AQ102" s="228">
        <v>148.11000000000001</v>
      </c>
      <c r="AR102" s="228">
        <v>0</v>
      </c>
      <c r="AS102" s="228">
        <v>442</v>
      </c>
      <c r="AT102" s="228">
        <v>99</v>
      </c>
      <c r="AU102" s="228">
        <v>343</v>
      </c>
      <c r="AV102" s="229">
        <v>3.456</v>
      </c>
      <c r="AW102" s="228">
        <v>414</v>
      </c>
      <c r="AX102" s="228">
        <v>93</v>
      </c>
      <c r="AY102" s="228">
        <v>321</v>
      </c>
      <c r="AZ102" s="229">
        <v>3.4550000000000001</v>
      </c>
      <c r="BA102" s="228">
        <v>25</v>
      </c>
      <c r="BB102" s="228">
        <v>6</v>
      </c>
      <c r="BC102" s="228">
        <v>19</v>
      </c>
      <c r="BD102" s="229">
        <v>3.2658</v>
      </c>
      <c r="BE102" s="228">
        <v>4</v>
      </c>
      <c r="BF102" s="228">
        <v>1</v>
      </c>
      <c r="BG102" s="228">
        <v>3</v>
      </c>
      <c r="BH102" s="229">
        <v>5.5</v>
      </c>
      <c r="BI102" s="230">
        <v>1736</v>
      </c>
      <c r="BJ102" s="228">
        <v>360</v>
      </c>
      <c r="BK102" s="230">
        <v>1375</v>
      </c>
      <c r="BL102" s="229">
        <v>3.8184999999999998</v>
      </c>
      <c r="BM102" s="228">
        <v>680</v>
      </c>
      <c r="BN102" s="228">
        <v>216</v>
      </c>
      <c r="BO102" s="228">
        <v>464</v>
      </c>
      <c r="BP102" s="229">
        <v>2.1484999999999999</v>
      </c>
      <c r="BQ102" s="230">
        <v>2858</v>
      </c>
      <c r="BR102" s="228">
        <v>675</v>
      </c>
      <c r="BS102" s="230">
        <v>2182</v>
      </c>
      <c r="BT102" s="229">
        <v>3.2311999999999999</v>
      </c>
      <c r="BU102" s="230">
        <v>18603275</v>
      </c>
      <c r="BV102" s="230">
        <v>9801896</v>
      </c>
      <c r="BW102" s="230">
        <v>8801379</v>
      </c>
      <c r="BX102" s="229">
        <v>0.89790000000000003</v>
      </c>
      <c r="BY102" s="230">
        <v>1683</v>
      </c>
      <c r="BZ102" s="230">
        <v>1691</v>
      </c>
      <c r="CA102" s="228">
        <v>-8</v>
      </c>
      <c r="CB102" s="229">
        <v>-4.7999999999999996E-3</v>
      </c>
      <c r="CC102" s="230">
        <v>1551</v>
      </c>
      <c r="CD102" s="230">
        <v>1563</v>
      </c>
      <c r="CE102" s="228">
        <v>-12</v>
      </c>
      <c r="CF102" s="229">
        <v>-7.6E-3</v>
      </c>
      <c r="CG102" s="228">
        <v>128</v>
      </c>
      <c r="CH102" s="228">
        <v>125</v>
      </c>
      <c r="CI102" s="228">
        <v>3</v>
      </c>
      <c r="CJ102" s="229">
        <v>2.2100000000000002E-2</v>
      </c>
      <c r="CK102" s="228">
        <v>4</v>
      </c>
      <c r="CL102" s="228">
        <v>3</v>
      </c>
      <c r="CM102" s="228">
        <v>1</v>
      </c>
      <c r="CN102" s="229">
        <v>0.34150000000000003</v>
      </c>
      <c r="CO102" s="228">
        <v>715</v>
      </c>
      <c r="CP102" s="228">
        <v>622</v>
      </c>
      <c r="CQ102" s="228">
        <v>92</v>
      </c>
      <c r="CR102" s="229">
        <v>0.14860000000000001</v>
      </c>
      <c r="CS102" s="228">
        <v>488</v>
      </c>
      <c r="CT102" s="228">
        <v>468</v>
      </c>
      <c r="CU102" s="228">
        <v>21</v>
      </c>
      <c r="CV102" s="229">
        <v>4.4600000000000001E-2</v>
      </c>
      <c r="CW102" s="230">
        <v>2886</v>
      </c>
      <c r="CX102" s="230">
        <v>2781</v>
      </c>
      <c r="CY102" s="228">
        <v>105</v>
      </c>
      <c r="CZ102" s="229">
        <v>3.78E-2</v>
      </c>
      <c r="DA102" s="228">
        <v>36.549999999999997</v>
      </c>
      <c r="DB102" s="228">
        <v>35.61</v>
      </c>
      <c r="DC102" s="228">
        <v>0.94</v>
      </c>
      <c r="DD102" s="228">
        <v>0.94</v>
      </c>
      <c r="DE102" s="228">
        <v>33.880000000000003</v>
      </c>
      <c r="DF102" s="228">
        <v>33.47</v>
      </c>
      <c r="DG102" s="228">
        <v>2.67</v>
      </c>
      <c r="DH102" s="228">
        <v>0.41</v>
      </c>
      <c r="DI102" s="228">
        <v>36.43</v>
      </c>
      <c r="DJ102" s="228">
        <v>35.24</v>
      </c>
      <c r="DK102" s="228">
        <v>1.19</v>
      </c>
      <c r="DL102" s="228">
        <v>1.19</v>
      </c>
      <c r="DM102" s="228">
        <v>36.86</v>
      </c>
      <c r="DN102" s="228">
        <v>36.22</v>
      </c>
      <c r="DO102" s="228">
        <v>0.64</v>
      </c>
      <c r="DP102" s="228">
        <v>0.64</v>
      </c>
      <c r="DQ102" s="228">
        <v>0.68</v>
      </c>
      <c r="DR102" s="228">
        <v>0.75</v>
      </c>
      <c r="DS102" s="228">
        <v>-7.0000000000000007E-2</v>
      </c>
      <c r="DT102" s="229">
        <v>-9.3299999999999994E-2</v>
      </c>
      <c r="DU102" s="228">
        <v>150</v>
      </c>
      <c r="DV102" s="228">
        <v>140</v>
      </c>
      <c r="DW102" s="228">
        <v>0.39</v>
      </c>
      <c r="DX102" s="228">
        <v>0.6</v>
      </c>
      <c r="DY102" s="228">
        <v>-0.21</v>
      </c>
      <c r="DZ102" s="229">
        <v>-0.35</v>
      </c>
      <c r="EA102" s="229">
        <v>7.8299999999999995E-2</v>
      </c>
      <c r="EB102" s="230">
        <v>8575125</v>
      </c>
      <c r="EC102" s="229">
        <v>6.7000000000000002E-3</v>
      </c>
      <c r="ED102" s="229">
        <v>7.8299999999999995E-2</v>
      </c>
      <c r="EE102" s="228">
        <v>0.61</v>
      </c>
      <c r="EF102" s="229">
        <v>4.1000000000000003E-3</v>
      </c>
      <c r="EG102" s="230">
        <v>8279948</v>
      </c>
      <c r="EH102" s="230">
        <v>3687988</v>
      </c>
      <c r="EI102" s="229">
        <v>1.2451000000000001</v>
      </c>
      <c r="EJ102" s="229">
        <v>0.4451</v>
      </c>
      <c r="EK102" s="231">
        <v>1816.65</v>
      </c>
      <c r="EL102" s="228">
        <v>660.33</v>
      </c>
      <c r="EM102" s="228">
        <v>437.19</v>
      </c>
      <c r="EN102" s="228">
        <v>26.46</v>
      </c>
      <c r="EO102" s="231">
        <v>2914.16</v>
      </c>
      <c r="EP102" s="228">
        <v>669.49</v>
      </c>
      <c r="EQ102" s="231">
        <v>2244.6799999999998</v>
      </c>
      <c r="ER102" s="229">
        <v>3.3527999999999998</v>
      </c>
      <c r="ES102" s="228">
        <v>737.17</v>
      </c>
      <c r="ET102" s="228">
        <v>473.99</v>
      </c>
      <c r="EU102" s="231">
        <v>1683.76</v>
      </c>
      <c r="EV102" s="231">
        <v>684903861</v>
      </c>
      <c r="EW102" s="231">
        <v>2894.92</v>
      </c>
      <c r="EX102" s="231">
        <v>2711.13</v>
      </c>
      <c r="EY102" s="228">
        <v>183.79</v>
      </c>
      <c r="EZ102" s="229">
        <v>6.7799999999999999E-2</v>
      </c>
      <c r="FA102" s="229">
        <v>0.28249999999999997</v>
      </c>
      <c r="FB102" s="227" t="s">
        <v>691</v>
      </c>
      <c r="FC102">
        <f t="shared" si="1"/>
        <v>132</v>
      </c>
    </row>
    <row r="103" spans="1:159" ht="17.25" thickBot="1" x14ac:dyDescent="0.3">
      <c r="A103" s="226">
        <v>46148</v>
      </c>
      <c r="B103" s="227" t="s">
        <v>175</v>
      </c>
      <c r="C103" s="227" t="s">
        <v>662</v>
      </c>
      <c r="D103" s="228">
        <v>3450</v>
      </c>
      <c r="E103" s="228">
        <v>20</v>
      </c>
      <c r="F103" s="228">
        <v>136.97999999999999</v>
      </c>
      <c r="G103" s="228">
        <v>135.75</v>
      </c>
      <c r="H103" s="228">
        <v>1.23</v>
      </c>
      <c r="I103" s="229">
        <v>9.1000000000000004E-3</v>
      </c>
      <c r="J103" s="228">
        <v>136.41</v>
      </c>
      <c r="K103" s="228">
        <v>135.27000000000001</v>
      </c>
      <c r="L103" s="228">
        <v>1.1399999999999999</v>
      </c>
      <c r="M103" s="229">
        <v>8.3999999999999995E-3</v>
      </c>
      <c r="N103" s="228">
        <v>136.97999999999999</v>
      </c>
      <c r="O103" s="228">
        <v>135.75</v>
      </c>
      <c r="P103" s="228">
        <v>1.23</v>
      </c>
      <c r="Q103" s="229">
        <v>9.1000000000000004E-3</v>
      </c>
      <c r="R103" s="228">
        <v>136.33000000000001</v>
      </c>
      <c r="S103" s="228">
        <v>134.84</v>
      </c>
      <c r="T103" s="228">
        <v>1.49</v>
      </c>
      <c r="U103" s="229">
        <v>1.11E-2</v>
      </c>
      <c r="V103" s="228">
        <v>135.99</v>
      </c>
      <c r="W103" s="228">
        <v>134.88999999999999</v>
      </c>
      <c r="X103" s="228">
        <v>1.1000000000000001</v>
      </c>
      <c r="Y103" s="229">
        <v>8.2000000000000007E-3</v>
      </c>
      <c r="Z103" s="228">
        <v>0.56999999999999995</v>
      </c>
      <c r="AA103" s="228">
        <v>0.48</v>
      </c>
      <c r="AB103" s="228">
        <v>0.09</v>
      </c>
      <c r="AC103" s="229">
        <v>4.1999999999999997E-3</v>
      </c>
      <c r="AD103" s="228">
        <v>0.56999999999999995</v>
      </c>
      <c r="AE103" s="228">
        <v>0.48</v>
      </c>
      <c r="AF103" s="228">
        <v>0.09</v>
      </c>
      <c r="AG103" s="229">
        <v>4.1999999999999997E-3</v>
      </c>
      <c r="AH103" s="228">
        <v>-0.08</v>
      </c>
      <c r="AI103" s="228">
        <v>-0.43</v>
      </c>
      <c r="AJ103" s="228">
        <v>0.35</v>
      </c>
      <c r="AK103" s="229">
        <v>-5.9999999999999995E-4</v>
      </c>
      <c r="AL103" s="228">
        <v>-0.42</v>
      </c>
      <c r="AM103" s="228">
        <v>-0.38</v>
      </c>
      <c r="AN103" s="228">
        <v>-0.04</v>
      </c>
      <c r="AO103" s="229">
        <v>-3.0999999999999999E-3</v>
      </c>
      <c r="AP103" s="228">
        <v>136.19</v>
      </c>
      <c r="AQ103" s="228">
        <v>135.54</v>
      </c>
      <c r="AR103" s="228">
        <v>0</v>
      </c>
      <c r="AS103" s="228">
        <v>87</v>
      </c>
      <c r="AT103" s="228">
        <v>55</v>
      </c>
      <c r="AU103" s="228">
        <v>32</v>
      </c>
      <c r="AV103" s="229">
        <v>0.59260000000000002</v>
      </c>
      <c r="AW103" s="228">
        <v>65</v>
      </c>
      <c r="AX103" s="228">
        <v>43</v>
      </c>
      <c r="AY103" s="228">
        <v>22</v>
      </c>
      <c r="AZ103" s="229">
        <v>0.50819999999999999</v>
      </c>
      <c r="BA103" s="228">
        <v>20</v>
      </c>
      <c r="BB103" s="228">
        <v>10</v>
      </c>
      <c r="BC103" s="228">
        <v>10</v>
      </c>
      <c r="BD103" s="229">
        <v>1.0489999999999999</v>
      </c>
      <c r="BE103" s="228">
        <v>2</v>
      </c>
      <c r="BF103" s="228">
        <v>2</v>
      </c>
      <c r="BG103" s="228">
        <v>0</v>
      </c>
      <c r="BH103" s="229">
        <v>0.1429</v>
      </c>
      <c r="BI103" s="228">
        <v>119</v>
      </c>
      <c r="BJ103" s="228">
        <v>101</v>
      </c>
      <c r="BK103" s="228">
        <v>18</v>
      </c>
      <c r="BL103" s="229">
        <v>0.1794</v>
      </c>
      <c r="BM103" s="228">
        <v>47</v>
      </c>
      <c r="BN103" s="228">
        <v>40</v>
      </c>
      <c r="BO103" s="228">
        <v>7</v>
      </c>
      <c r="BP103" s="229">
        <v>0.1671</v>
      </c>
      <c r="BQ103" s="228">
        <v>254</v>
      </c>
      <c r="BR103" s="228">
        <v>196</v>
      </c>
      <c r="BS103" s="228">
        <v>57</v>
      </c>
      <c r="BT103" s="229">
        <v>0.2918</v>
      </c>
      <c r="BU103" s="230">
        <v>6060740</v>
      </c>
      <c r="BV103" s="230">
        <v>5826044</v>
      </c>
      <c r="BW103" s="230">
        <v>234696</v>
      </c>
      <c r="BX103" s="229">
        <v>4.0300000000000002E-2</v>
      </c>
      <c r="BY103" s="228">
        <v>662</v>
      </c>
      <c r="BZ103" s="228">
        <v>651</v>
      </c>
      <c r="CA103" s="228">
        <v>11</v>
      </c>
      <c r="CB103" s="229">
        <v>1.6500000000000001E-2</v>
      </c>
      <c r="CC103" s="228">
        <v>567</v>
      </c>
      <c r="CD103" s="228">
        <v>561</v>
      </c>
      <c r="CE103" s="228">
        <v>5</v>
      </c>
      <c r="CF103" s="229">
        <v>9.2999999999999992E-3</v>
      </c>
      <c r="CG103" s="228">
        <v>84</v>
      </c>
      <c r="CH103" s="228">
        <v>80</v>
      </c>
      <c r="CI103" s="228">
        <v>4</v>
      </c>
      <c r="CJ103" s="229">
        <v>4.87E-2</v>
      </c>
      <c r="CK103" s="228">
        <v>12</v>
      </c>
      <c r="CL103" s="228">
        <v>10</v>
      </c>
      <c r="CM103" s="228">
        <v>2</v>
      </c>
      <c r="CN103" s="229">
        <v>0.1615</v>
      </c>
      <c r="CO103" s="228">
        <v>239</v>
      </c>
      <c r="CP103" s="228">
        <v>230</v>
      </c>
      <c r="CQ103" s="228">
        <v>9</v>
      </c>
      <c r="CR103" s="229">
        <v>4.0500000000000001E-2</v>
      </c>
      <c r="CS103" s="228">
        <v>165</v>
      </c>
      <c r="CT103" s="228">
        <v>160</v>
      </c>
      <c r="CU103" s="228">
        <v>5</v>
      </c>
      <c r="CV103" s="229">
        <v>3.4000000000000002E-2</v>
      </c>
      <c r="CW103" s="230">
        <v>1066</v>
      </c>
      <c r="CX103" s="230">
        <v>1040</v>
      </c>
      <c r="CY103" s="228">
        <v>25</v>
      </c>
      <c r="CZ103" s="229">
        <v>2.4500000000000001E-2</v>
      </c>
      <c r="DA103" s="228">
        <v>39.46</v>
      </c>
      <c r="DB103" s="228">
        <v>41.82</v>
      </c>
      <c r="DC103" s="228">
        <v>-2.36</v>
      </c>
      <c r="DD103" s="228">
        <v>-2.36</v>
      </c>
      <c r="DE103" s="228">
        <v>48.96</v>
      </c>
      <c r="DF103" s="228">
        <v>49.07</v>
      </c>
      <c r="DG103" s="228">
        <v>-9.5</v>
      </c>
      <c r="DH103" s="228">
        <v>-0.11</v>
      </c>
      <c r="DI103" s="228">
        <v>39.15</v>
      </c>
      <c r="DJ103" s="228">
        <v>41.29</v>
      </c>
      <c r="DK103" s="228">
        <v>-2.14</v>
      </c>
      <c r="DL103" s="228">
        <v>-2.14</v>
      </c>
      <c r="DM103" s="228">
        <v>40.22</v>
      </c>
      <c r="DN103" s="228">
        <v>43.16</v>
      </c>
      <c r="DO103" s="228">
        <v>-2.94</v>
      </c>
      <c r="DP103" s="228">
        <v>-2.94</v>
      </c>
      <c r="DQ103" s="228">
        <v>0.69</v>
      </c>
      <c r="DR103" s="228">
        <v>0.69</v>
      </c>
      <c r="DS103" s="228">
        <v>0</v>
      </c>
      <c r="DT103" s="229">
        <v>0</v>
      </c>
      <c r="DU103" s="228">
        <v>140</v>
      </c>
      <c r="DV103" s="228">
        <v>130</v>
      </c>
      <c r="DW103" s="228">
        <v>0.4</v>
      </c>
      <c r="DX103" s="228">
        <v>0.4</v>
      </c>
      <c r="DY103" s="228">
        <v>0</v>
      </c>
      <c r="DZ103" s="229">
        <v>0</v>
      </c>
      <c r="EA103" s="229">
        <v>0.14369999999999999</v>
      </c>
      <c r="EB103" s="230">
        <v>6541775</v>
      </c>
      <c r="EC103" s="229">
        <v>-4.7000000000000002E-3</v>
      </c>
      <c r="ED103" s="229">
        <v>0.14369999999999999</v>
      </c>
      <c r="EE103" s="228">
        <v>-0.65</v>
      </c>
      <c r="EF103" s="229">
        <v>-4.7999999999999996E-3</v>
      </c>
      <c r="EG103" s="230">
        <v>1728420</v>
      </c>
      <c r="EH103" s="230">
        <v>1655101</v>
      </c>
      <c r="EI103" s="229">
        <v>4.4299999999999999E-2</v>
      </c>
      <c r="EJ103" s="229">
        <v>0.28520000000000001</v>
      </c>
      <c r="EK103" s="228">
        <v>126.98</v>
      </c>
      <c r="EL103" s="228">
        <v>45.75</v>
      </c>
      <c r="EM103" s="228">
        <v>86.98</v>
      </c>
      <c r="EN103" s="228">
        <v>16.649999999999999</v>
      </c>
      <c r="EO103" s="228">
        <v>259.70999999999998</v>
      </c>
      <c r="EP103" s="228">
        <v>201.77</v>
      </c>
      <c r="EQ103" s="228">
        <v>57.94</v>
      </c>
      <c r="ER103" s="229">
        <v>0.28720000000000001</v>
      </c>
      <c r="ES103" s="228">
        <v>249.88</v>
      </c>
      <c r="ET103" s="228">
        <v>159.47</v>
      </c>
      <c r="EU103" s="228">
        <v>661.15</v>
      </c>
      <c r="EV103" s="231">
        <v>119011160</v>
      </c>
      <c r="EW103" s="231">
        <v>1070.5</v>
      </c>
      <c r="EX103" s="231">
        <v>1039.07</v>
      </c>
      <c r="EY103" s="228">
        <v>31.43</v>
      </c>
      <c r="EZ103" s="229">
        <v>3.0200000000000001E-2</v>
      </c>
      <c r="FA103" s="229">
        <v>0.65369999999999995</v>
      </c>
      <c r="FB103" s="227" t="s">
        <v>555</v>
      </c>
      <c r="FC103">
        <f t="shared" si="1"/>
        <v>95</v>
      </c>
    </row>
    <row r="104" spans="1:159" ht="17.25" thickBot="1" x14ac:dyDescent="0.3">
      <c r="A104" s="226">
        <v>46148</v>
      </c>
      <c r="B104" s="227" t="s">
        <v>215</v>
      </c>
      <c r="C104" s="227" t="s">
        <v>591</v>
      </c>
      <c r="D104" s="228">
        <v>4250</v>
      </c>
      <c r="E104" s="228">
        <v>20</v>
      </c>
      <c r="F104" s="228">
        <v>107.42</v>
      </c>
      <c r="G104" s="228">
        <v>106.35</v>
      </c>
      <c r="H104" s="228">
        <v>1.07</v>
      </c>
      <c r="I104" s="229">
        <v>1.01E-2</v>
      </c>
      <c r="J104" s="228">
        <v>106.74</v>
      </c>
      <c r="K104" s="228">
        <v>105.82</v>
      </c>
      <c r="L104" s="228">
        <v>0.92</v>
      </c>
      <c r="M104" s="229">
        <v>8.6999999999999994E-3</v>
      </c>
      <c r="N104" s="228">
        <v>107.42</v>
      </c>
      <c r="O104" s="228">
        <v>106.35</v>
      </c>
      <c r="P104" s="228">
        <v>1.07</v>
      </c>
      <c r="Q104" s="229">
        <v>1.01E-2</v>
      </c>
      <c r="R104" s="228">
        <v>106.86</v>
      </c>
      <c r="S104" s="228">
        <v>105.75</v>
      </c>
      <c r="T104" s="228">
        <v>1.1100000000000001</v>
      </c>
      <c r="U104" s="229">
        <v>1.0500000000000001E-2</v>
      </c>
      <c r="V104" s="228">
        <v>106.76</v>
      </c>
      <c r="W104" s="228">
        <v>105.55</v>
      </c>
      <c r="X104" s="228">
        <v>1.21</v>
      </c>
      <c r="Y104" s="229">
        <v>1.15E-2</v>
      </c>
      <c r="Z104" s="228">
        <v>0.68</v>
      </c>
      <c r="AA104" s="228">
        <v>0.53</v>
      </c>
      <c r="AB104" s="228">
        <v>0.15</v>
      </c>
      <c r="AC104" s="229">
        <v>6.4000000000000003E-3</v>
      </c>
      <c r="AD104" s="228">
        <v>0.68</v>
      </c>
      <c r="AE104" s="228">
        <v>0.53</v>
      </c>
      <c r="AF104" s="228">
        <v>0.15</v>
      </c>
      <c r="AG104" s="229">
        <v>6.4000000000000003E-3</v>
      </c>
      <c r="AH104" s="228">
        <v>0.12</v>
      </c>
      <c r="AI104" s="228">
        <v>-7.0000000000000007E-2</v>
      </c>
      <c r="AJ104" s="228">
        <v>0.19</v>
      </c>
      <c r="AK104" s="229">
        <v>1.1000000000000001E-3</v>
      </c>
      <c r="AL104" s="228">
        <v>0.02</v>
      </c>
      <c r="AM104" s="228">
        <v>-0.27</v>
      </c>
      <c r="AN104" s="228">
        <v>0.28999999999999998</v>
      </c>
      <c r="AO104" s="229">
        <v>2.0000000000000001E-4</v>
      </c>
      <c r="AP104" s="228">
        <v>106.82</v>
      </c>
      <c r="AQ104" s="228">
        <v>106.18</v>
      </c>
      <c r="AR104" s="228">
        <v>0</v>
      </c>
      <c r="AS104" s="228">
        <v>85</v>
      </c>
      <c r="AT104" s="228">
        <v>153</v>
      </c>
      <c r="AU104" s="228">
        <v>-68</v>
      </c>
      <c r="AV104" s="229">
        <v>-0.44400000000000001</v>
      </c>
      <c r="AW104" s="228">
        <v>71</v>
      </c>
      <c r="AX104" s="228">
        <v>138</v>
      </c>
      <c r="AY104" s="228">
        <v>-67</v>
      </c>
      <c r="AZ104" s="229">
        <v>-0.48499999999999999</v>
      </c>
      <c r="BA104" s="228">
        <v>12</v>
      </c>
      <c r="BB104" s="228">
        <v>13</v>
      </c>
      <c r="BC104" s="228">
        <v>-1</v>
      </c>
      <c r="BD104" s="229">
        <v>-6.0900000000000003E-2</v>
      </c>
      <c r="BE104" s="228">
        <v>2</v>
      </c>
      <c r="BF104" s="228">
        <v>2</v>
      </c>
      <c r="BG104" s="228">
        <v>0</v>
      </c>
      <c r="BH104" s="229">
        <v>-2.4400000000000002E-2</v>
      </c>
      <c r="BI104" s="228">
        <v>398</v>
      </c>
      <c r="BJ104" s="228">
        <v>759</v>
      </c>
      <c r="BK104" s="228">
        <v>-361</v>
      </c>
      <c r="BL104" s="229">
        <v>-0.47599999999999998</v>
      </c>
      <c r="BM104" s="228">
        <v>129</v>
      </c>
      <c r="BN104" s="228">
        <v>168</v>
      </c>
      <c r="BO104" s="228">
        <v>-39</v>
      </c>
      <c r="BP104" s="229">
        <v>-0.23419999999999999</v>
      </c>
      <c r="BQ104" s="228">
        <v>611</v>
      </c>
      <c r="BR104" s="230">
        <v>1080</v>
      </c>
      <c r="BS104" s="228">
        <v>-468</v>
      </c>
      <c r="BT104" s="229">
        <v>-0.43380000000000002</v>
      </c>
      <c r="BU104" s="230">
        <v>12802228</v>
      </c>
      <c r="BV104" s="230">
        <v>21292577</v>
      </c>
      <c r="BW104" s="230">
        <v>-8490349</v>
      </c>
      <c r="BX104" s="229">
        <v>-0.3987</v>
      </c>
      <c r="BY104" s="228">
        <v>589</v>
      </c>
      <c r="BZ104" s="228">
        <v>587</v>
      </c>
      <c r="CA104" s="228">
        <v>2</v>
      </c>
      <c r="CB104" s="229">
        <v>2.8E-3</v>
      </c>
      <c r="CC104" s="228">
        <v>525</v>
      </c>
      <c r="CD104" s="228">
        <v>526</v>
      </c>
      <c r="CE104" s="228">
        <v>0</v>
      </c>
      <c r="CF104" s="229">
        <v>-5.9999999999999995E-4</v>
      </c>
      <c r="CG104" s="228">
        <v>58</v>
      </c>
      <c r="CH104" s="228">
        <v>57</v>
      </c>
      <c r="CI104" s="228">
        <v>0</v>
      </c>
      <c r="CJ104" s="229">
        <v>8.0000000000000002E-3</v>
      </c>
      <c r="CK104" s="228">
        <v>6</v>
      </c>
      <c r="CL104" s="228">
        <v>4</v>
      </c>
      <c r="CM104" s="228">
        <v>2</v>
      </c>
      <c r="CN104" s="229">
        <v>0.37680000000000002</v>
      </c>
      <c r="CO104" s="228">
        <v>372</v>
      </c>
      <c r="CP104" s="228">
        <v>374</v>
      </c>
      <c r="CQ104" s="228">
        <v>-2</v>
      </c>
      <c r="CR104" s="229">
        <v>-6.1000000000000004E-3</v>
      </c>
      <c r="CS104" s="228">
        <v>281</v>
      </c>
      <c r="CT104" s="228">
        <v>257</v>
      </c>
      <c r="CU104" s="228">
        <v>24</v>
      </c>
      <c r="CV104" s="229">
        <v>9.5399999999999999E-2</v>
      </c>
      <c r="CW104" s="230">
        <v>1242</v>
      </c>
      <c r="CX104" s="230">
        <v>1218</v>
      </c>
      <c r="CY104" s="228">
        <v>24</v>
      </c>
      <c r="CZ104" s="229">
        <v>1.9599999999999999E-2</v>
      </c>
      <c r="DA104" s="228">
        <v>37.270000000000003</v>
      </c>
      <c r="DB104" s="228">
        <v>40.590000000000003</v>
      </c>
      <c r="DC104" s="228">
        <v>-3.32</v>
      </c>
      <c r="DD104" s="228">
        <v>-3.32</v>
      </c>
      <c r="DE104" s="228">
        <v>44.78</v>
      </c>
      <c r="DF104" s="228">
        <v>44.87</v>
      </c>
      <c r="DG104" s="228">
        <v>-7.51</v>
      </c>
      <c r="DH104" s="228">
        <v>-0.09</v>
      </c>
      <c r="DI104" s="228">
        <v>37.020000000000003</v>
      </c>
      <c r="DJ104" s="228">
        <v>40.590000000000003</v>
      </c>
      <c r="DK104" s="228">
        <v>-3.57</v>
      </c>
      <c r="DL104" s="228">
        <v>-3.57</v>
      </c>
      <c r="DM104" s="228">
        <v>38.049999999999997</v>
      </c>
      <c r="DN104" s="228">
        <v>40.6</v>
      </c>
      <c r="DO104" s="228">
        <v>-2.5499999999999998</v>
      </c>
      <c r="DP104" s="228">
        <v>-2.5499999999999998</v>
      </c>
      <c r="DQ104" s="228">
        <v>0.76</v>
      </c>
      <c r="DR104" s="228">
        <v>0.69</v>
      </c>
      <c r="DS104" s="228">
        <v>7.0000000000000007E-2</v>
      </c>
      <c r="DT104" s="229">
        <v>0.1014</v>
      </c>
      <c r="DU104" s="228">
        <v>110</v>
      </c>
      <c r="DV104" s="228">
        <v>105</v>
      </c>
      <c r="DW104" s="228">
        <v>0.32</v>
      </c>
      <c r="DX104" s="228">
        <v>0.22</v>
      </c>
      <c r="DY104" s="228">
        <v>0.1</v>
      </c>
      <c r="DZ104" s="229">
        <v>0.45450000000000002</v>
      </c>
      <c r="EA104" s="229">
        <v>0.1077</v>
      </c>
      <c r="EB104" s="230">
        <v>5716575</v>
      </c>
      <c r="EC104" s="229">
        <v>-5.1999999999999998E-3</v>
      </c>
      <c r="ED104" s="229">
        <v>0.1077</v>
      </c>
      <c r="EE104" s="228">
        <v>-0.64</v>
      </c>
      <c r="EF104" s="229">
        <v>-6.0000000000000001E-3</v>
      </c>
      <c r="EG104" s="230">
        <v>4497214</v>
      </c>
      <c r="EH104" s="230">
        <v>4858111</v>
      </c>
      <c r="EI104" s="229">
        <v>-7.4300000000000005E-2</v>
      </c>
      <c r="EJ104" s="229">
        <v>0.3513</v>
      </c>
      <c r="EK104" s="228">
        <v>416.08</v>
      </c>
      <c r="EL104" s="228">
        <v>125.69</v>
      </c>
      <c r="EM104" s="228">
        <v>85</v>
      </c>
      <c r="EN104" s="228">
        <v>19.899999999999999</v>
      </c>
      <c r="EO104" s="228">
        <v>626.77</v>
      </c>
      <c r="EP104" s="231">
        <v>1108.08</v>
      </c>
      <c r="EQ104" s="228">
        <v>-481.31</v>
      </c>
      <c r="ER104" s="229">
        <v>-0.43440000000000001</v>
      </c>
      <c r="ES104" s="228">
        <v>380.89</v>
      </c>
      <c r="ET104" s="228">
        <v>268.56</v>
      </c>
      <c r="EU104" s="228">
        <v>588.33000000000004</v>
      </c>
      <c r="EV104" s="231">
        <v>267310350</v>
      </c>
      <c r="EW104" s="231">
        <v>1237.78</v>
      </c>
      <c r="EX104" s="231">
        <v>1207.3599999999999</v>
      </c>
      <c r="EY104" s="228">
        <v>30.42</v>
      </c>
      <c r="EZ104" s="229">
        <v>2.52E-2</v>
      </c>
      <c r="FA104" s="229">
        <v>0.4325</v>
      </c>
      <c r="FB104" s="227" t="s">
        <v>555</v>
      </c>
      <c r="FC104">
        <f t="shared" si="1"/>
        <v>64</v>
      </c>
    </row>
    <row r="105" spans="1:159" ht="17.25" thickBot="1" x14ac:dyDescent="0.3">
      <c r="A105" s="226">
        <v>46148</v>
      </c>
      <c r="B105" s="227" t="s">
        <v>168</v>
      </c>
      <c r="C105" s="227" t="s">
        <v>242</v>
      </c>
      <c r="D105" s="228">
        <v>1600</v>
      </c>
      <c r="E105" s="228">
        <v>20</v>
      </c>
      <c r="F105" s="228">
        <v>312.35000000000002</v>
      </c>
      <c r="G105" s="228">
        <v>312.75</v>
      </c>
      <c r="H105" s="228">
        <v>-0.4</v>
      </c>
      <c r="I105" s="229">
        <v>-1.2999999999999999E-3</v>
      </c>
      <c r="J105" s="228">
        <v>310.7</v>
      </c>
      <c r="K105" s="228">
        <v>311.45</v>
      </c>
      <c r="L105" s="228">
        <v>-0.75</v>
      </c>
      <c r="M105" s="229">
        <v>-2.3999999999999998E-3</v>
      </c>
      <c r="N105" s="228">
        <v>312.35000000000002</v>
      </c>
      <c r="O105" s="228">
        <v>312.75</v>
      </c>
      <c r="P105" s="228">
        <v>-0.4</v>
      </c>
      <c r="Q105" s="229">
        <v>-1.2999999999999999E-3</v>
      </c>
      <c r="R105" s="228">
        <v>314.35000000000002</v>
      </c>
      <c r="S105" s="228">
        <v>314.89999999999998</v>
      </c>
      <c r="T105" s="228">
        <v>-0.55000000000000004</v>
      </c>
      <c r="U105" s="229">
        <v>-1.6999999999999999E-3</v>
      </c>
      <c r="V105" s="228">
        <v>316.10000000000002</v>
      </c>
      <c r="W105" s="228">
        <v>316.7</v>
      </c>
      <c r="X105" s="228">
        <v>-0.6</v>
      </c>
      <c r="Y105" s="229">
        <v>-1.9E-3</v>
      </c>
      <c r="Z105" s="228">
        <v>1.65</v>
      </c>
      <c r="AA105" s="228">
        <v>1.3</v>
      </c>
      <c r="AB105" s="228">
        <v>0.35</v>
      </c>
      <c r="AC105" s="229">
        <v>5.3E-3</v>
      </c>
      <c r="AD105" s="228">
        <v>1.65</v>
      </c>
      <c r="AE105" s="228">
        <v>1.3</v>
      </c>
      <c r="AF105" s="228">
        <v>0.35</v>
      </c>
      <c r="AG105" s="229">
        <v>5.3E-3</v>
      </c>
      <c r="AH105" s="228">
        <v>3.65</v>
      </c>
      <c r="AI105" s="228">
        <v>3.45</v>
      </c>
      <c r="AJ105" s="228">
        <v>0.2</v>
      </c>
      <c r="AK105" s="229">
        <v>1.17E-2</v>
      </c>
      <c r="AL105" s="228">
        <v>5.4</v>
      </c>
      <c r="AM105" s="228">
        <v>5.25</v>
      </c>
      <c r="AN105" s="228">
        <v>0.15</v>
      </c>
      <c r="AO105" s="229">
        <v>1.7399999999999999E-2</v>
      </c>
      <c r="AP105" s="228">
        <v>312.25</v>
      </c>
      <c r="AQ105" s="228">
        <v>314.29000000000002</v>
      </c>
      <c r="AR105" s="228">
        <v>0</v>
      </c>
      <c r="AS105" s="228">
        <v>446</v>
      </c>
      <c r="AT105" s="228">
        <v>426</v>
      </c>
      <c r="AU105" s="228">
        <v>20</v>
      </c>
      <c r="AV105" s="229">
        <v>4.7100000000000003E-2</v>
      </c>
      <c r="AW105" s="228">
        <v>387</v>
      </c>
      <c r="AX105" s="228">
        <v>381</v>
      </c>
      <c r="AY105" s="228">
        <v>6</v>
      </c>
      <c r="AZ105" s="229">
        <v>1.47E-2</v>
      </c>
      <c r="BA105" s="228">
        <v>52</v>
      </c>
      <c r="BB105" s="228">
        <v>41</v>
      </c>
      <c r="BC105" s="228">
        <v>10</v>
      </c>
      <c r="BD105" s="229">
        <v>0.2515</v>
      </c>
      <c r="BE105" s="228">
        <v>8</v>
      </c>
      <c r="BF105" s="228">
        <v>4</v>
      </c>
      <c r="BG105" s="228">
        <v>4</v>
      </c>
      <c r="BH105" s="229">
        <v>1.1233</v>
      </c>
      <c r="BI105" s="230">
        <v>2930</v>
      </c>
      <c r="BJ105" s="230">
        <v>3410</v>
      </c>
      <c r="BK105" s="228">
        <v>-480</v>
      </c>
      <c r="BL105" s="229">
        <v>-0.1409</v>
      </c>
      <c r="BM105" s="228">
        <v>903</v>
      </c>
      <c r="BN105" s="230">
        <v>1122</v>
      </c>
      <c r="BO105" s="228">
        <v>-219</v>
      </c>
      <c r="BP105" s="229">
        <v>-0.1948</v>
      </c>
      <c r="BQ105" s="230">
        <v>4280</v>
      </c>
      <c r="BR105" s="230">
        <v>4959</v>
      </c>
      <c r="BS105" s="228">
        <v>-679</v>
      </c>
      <c r="BT105" s="229">
        <v>-0.13689999999999999</v>
      </c>
      <c r="BU105" s="230">
        <v>21095336</v>
      </c>
      <c r="BV105" s="230">
        <v>27120543</v>
      </c>
      <c r="BW105" s="230">
        <v>-6025207</v>
      </c>
      <c r="BX105" s="229">
        <v>-0.22220000000000001</v>
      </c>
      <c r="BY105" s="230">
        <v>5591</v>
      </c>
      <c r="BZ105" s="230">
        <v>5515</v>
      </c>
      <c r="CA105" s="228">
        <v>76</v>
      </c>
      <c r="CB105" s="229">
        <v>1.38E-2</v>
      </c>
      <c r="CC105" s="230">
        <v>4880</v>
      </c>
      <c r="CD105" s="230">
        <v>4834</v>
      </c>
      <c r="CE105" s="228">
        <v>46</v>
      </c>
      <c r="CF105" s="229">
        <v>9.4000000000000004E-3</v>
      </c>
      <c r="CG105" s="228">
        <v>686</v>
      </c>
      <c r="CH105" s="228">
        <v>662</v>
      </c>
      <c r="CI105" s="228">
        <v>24</v>
      </c>
      <c r="CJ105" s="229">
        <v>3.6200000000000003E-2</v>
      </c>
      <c r="CK105" s="228">
        <v>26</v>
      </c>
      <c r="CL105" s="228">
        <v>20</v>
      </c>
      <c r="CM105" s="228">
        <v>6</v>
      </c>
      <c r="CN105" s="229">
        <v>0.32869999999999999</v>
      </c>
      <c r="CO105" s="230">
        <v>3423</v>
      </c>
      <c r="CP105" s="230">
        <v>3185</v>
      </c>
      <c r="CQ105" s="228">
        <v>238</v>
      </c>
      <c r="CR105" s="229">
        <v>7.4800000000000005E-2</v>
      </c>
      <c r="CS105" s="230">
        <v>1214</v>
      </c>
      <c r="CT105" s="230">
        <v>1214</v>
      </c>
      <c r="CU105" s="228">
        <v>0</v>
      </c>
      <c r="CV105" s="229">
        <v>2.0000000000000001E-4</v>
      </c>
      <c r="CW105" s="230">
        <v>10229</v>
      </c>
      <c r="CX105" s="230">
        <v>9914</v>
      </c>
      <c r="CY105" s="228">
        <v>314</v>
      </c>
      <c r="CZ105" s="229">
        <v>3.1699999999999999E-2</v>
      </c>
      <c r="DA105" s="228">
        <v>20.02</v>
      </c>
      <c r="DB105" s="228">
        <v>20.45</v>
      </c>
      <c r="DC105" s="228">
        <v>-0.43</v>
      </c>
      <c r="DD105" s="228">
        <v>-0.43</v>
      </c>
      <c r="DE105" s="228">
        <v>24.58</v>
      </c>
      <c r="DF105" s="228">
        <v>24.64</v>
      </c>
      <c r="DG105" s="228">
        <v>-4.5599999999999996</v>
      </c>
      <c r="DH105" s="228">
        <v>-0.06</v>
      </c>
      <c r="DI105" s="228">
        <v>20.010000000000002</v>
      </c>
      <c r="DJ105" s="228">
        <v>20.399999999999999</v>
      </c>
      <c r="DK105" s="228">
        <v>-0.39</v>
      </c>
      <c r="DL105" s="228">
        <v>-0.39</v>
      </c>
      <c r="DM105" s="228">
        <v>20.04</v>
      </c>
      <c r="DN105" s="228">
        <v>20.63</v>
      </c>
      <c r="DO105" s="228">
        <v>-0.59</v>
      </c>
      <c r="DP105" s="228">
        <v>-0.59</v>
      </c>
      <c r="DQ105" s="228">
        <v>0.35</v>
      </c>
      <c r="DR105" s="228">
        <v>0.38</v>
      </c>
      <c r="DS105" s="228">
        <v>-0.03</v>
      </c>
      <c r="DT105" s="229">
        <v>-7.8899999999999998E-2</v>
      </c>
      <c r="DU105" s="228">
        <v>320</v>
      </c>
      <c r="DV105" s="228">
        <v>290</v>
      </c>
      <c r="DW105" s="228">
        <v>0.31</v>
      </c>
      <c r="DX105" s="228">
        <v>0.33</v>
      </c>
      <c r="DY105" s="228">
        <v>-0.02</v>
      </c>
      <c r="DZ105" s="229">
        <v>-6.0600000000000001E-2</v>
      </c>
      <c r="EA105" s="229">
        <v>0.1273</v>
      </c>
      <c r="EB105" s="230">
        <v>21816450</v>
      </c>
      <c r="EC105" s="229">
        <v>6.4000000000000003E-3</v>
      </c>
      <c r="ED105" s="229">
        <v>0.1273</v>
      </c>
      <c r="EE105" s="228">
        <v>2.04</v>
      </c>
      <c r="EF105" s="229">
        <v>6.4999999999999997E-3</v>
      </c>
      <c r="EG105" s="230">
        <v>12758006</v>
      </c>
      <c r="EH105" s="230">
        <v>14761351</v>
      </c>
      <c r="EI105" s="229">
        <v>-0.13569999999999999</v>
      </c>
      <c r="EJ105" s="229">
        <v>0.6048</v>
      </c>
      <c r="EK105" s="231">
        <v>3041.03</v>
      </c>
      <c r="EL105" s="228">
        <v>900.25</v>
      </c>
      <c r="EM105" s="228">
        <v>447.39</v>
      </c>
      <c r="EN105" s="228">
        <v>153.88</v>
      </c>
      <c r="EO105" s="231">
        <v>4388.66</v>
      </c>
      <c r="EP105" s="231">
        <v>5109.26</v>
      </c>
      <c r="EQ105" s="228">
        <v>-720.6</v>
      </c>
      <c r="ER105" s="229">
        <v>-0.14099999999999999</v>
      </c>
      <c r="ES105" s="231">
        <v>3554.92</v>
      </c>
      <c r="ET105" s="231">
        <v>1198.54</v>
      </c>
      <c r="EU105" s="231">
        <v>5596.2</v>
      </c>
      <c r="EV105" s="231">
        <v>1317896781</v>
      </c>
      <c r="EW105" s="231">
        <v>10349.66</v>
      </c>
      <c r="EX105" s="231">
        <v>10039.51</v>
      </c>
      <c r="EY105" s="228">
        <v>310.14999999999998</v>
      </c>
      <c r="EZ105" s="229">
        <v>3.09E-2</v>
      </c>
      <c r="FA105" s="229">
        <v>0.2485</v>
      </c>
      <c r="FB105" s="227" t="s">
        <v>566</v>
      </c>
      <c r="FC105">
        <f t="shared" si="1"/>
        <v>711</v>
      </c>
    </row>
    <row r="106" spans="1:159" ht="17.25" thickBot="1" x14ac:dyDescent="0.3">
      <c r="A106" s="226">
        <v>46148</v>
      </c>
      <c r="B106" s="227" t="s">
        <v>227</v>
      </c>
      <c r="C106" s="227" t="s">
        <v>243</v>
      </c>
      <c r="D106" s="228">
        <v>625</v>
      </c>
      <c r="E106" s="228">
        <v>20</v>
      </c>
      <c r="F106" s="231">
        <v>1272.5999999999999</v>
      </c>
      <c r="G106" s="231">
        <v>1268</v>
      </c>
      <c r="H106" s="228">
        <v>4.5999999999999996</v>
      </c>
      <c r="I106" s="229">
        <v>3.5999999999999999E-3</v>
      </c>
      <c r="J106" s="231">
        <v>1264.3</v>
      </c>
      <c r="K106" s="231">
        <v>1261.2</v>
      </c>
      <c r="L106" s="228">
        <v>3.1</v>
      </c>
      <c r="M106" s="229">
        <v>2.5000000000000001E-3</v>
      </c>
      <c r="N106" s="231">
        <v>1272.5999999999999</v>
      </c>
      <c r="O106" s="231">
        <v>1268</v>
      </c>
      <c r="P106" s="228">
        <v>4.5999999999999996</v>
      </c>
      <c r="Q106" s="229">
        <v>3.5999999999999999E-3</v>
      </c>
      <c r="R106" s="231">
        <v>1278.7</v>
      </c>
      <c r="S106" s="231">
        <v>1277.5</v>
      </c>
      <c r="T106" s="228">
        <v>1.2</v>
      </c>
      <c r="U106" s="229">
        <v>8.9999999999999998E-4</v>
      </c>
      <c r="V106" s="231">
        <v>1277</v>
      </c>
      <c r="W106" s="231">
        <v>1280</v>
      </c>
      <c r="X106" s="228">
        <v>-3</v>
      </c>
      <c r="Y106" s="229">
        <v>-2.3E-3</v>
      </c>
      <c r="Z106" s="228">
        <v>8.3000000000000007</v>
      </c>
      <c r="AA106" s="228">
        <v>6.8</v>
      </c>
      <c r="AB106" s="228">
        <v>1.5</v>
      </c>
      <c r="AC106" s="229">
        <v>6.6E-3</v>
      </c>
      <c r="AD106" s="228">
        <v>8.3000000000000007</v>
      </c>
      <c r="AE106" s="228">
        <v>6.8</v>
      </c>
      <c r="AF106" s="228">
        <v>1.5</v>
      </c>
      <c r="AG106" s="229">
        <v>6.6E-3</v>
      </c>
      <c r="AH106" s="228">
        <v>14.4</v>
      </c>
      <c r="AI106" s="228">
        <v>16.3</v>
      </c>
      <c r="AJ106" s="228">
        <v>-1.9</v>
      </c>
      <c r="AK106" s="229">
        <v>1.14E-2</v>
      </c>
      <c r="AL106" s="228">
        <v>12.7</v>
      </c>
      <c r="AM106" s="228">
        <v>18.8</v>
      </c>
      <c r="AN106" s="228">
        <v>-6.1</v>
      </c>
      <c r="AO106" s="229">
        <v>0.01</v>
      </c>
      <c r="AP106" s="231">
        <v>1269.04</v>
      </c>
      <c r="AQ106" s="231">
        <v>1275.53</v>
      </c>
      <c r="AR106" s="228">
        <v>0</v>
      </c>
      <c r="AS106" s="228">
        <v>229</v>
      </c>
      <c r="AT106" s="228">
        <v>301</v>
      </c>
      <c r="AU106" s="228">
        <v>-72</v>
      </c>
      <c r="AV106" s="229">
        <v>-0.23930000000000001</v>
      </c>
      <c r="AW106" s="228">
        <v>225</v>
      </c>
      <c r="AX106" s="228">
        <v>293</v>
      </c>
      <c r="AY106" s="228">
        <v>-68</v>
      </c>
      <c r="AZ106" s="229">
        <v>-0.2329</v>
      </c>
      <c r="BA106" s="228">
        <v>4</v>
      </c>
      <c r="BB106" s="228">
        <v>7</v>
      </c>
      <c r="BC106" s="228">
        <v>-3</v>
      </c>
      <c r="BD106" s="229">
        <v>-0.44940000000000002</v>
      </c>
      <c r="BE106" s="228">
        <v>0</v>
      </c>
      <c r="BF106" s="228">
        <v>1</v>
      </c>
      <c r="BG106" s="228">
        <v>-1</v>
      </c>
      <c r="BH106" s="229">
        <v>-0.875</v>
      </c>
      <c r="BI106" s="228">
        <v>708</v>
      </c>
      <c r="BJ106" s="230">
        <v>1585</v>
      </c>
      <c r="BK106" s="228">
        <v>-877</v>
      </c>
      <c r="BL106" s="229">
        <v>-0.55320000000000003</v>
      </c>
      <c r="BM106" s="228">
        <v>381</v>
      </c>
      <c r="BN106" s="228">
        <v>633</v>
      </c>
      <c r="BO106" s="228">
        <v>-253</v>
      </c>
      <c r="BP106" s="229">
        <v>-0.39900000000000002</v>
      </c>
      <c r="BQ106" s="230">
        <v>1318</v>
      </c>
      <c r="BR106" s="230">
        <v>2519</v>
      </c>
      <c r="BS106" s="230">
        <v>-1202</v>
      </c>
      <c r="BT106" s="229">
        <v>-0.47689999999999999</v>
      </c>
      <c r="BU106" s="230">
        <v>2065770</v>
      </c>
      <c r="BV106" s="230">
        <v>2587235</v>
      </c>
      <c r="BW106" s="230">
        <v>-521465</v>
      </c>
      <c r="BX106" s="229">
        <v>-0.2016</v>
      </c>
      <c r="BY106" s="230">
        <v>1617</v>
      </c>
      <c r="BZ106" s="230">
        <v>1647</v>
      </c>
      <c r="CA106" s="228">
        <v>-29</v>
      </c>
      <c r="CB106" s="229">
        <v>-1.7899999999999999E-2</v>
      </c>
      <c r="CC106" s="230">
        <v>1604</v>
      </c>
      <c r="CD106" s="230">
        <v>1635</v>
      </c>
      <c r="CE106" s="228">
        <v>-30</v>
      </c>
      <c r="CF106" s="229">
        <v>-1.8599999999999998E-2</v>
      </c>
      <c r="CG106" s="228">
        <v>12</v>
      </c>
      <c r="CH106" s="228">
        <v>11</v>
      </c>
      <c r="CI106" s="228">
        <v>1</v>
      </c>
      <c r="CJ106" s="229">
        <v>9.0200000000000002E-2</v>
      </c>
      <c r="CK106" s="228">
        <v>1</v>
      </c>
      <c r="CL106" s="228">
        <v>1</v>
      </c>
      <c r="CM106" s="228">
        <v>0</v>
      </c>
      <c r="CN106" s="229">
        <v>7.1400000000000005E-2</v>
      </c>
      <c r="CO106" s="228">
        <v>459</v>
      </c>
      <c r="CP106" s="228">
        <v>445</v>
      </c>
      <c r="CQ106" s="228">
        <v>14</v>
      </c>
      <c r="CR106" s="229">
        <v>3.2000000000000001E-2</v>
      </c>
      <c r="CS106" s="228">
        <v>331</v>
      </c>
      <c r="CT106" s="228">
        <v>316</v>
      </c>
      <c r="CU106" s="228">
        <v>16</v>
      </c>
      <c r="CV106" s="229">
        <v>4.9399999999999999E-2</v>
      </c>
      <c r="CW106" s="230">
        <v>2407</v>
      </c>
      <c r="CX106" s="230">
        <v>2407</v>
      </c>
      <c r="CY106" s="228">
        <v>0</v>
      </c>
      <c r="CZ106" s="229">
        <v>2.0000000000000001E-4</v>
      </c>
      <c r="DA106" s="228">
        <v>28.75</v>
      </c>
      <c r="DB106" s="228">
        <v>29.18</v>
      </c>
      <c r="DC106" s="228">
        <v>-0.43</v>
      </c>
      <c r="DD106" s="228">
        <v>-0.43</v>
      </c>
      <c r="DE106" s="228">
        <v>37.64</v>
      </c>
      <c r="DF106" s="228">
        <v>37.729999999999997</v>
      </c>
      <c r="DG106" s="228">
        <v>-8.89</v>
      </c>
      <c r="DH106" s="228">
        <v>-0.09</v>
      </c>
      <c r="DI106" s="228">
        <v>28.48</v>
      </c>
      <c r="DJ106" s="228">
        <v>28.96</v>
      </c>
      <c r="DK106" s="228">
        <v>-0.48</v>
      </c>
      <c r="DL106" s="228">
        <v>-0.48</v>
      </c>
      <c r="DM106" s="228">
        <v>29.26</v>
      </c>
      <c r="DN106" s="228">
        <v>29.71</v>
      </c>
      <c r="DO106" s="228">
        <v>-0.45</v>
      </c>
      <c r="DP106" s="228">
        <v>-0.45</v>
      </c>
      <c r="DQ106" s="228">
        <v>0.72</v>
      </c>
      <c r="DR106" s="228">
        <v>0.71</v>
      </c>
      <c r="DS106" s="228">
        <v>0.01</v>
      </c>
      <c r="DT106" s="229">
        <v>1.41E-2</v>
      </c>
      <c r="DU106" s="231">
        <v>1300</v>
      </c>
      <c r="DV106" s="231">
        <v>1200</v>
      </c>
      <c r="DW106" s="228">
        <v>0.54</v>
      </c>
      <c r="DX106" s="228">
        <v>0.4</v>
      </c>
      <c r="DY106" s="228">
        <v>0.14000000000000001</v>
      </c>
      <c r="DZ106" s="229">
        <v>0.35</v>
      </c>
      <c r="EA106" s="229">
        <v>7.9000000000000008E-3</v>
      </c>
      <c r="EB106" s="230">
        <v>91875</v>
      </c>
      <c r="EC106" s="229">
        <v>4.7999999999999996E-3</v>
      </c>
      <c r="ED106" s="229">
        <v>7.9000000000000008E-3</v>
      </c>
      <c r="EE106" s="228">
        <v>6.49</v>
      </c>
      <c r="EF106" s="229">
        <v>5.1000000000000004E-3</v>
      </c>
      <c r="EG106" s="230">
        <v>1200131</v>
      </c>
      <c r="EH106" s="230">
        <v>1274122</v>
      </c>
      <c r="EI106" s="229">
        <v>-5.8099999999999999E-2</v>
      </c>
      <c r="EJ106" s="229">
        <v>0.58099999999999996</v>
      </c>
      <c r="EK106" s="228">
        <v>734.21</v>
      </c>
      <c r="EL106" s="228">
        <v>379.69</v>
      </c>
      <c r="EM106" s="228">
        <v>228.45</v>
      </c>
      <c r="EN106" s="228">
        <v>53.56</v>
      </c>
      <c r="EO106" s="231">
        <v>1342.35</v>
      </c>
      <c r="EP106" s="231">
        <v>2586.96</v>
      </c>
      <c r="EQ106" s="231">
        <v>-1244.6099999999999</v>
      </c>
      <c r="ER106" s="229">
        <v>-0.48110000000000003</v>
      </c>
      <c r="ES106" s="228">
        <v>475.31</v>
      </c>
      <c r="ET106" s="228">
        <v>316.26</v>
      </c>
      <c r="EU106" s="231">
        <v>1617.14</v>
      </c>
      <c r="EV106" s="231">
        <v>45844541</v>
      </c>
      <c r="EW106" s="231">
        <v>2408.71</v>
      </c>
      <c r="EX106" s="231">
        <v>2401.4299999999998</v>
      </c>
      <c r="EY106" s="228">
        <v>7.28</v>
      </c>
      <c r="EZ106" s="229">
        <v>3.0000000000000001E-3</v>
      </c>
      <c r="FA106" s="229">
        <v>0.41260000000000002</v>
      </c>
      <c r="FB106" s="227" t="s">
        <v>691</v>
      </c>
      <c r="FC106">
        <f t="shared" si="1"/>
        <v>13</v>
      </c>
    </row>
    <row r="107" spans="1:159" ht="17.25" thickBot="1" x14ac:dyDescent="0.3">
      <c r="A107" s="226">
        <v>46148</v>
      </c>
      <c r="B107" s="227" t="s">
        <v>175</v>
      </c>
      <c r="C107" s="227" t="s">
        <v>569</v>
      </c>
      <c r="D107" s="228">
        <v>2350</v>
      </c>
      <c r="E107" s="228">
        <v>20</v>
      </c>
      <c r="F107" s="228">
        <v>254.02</v>
      </c>
      <c r="G107" s="228">
        <v>249.17</v>
      </c>
      <c r="H107" s="228">
        <v>4.8499999999999996</v>
      </c>
      <c r="I107" s="229">
        <v>1.95E-2</v>
      </c>
      <c r="J107" s="228">
        <v>252.44</v>
      </c>
      <c r="K107" s="228">
        <v>248.45</v>
      </c>
      <c r="L107" s="228">
        <v>3.99</v>
      </c>
      <c r="M107" s="229">
        <v>1.61E-2</v>
      </c>
      <c r="N107" s="228">
        <v>254.02</v>
      </c>
      <c r="O107" s="228">
        <v>249.17</v>
      </c>
      <c r="P107" s="228">
        <v>4.8499999999999996</v>
      </c>
      <c r="Q107" s="229">
        <v>1.95E-2</v>
      </c>
      <c r="R107" s="228">
        <v>255.67</v>
      </c>
      <c r="S107" s="228">
        <v>250.85</v>
      </c>
      <c r="T107" s="228">
        <v>4.82</v>
      </c>
      <c r="U107" s="229">
        <v>1.9199999999999998E-2</v>
      </c>
      <c r="V107" s="228">
        <v>257.17</v>
      </c>
      <c r="W107" s="228">
        <v>252.37</v>
      </c>
      <c r="X107" s="228">
        <v>4.8</v>
      </c>
      <c r="Y107" s="229">
        <v>1.9E-2</v>
      </c>
      <c r="Z107" s="228">
        <v>1.58</v>
      </c>
      <c r="AA107" s="228">
        <v>0.72</v>
      </c>
      <c r="AB107" s="228">
        <v>0.86</v>
      </c>
      <c r="AC107" s="229">
        <v>6.3E-3</v>
      </c>
      <c r="AD107" s="228">
        <v>1.58</v>
      </c>
      <c r="AE107" s="228">
        <v>0.72</v>
      </c>
      <c r="AF107" s="228">
        <v>0.86</v>
      </c>
      <c r="AG107" s="229">
        <v>6.3E-3</v>
      </c>
      <c r="AH107" s="228">
        <v>3.23</v>
      </c>
      <c r="AI107" s="228">
        <v>2.4</v>
      </c>
      <c r="AJ107" s="228">
        <v>0.83</v>
      </c>
      <c r="AK107" s="229">
        <v>1.2800000000000001E-2</v>
      </c>
      <c r="AL107" s="228">
        <v>4.7300000000000004</v>
      </c>
      <c r="AM107" s="228">
        <v>3.92</v>
      </c>
      <c r="AN107" s="228">
        <v>0.81</v>
      </c>
      <c r="AO107" s="229">
        <v>1.8700000000000001E-2</v>
      </c>
      <c r="AP107" s="228">
        <v>252.66</v>
      </c>
      <c r="AQ107" s="228">
        <v>254.34</v>
      </c>
      <c r="AR107" s="228">
        <v>0</v>
      </c>
      <c r="AS107" s="228">
        <v>556</v>
      </c>
      <c r="AT107" s="228">
        <v>475</v>
      </c>
      <c r="AU107" s="228">
        <v>81</v>
      </c>
      <c r="AV107" s="229">
        <v>0.16980000000000001</v>
      </c>
      <c r="AW107" s="228">
        <v>512</v>
      </c>
      <c r="AX107" s="228">
        <v>425</v>
      </c>
      <c r="AY107" s="228">
        <v>86</v>
      </c>
      <c r="AZ107" s="229">
        <v>0.2029</v>
      </c>
      <c r="BA107" s="228">
        <v>40</v>
      </c>
      <c r="BB107" s="228">
        <v>44</v>
      </c>
      <c r="BC107" s="228">
        <v>-4</v>
      </c>
      <c r="BD107" s="229">
        <v>-9.01E-2</v>
      </c>
      <c r="BE107" s="228">
        <v>4</v>
      </c>
      <c r="BF107" s="228">
        <v>5</v>
      </c>
      <c r="BG107" s="228">
        <v>-2</v>
      </c>
      <c r="BH107" s="229">
        <v>-0.32179999999999997</v>
      </c>
      <c r="BI107" s="230">
        <v>1373</v>
      </c>
      <c r="BJ107" s="230">
        <v>1109</v>
      </c>
      <c r="BK107" s="228">
        <v>263</v>
      </c>
      <c r="BL107" s="229">
        <v>0.23719999999999999</v>
      </c>
      <c r="BM107" s="228">
        <v>616</v>
      </c>
      <c r="BN107" s="228">
        <v>469</v>
      </c>
      <c r="BO107" s="228">
        <v>146</v>
      </c>
      <c r="BP107" s="229">
        <v>0.31130000000000002</v>
      </c>
      <c r="BQ107" s="230">
        <v>2544</v>
      </c>
      <c r="BR107" s="230">
        <v>2054</v>
      </c>
      <c r="BS107" s="228">
        <v>490</v>
      </c>
      <c r="BT107" s="229">
        <v>0.23849999999999999</v>
      </c>
      <c r="BU107" s="230">
        <v>15584287</v>
      </c>
      <c r="BV107" s="230">
        <v>17387599</v>
      </c>
      <c r="BW107" s="230">
        <v>-1803312</v>
      </c>
      <c r="BX107" s="229">
        <v>-0.1037</v>
      </c>
      <c r="BY107" s="230">
        <v>5021</v>
      </c>
      <c r="BZ107" s="230">
        <v>5091</v>
      </c>
      <c r="CA107" s="228">
        <v>-69</v>
      </c>
      <c r="CB107" s="229">
        <v>-1.3599999999999999E-2</v>
      </c>
      <c r="CC107" s="230">
        <v>4463</v>
      </c>
      <c r="CD107" s="230">
        <v>4545</v>
      </c>
      <c r="CE107" s="228">
        <v>-82</v>
      </c>
      <c r="CF107" s="229">
        <v>-1.7999999999999999E-2</v>
      </c>
      <c r="CG107" s="228">
        <v>543</v>
      </c>
      <c r="CH107" s="228">
        <v>531</v>
      </c>
      <c r="CI107" s="228">
        <v>12</v>
      </c>
      <c r="CJ107" s="229">
        <v>2.3E-2</v>
      </c>
      <c r="CK107" s="228">
        <v>15</v>
      </c>
      <c r="CL107" s="228">
        <v>15</v>
      </c>
      <c r="CM107" s="228">
        <v>0</v>
      </c>
      <c r="CN107" s="229">
        <v>2.4E-2</v>
      </c>
      <c r="CO107" s="230">
        <v>1586</v>
      </c>
      <c r="CP107" s="230">
        <v>1549</v>
      </c>
      <c r="CQ107" s="228">
        <v>37</v>
      </c>
      <c r="CR107" s="229">
        <v>2.4199999999999999E-2</v>
      </c>
      <c r="CS107" s="230">
        <v>1019</v>
      </c>
      <c r="CT107" s="228">
        <v>990</v>
      </c>
      <c r="CU107" s="228">
        <v>29</v>
      </c>
      <c r="CV107" s="229">
        <v>2.93E-2</v>
      </c>
      <c r="CW107" s="230">
        <v>7626</v>
      </c>
      <c r="CX107" s="230">
        <v>7629</v>
      </c>
      <c r="CY107" s="228">
        <v>-3</v>
      </c>
      <c r="CZ107" s="229">
        <v>-4.0000000000000002E-4</v>
      </c>
      <c r="DA107" s="228">
        <v>35.19</v>
      </c>
      <c r="DB107" s="228">
        <v>36.630000000000003</v>
      </c>
      <c r="DC107" s="228">
        <v>-1.44</v>
      </c>
      <c r="DD107" s="228">
        <v>-1.44</v>
      </c>
      <c r="DE107" s="228">
        <v>37.83</v>
      </c>
      <c r="DF107" s="228">
        <v>37.840000000000003</v>
      </c>
      <c r="DG107" s="228">
        <v>-2.64</v>
      </c>
      <c r="DH107" s="228">
        <v>-0.01</v>
      </c>
      <c r="DI107" s="228">
        <v>35.22</v>
      </c>
      <c r="DJ107" s="228">
        <v>36.82</v>
      </c>
      <c r="DK107" s="228">
        <v>-1.6</v>
      </c>
      <c r="DL107" s="228">
        <v>-1.6</v>
      </c>
      <c r="DM107" s="228">
        <v>35.130000000000003</v>
      </c>
      <c r="DN107" s="228">
        <v>36.19</v>
      </c>
      <c r="DO107" s="228">
        <v>-1.06</v>
      </c>
      <c r="DP107" s="228">
        <v>-1.06</v>
      </c>
      <c r="DQ107" s="228">
        <v>0.64</v>
      </c>
      <c r="DR107" s="228">
        <v>0.64</v>
      </c>
      <c r="DS107" s="228">
        <v>0</v>
      </c>
      <c r="DT107" s="229">
        <v>0</v>
      </c>
      <c r="DU107" s="228">
        <v>250</v>
      </c>
      <c r="DV107" s="228">
        <v>250</v>
      </c>
      <c r="DW107" s="228">
        <v>0.45</v>
      </c>
      <c r="DX107" s="228">
        <v>0.42</v>
      </c>
      <c r="DY107" s="228">
        <v>0.03</v>
      </c>
      <c r="DZ107" s="229">
        <v>7.1400000000000005E-2</v>
      </c>
      <c r="EA107" s="229">
        <v>0.11119999999999999</v>
      </c>
      <c r="EB107" s="230">
        <v>21493100</v>
      </c>
      <c r="EC107" s="229">
        <v>6.4999999999999997E-3</v>
      </c>
      <c r="ED107" s="229">
        <v>0.11119999999999999</v>
      </c>
      <c r="EE107" s="228">
        <v>1.68</v>
      </c>
      <c r="EF107" s="229">
        <v>6.6E-3</v>
      </c>
      <c r="EG107" s="230">
        <v>6213139</v>
      </c>
      <c r="EH107" s="230">
        <v>6490407</v>
      </c>
      <c r="EI107" s="229">
        <v>-4.2700000000000002E-2</v>
      </c>
      <c r="EJ107" s="229">
        <v>0.3987</v>
      </c>
      <c r="EK107" s="231">
        <v>1449.27</v>
      </c>
      <c r="EL107" s="228">
        <v>598.45000000000005</v>
      </c>
      <c r="EM107" s="228">
        <v>552.97</v>
      </c>
      <c r="EN107" s="228">
        <v>105.35</v>
      </c>
      <c r="EO107" s="231">
        <v>2600.69</v>
      </c>
      <c r="EP107" s="231">
        <v>2093.54</v>
      </c>
      <c r="EQ107" s="228">
        <v>507.15</v>
      </c>
      <c r="ER107" s="229">
        <v>0.2422</v>
      </c>
      <c r="ES107" s="231">
        <v>1648.57</v>
      </c>
      <c r="ET107" s="231">
        <v>1003.14</v>
      </c>
      <c r="EU107" s="231">
        <v>5025</v>
      </c>
      <c r="EV107" s="231">
        <v>490240515</v>
      </c>
      <c r="EW107" s="231">
        <v>7676.71</v>
      </c>
      <c r="EX107" s="231">
        <v>7576.69</v>
      </c>
      <c r="EY107" s="228">
        <v>100.02</v>
      </c>
      <c r="EZ107" s="229">
        <v>1.32E-2</v>
      </c>
      <c r="FA107" s="229">
        <v>0.61240000000000006</v>
      </c>
      <c r="FB107" s="227" t="s">
        <v>691</v>
      </c>
      <c r="FC107">
        <f t="shared" si="1"/>
        <v>558</v>
      </c>
    </row>
    <row r="108" spans="1:159" ht="17.25" thickBot="1" x14ac:dyDescent="0.3">
      <c r="A108" s="226">
        <v>46148</v>
      </c>
      <c r="B108" s="227" t="s">
        <v>161</v>
      </c>
      <c r="C108" s="227" t="s">
        <v>579</v>
      </c>
      <c r="D108" s="228">
        <v>1000</v>
      </c>
      <c r="E108" s="228">
        <v>20</v>
      </c>
      <c r="F108" s="228">
        <v>568.6</v>
      </c>
      <c r="G108" s="228">
        <v>564.29999999999995</v>
      </c>
      <c r="H108" s="228">
        <v>4.3</v>
      </c>
      <c r="I108" s="229">
        <v>7.6E-3</v>
      </c>
      <c r="J108" s="228">
        <v>567.9</v>
      </c>
      <c r="K108" s="228">
        <v>561.95000000000005</v>
      </c>
      <c r="L108" s="228">
        <v>5.95</v>
      </c>
      <c r="M108" s="229">
        <v>1.06E-2</v>
      </c>
      <c r="N108" s="228">
        <v>568.6</v>
      </c>
      <c r="O108" s="228">
        <v>564.29999999999995</v>
      </c>
      <c r="P108" s="228">
        <v>4.3</v>
      </c>
      <c r="Q108" s="229">
        <v>7.6E-3</v>
      </c>
      <c r="R108" s="228">
        <v>570.1</v>
      </c>
      <c r="S108" s="228">
        <v>567.15</v>
      </c>
      <c r="T108" s="228">
        <v>2.95</v>
      </c>
      <c r="U108" s="229">
        <v>5.1999999999999998E-3</v>
      </c>
      <c r="V108" s="228">
        <v>566</v>
      </c>
      <c r="W108" s="228">
        <v>566</v>
      </c>
      <c r="X108" s="228">
        <v>0</v>
      </c>
      <c r="Y108" s="229">
        <v>0</v>
      </c>
      <c r="Z108" s="228">
        <v>0.7</v>
      </c>
      <c r="AA108" s="228">
        <v>2.35</v>
      </c>
      <c r="AB108" s="228">
        <v>-1.65</v>
      </c>
      <c r="AC108" s="229">
        <v>1.1999999999999999E-3</v>
      </c>
      <c r="AD108" s="228">
        <v>0.7</v>
      </c>
      <c r="AE108" s="228">
        <v>2.35</v>
      </c>
      <c r="AF108" s="228">
        <v>-1.65</v>
      </c>
      <c r="AG108" s="229">
        <v>1.1999999999999999E-3</v>
      </c>
      <c r="AH108" s="228">
        <v>2.2000000000000002</v>
      </c>
      <c r="AI108" s="228">
        <v>5.2</v>
      </c>
      <c r="AJ108" s="228">
        <v>-3</v>
      </c>
      <c r="AK108" s="229">
        <v>3.8999999999999998E-3</v>
      </c>
      <c r="AL108" s="228">
        <v>-1.9</v>
      </c>
      <c r="AM108" s="228">
        <v>4.05</v>
      </c>
      <c r="AN108" s="228">
        <v>-5.95</v>
      </c>
      <c r="AO108" s="229">
        <v>-3.3E-3</v>
      </c>
      <c r="AP108" s="228">
        <v>568.92999999999995</v>
      </c>
      <c r="AQ108" s="228">
        <v>570.80999999999995</v>
      </c>
      <c r="AR108" s="228">
        <v>0</v>
      </c>
      <c r="AS108" s="228">
        <v>155</v>
      </c>
      <c r="AT108" s="228">
        <v>107</v>
      </c>
      <c r="AU108" s="228">
        <v>49</v>
      </c>
      <c r="AV108" s="229">
        <v>0.45760000000000001</v>
      </c>
      <c r="AW108" s="228">
        <v>151</v>
      </c>
      <c r="AX108" s="228">
        <v>103</v>
      </c>
      <c r="AY108" s="228">
        <v>47</v>
      </c>
      <c r="AZ108" s="229">
        <v>0.45600000000000002</v>
      </c>
      <c r="BA108" s="228">
        <v>5</v>
      </c>
      <c r="BB108" s="228">
        <v>3</v>
      </c>
      <c r="BC108" s="228">
        <v>2</v>
      </c>
      <c r="BD108" s="229">
        <v>0.59260000000000002</v>
      </c>
      <c r="BE108" s="228">
        <v>0</v>
      </c>
      <c r="BF108" s="228">
        <v>0</v>
      </c>
      <c r="BG108" s="228">
        <v>0</v>
      </c>
      <c r="BH108" s="229">
        <v>-1</v>
      </c>
      <c r="BI108" s="228">
        <v>246</v>
      </c>
      <c r="BJ108" s="228">
        <v>214</v>
      </c>
      <c r="BK108" s="228">
        <v>32</v>
      </c>
      <c r="BL108" s="229">
        <v>0.14979999999999999</v>
      </c>
      <c r="BM108" s="228">
        <v>102</v>
      </c>
      <c r="BN108" s="228">
        <v>67</v>
      </c>
      <c r="BO108" s="228">
        <v>35</v>
      </c>
      <c r="BP108" s="229">
        <v>0.5232</v>
      </c>
      <c r="BQ108" s="228">
        <v>504</v>
      </c>
      <c r="BR108" s="228">
        <v>388</v>
      </c>
      <c r="BS108" s="228">
        <v>116</v>
      </c>
      <c r="BT108" s="229">
        <v>0.29930000000000001</v>
      </c>
      <c r="BU108" s="230">
        <v>2103251</v>
      </c>
      <c r="BV108" s="230">
        <v>2171936</v>
      </c>
      <c r="BW108" s="230">
        <v>-68685</v>
      </c>
      <c r="BX108" s="229">
        <v>-3.1600000000000003E-2</v>
      </c>
      <c r="BY108" s="230">
        <v>1351</v>
      </c>
      <c r="BZ108" s="230">
        <v>1384</v>
      </c>
      <c r="CA108" s="228">
        <v>-32</v>
      </c>
      <c r="CB108" s="229">
        <v>-2.35E-2</v>
      </c>
      <c r="CC108" s="230">
        <v>1328</v>
      </c>
      <c r="CD108" s="230">
        <v>1361</v>
      </c>
      <c r="CE108" s="228">
        <v>-33</v>
      </c>
      <c r="CF108" s="229">
        <v>-2.3900000000000001E-2</v>
      </c>
      <c r="CG108" s="228">
        <v>23</v>
      </c>
      <c r="CH108" s="228">
        <v>23</v>
      </c>
      <c r="CI108" s="228">
        <v>0</v>
      </c>
      <c r="CJ108" s="229">
        <v>5.0000000000000001E-3</v>
      </c>
      <c r="CK108" s="228">
        <v>0</v>
      </c>
      <c r="CL108" s="228">
        <v>0</v>
      </c>
      <c r="CM108" s="228">
        <v>0</v>
      </c>
      <c r="CN108" s="229">
        <v>0</v>
      </c>
      <c r="CO108" s="228">
        <v>334</v>
      </c>
      <c r="CP108" s="228">
        <v>316</v>
      </c>
      <c r="CQ108" s="228">
        <v>17</v>
      </c>
      <c r="CR108" s="229">
        <v>5.4600000000000003E-2</v>
      </c>
      <c r="CS108" s="228">
        <v>229</v>
      </c>
      <c r="CT108" s="228">
        <v>218</v>
      </c>
      <c r="CU108" s="228">
        <v>12</v>
      </c>
      <c r="CV108" s="229">
        <v>5.3499999999999999E-2</v>
      </c>
      <c r="CW108" s="230">
        <v>1914</v>
      </c>
      <c r="CX108" s="230">
        <v>1918</v>
      </c>
      <c r="CY108" s="228">
        <v>-4</v>
      </c>
      <c r="CZ108" s="229">
        <v>-1.8E-3</v>
      </c>
      <c r="DA108" s="228">
        <v>38.51</v>
      </c>
      <c r="DB108" s="228">
        <v>38.74</v>
      </c>
      <c r="DC108" s="228">
        <v>-0.23</v>
      </c>
      <c r="DD108" s="228">
        <v>-0.23</v>
      </c>
      <c r="DE108" s="228">
        <v>42.78</v>
      </c>
      <c r="DF108" s="228">
        <v>42.87</v>
      </c>
      <c r="DG108" s="228">
        <v>-4.2699999999999996</v>
      </c>
      <c r="DH108" s="228">
        <v>-0.09</v>
      </c>
      <c r="DI108" s="228">
        <v>38.590000000000003</v>
      </c>
      <c r="DJ108" s="228">
        <v>38.67</v>
      </c>
      <c r="DK108" s="228">
        <v>-0.08</v>
      </c>
      <c r="DL108" s="228">
        <v>-0.08</v>
      </c>
      <c r="DM108" s="228">
        <v>38.31</v>
      </c>
      <c r="DN108" s="228">
        <v>38.94</v>
      </c>
      <c r="DO108" s="228">
        <v>-0.63</v>
      </c>
      <c r="DP108" s="228">
        <v>-0.63</v>
      </c>
      <c r="DQ108" s="228">
        <v>0.69</v>
      </c>
      <c r="DR108" s="228">
        <v>0.69</v>
      </c>
      <c r="DS108" s="228">
        <v>0</v>
      </c>
      <c r="DT108" s="229">
        <v>0</v>
      </c>
      <c r="DU108" s="228">
        <v>600</v>
      </c>
      <c r="DV108" s="228">
        <v>550</v>
      </c>
      <c r="DW108" s="228">
        <v>0.42</v>
      </c>
      <c r="DX108" s="228">
        <v>0.31</v>
      </c>
      <c r="DY108" s="228">
        <v>0.11</v>
      </c>
      <c r="DZ108" s="229">
        <v>0.3548</v>
      </c>
      <c r="EA108" s="229">
        <v>1.7100000000000001E-2</v>
      </c>
      <c r="EB108" s="230">
        <v>403450</v>
      </c>
      <c r="EC108" s="229">
        <v>2.5999999999999999E-3</v>
      </c>
      <c r="ED108" s="229">
        <v>1.7100000000000001E-2</v>
      </c>
      <c r="EE108" s="228">
        <v>1.88</v>
      </c>
      <c r="EF108" s="229">
        <v>3.3E-3</v>
      </c>
      <c r="EG108" s="230">
        <v>961576</v>
      </c>
      <c r="EH108" s="230">
        <v>977675</v>
      </c>
      <c r="EI108" s="229">
        <v>-1.6500000000000001E-2</v>
      </c>
      <c r="EJ108" s="229">
        <v>0.4572</v>
      </c>
      <c r="EK108" s="228">
        <v>259.41000000000003</v>
      </c>
      <c r="EL108" s="228">
        <v>102.72</v>
      </c>
      <c r="EM108" s="228">
        <v>155.5</v>
      </c>
      <c r="EN108" s="228">
        <v>32.770000000000003</v>
      </c>
      <c r="EO108" s="228">
        <v>517.64</v>
      </c>
      <c r="EP108" s="228">
        <v>397.5</v>
      </c>
      <c r="EQ108" s="228">
        <v>120.14</v>
      </c>
      <c r="ER108" s="229">
        <v>0.30220000000000002</v>
      </c>
      <c r="ES108" s="228">
        <v>344.33</v>
      </c>
      <c r="ET108" s="228">
        <v>216.5</v>
      </c>
      <c r="EU108" s="231">
        <v>1351.36</v>
      </c>
      <c r="EV108" s="231">
        <v>75294901</v>
      </c>
      <c r="EW108" s="231">
        <v>1912.19</v>
      </c>
      <c r="EX108" s="231">
        <v>1903.06</v>
      </c>
      <c r="EY108" s="228">
        <v>9.1300000000000008</v>
      </c>
      <c r="EZ108" s="229">
        <v>4.7999999999999996E-3</v>
      </c>
      <c r="FA108" s="229">
        <v>0.44719999999999999</v>
      </c>
      <c r="FB108" s="227" t="s">
        <v>691</v>
      </c>
      <c r="FC108">
        <f t="shared" si="1"/>
        <v>23</v>
      </c>
    </row>
    <row r="109" spans="1:159" ht="17.25" thickBot="1" x14ac:dyDescent="0.3">
      <c r="A109" s="226">
        <v>46148</v>
      </c>
      <c r="B109" s="227" t="s">
        <v>227</v>
      </c>
      <c r="C109" s="227" t="s">
        <v>244</v>
      </c>
      <c r="D109" s="228">
        <v>675</v>
      </c>
      <c r="E109" s="228">
        <v>20</v>
      </c>
      <c r="F109" s="231">
        <v>1280.5999999999999</v>
      </c>
      <c r="G109" s="231">
        <v>1259.2</v>
      </c>
      <c r="H109" s="228">
        <v>21.4</v>
      </c>
      <c r="I109" s="229">
        <v>1.7000000000000001E-2</v>
      </c>
      <c r="J109" s="231">
        <v>1273.3</v>
      </c>
      <c r="K109" s="231">
        <v>1252.4000000000001</v>
      </c>
      <c r="L109" s="228">
        <v>20.9</v>
      </c>
      <c r="M109" s="229">
        <v>1.67E-2</v>
      </c>
      <c r="N109" s="231">
        <v>1280.5999999999999</v>
      </c>
      <c r="O109" s="231">
        <v>1259.2</v>
      </c>
      <c r="P109" s="228">
        <v>21.4</v>
      </c>
      <c r="Q109" s="229">
        <v>1.7000000000000001E-2</v>
      </c>
      <c r="R109" s="231">
        <v>1287.9000000000001</v>
      </c>
      <c r="S109" s="231">
        <v>1268.4000000000001</v>
      </c>
      <c r="T109" s="228">
        <v>19.5</v>
      </c>
      <c r="U109" s="229">
        <v>1.54E-2</v>
      </c>
      <c r="V109" s="231">
        <v>1290.8</v>
      </c>
      <c r="W109" s="231">
        <v>1270.4000000000001</v>
      </c>
      <c r="X109" s="228">
        <v>20.399999999999999</v>
      </c>
      <c r="Y109" s="229">
        <v>1.61E-2</v>
      </c>
      <c r="Z109" s="228">
        <v>7.3</v>
      </c>
      <c r="AA109" s="228">
        <v>6.8</v>
      </c>
      <c r="AB109" s="228">
        <v>0.5</v>
      </c>
      <c r="AC109" s="229">
        <v>5.7000000000000002E-3</v>
      </c>
      <c r="AD109" s="228">
        <v>7.3</v>
      </c>
      <c r="AE109" s="228">
        <v>6.8</v>
      </c>
      <c r="AF109" s="228">
        <v>0.5</v>
      </c>
      <c r="AG109" s="229">
        <v>5.7000000000000002E-3</v>
      </c>
      <c r="AH109" s="228">
        <v>14.6</v>
      </c>
      <c r="AI109" s="228">
        <v>16</v>
      </c>
      <c r="AJ109" s="228">
        <v>-1.4</v>
      </c>
      <c r="AK109" s="229">
        <v>1.15E-2</v>
      </c>
      <c r="AL109" s="228">
        <v>17.5</v>
      </c>
      <c r="AM109" s="228">
        <v>18</v>
      </c>
      <c r="AN109" s="228">
        <v>-0.5</v>
      </c>
      <c r="AO109" s="229">
        <v>1.37E-2</v>
      </c>
      <c r="AP109" s="231">
        <v>1272.8900000000001</v>
      </c>
      <c r="AQ109" s="231">
        <v>1281.6099999999999</v>
      </c>
      <c r="AR109" s="228">
        <v>0</v>
      </c>
      <c r="AS109" s="228">
        <v>249</v>
      </c>
      <c r="AT109" s="228">
        <v>216</v>
      </c>
      <c r="AU109" s="228">
        <v>33</v>
      </c>
      <c r="AV109" s="229">
        <v>0.151</v>
      </c>
      <c r="AW109" s="228">
        <v>237</v>
      </c>
      <c r="AX109" s="228">
        <v>205</v>
      </c>
      <c r="AY109" s="228">
        <v>32</v>
      </c>
      <c r="AZ109" s="229">
        <v>0.15770000000000001</v>
      </c>
      <c r="BA109" s="228">
        <v>11</v>
      </c>
      <c r="BB109" s="228">
        <v>11</v>
      </c>
      <c r="BC109" s="228">
        <v>0</v>
      </c>
      <c r="BD109" s="229">
        <v>-3.1300000000000001E-2</v>
      </c>
      <c r="BE109" s="228">
        <v>1</v>
      </c>
      <c r="BF109" s="228">
        <v>0</v>
      </c>
      <c r="BG109" s="228">
        <v>1</v>
      </c>
      <c r="BH109" s="229">
        <v>2</v>
      </c>
      <c r="BI109" s="228">
        <v>477</v>
      </c>
      <c r="BJ109" s="228">
        <v>410</v>
      </c>
      <c r="BK109" s="228">
        <v>67</v>
      </c>
      <c r="BL109" s="229">
        <v>0.16289999999999999</v>
      </c>
      <c r="BM109" s="228">
        <v>270</v>
      </c>
      <c r="BN109" s="228">
        <v>357</v>
      </c>
      <c r="BO109" s="228">
        <v>-87</v>
      </c>
      <c r="BP109" s="229">
        <v>-0.24490000000000001</v>
      </c>
      <c r="BQ109" s="228">
        <v>996</v>
      </c>
      <c r="BR109" s="228">
        <v>984</v>
      </c>
      <c r="BS109" s="228">
        <v>12</v>
      </c>
      <c r="BT109" s="229">
        <v>1.2200000000000001E-2</v>
      </c>
      <c r="BU109" s="230">
        <v>1050744</v>
      </c>
      <c r="BV109" s="230">
        <v>1582943</v>
      </c>
      <c r="BW109" s="230">
        <v>-532199</v>
      </c>
      <c r="BX109" s="229">
        <v>-0.3362</v>
      </c>
      <c r="BY109" s="230">
        <v>6381</v>
      </c>
      <c r="BZ109" s="230">
        <v>6373</v>
      </c>
      <c r="CA109" s="228">
        <v>8</v>
      </c>
      <c r="CB109" s="229">
        <v>1.1999999999999999E-3</v>
      </c>
      <c r="CC109" s="230">
        <v>6237</v>
      </c>
      <c r="CD109" s="230">
        <v>6233</v>
      </c>
      <c r="CE109" s="228">
        <v>4</v>
      </c>
      <c r="CF109" s="229">
        <v>6.9999999999999999E-4</v>
      </c>
      <c r="CG109" s="228">
        <v>142</v>
      </c>
      <c r="CH109" s="228">
        <v>138</v>
      </c>
      <c r="CI109" s="228">
        <v>3</v>
      </c>
      <c r="CJ109" s="229">
        <v>2.5000000000000001E-2</v>
      </c>
      <c r="CK109" s="228">
        <v>2</v>
      </c>
      <c r="CL109" s="228">
        <v>2</v>
      </c>
      <c r="CM109" s="228">
        <v>0</v>
      </c>
      <c r="CN109" s="229">
        <v>9.5200000000000007E-2</v>
      </c>
      <c r="CO109" s="228">
        <v>582</v>
      </c>
      <c r="CP109" s="228">
        <v>616</v>
      </c>
      <c r="CQ109" s="228">
        <v>-34</v>
      </c>
      <c r="CR109" s="229">
        <v>-5.4800000000000001E-2</v>
      </c>
      <c r="CS109" s="228">
        <v>421</v>
      </c>
      <c r="CT109" s="228">
        <v>430</v>
      </c>
      <c r="CU109" s="228">
        <v>-8</v>
      </c>
      <c r="CV109" s="229">
        <v>-1.95E-2</v>
      </c>
      <c r="CW109" s="230">
        <v>7384</v>
      </c>
      <c r="CX109" s="230">
        <v>7418</v>
      </c>
      <c r="CY109" s="228">
        <v>-34</v>
      </c>
      <c r="CZ109" s="229">
        <v>-4.5999999999999999E-3</v>
      </c>
      <c r="DA109" s="228">
        <v>28.25</v>
      </c>
      <c r="DB109" s="228">
        <v>29.18</v>
      </c>
      <c r="DC109" s="228">
        <v>-0.93</v>
      </c>
      <c r="DD109" s="228">
        <v>-0.93</v>
      </c>
      <c r="DE109" s="228">
        <v>31.68</v>
      </c>
      <c r="DF109" s="228">
        <v>31.67</v>
      </c>
      <c r="DG109" s="228">
        <v>-3.43</v>
      </c>
      <c r="DH109" s="228">
        <v>0.01</v>
      </c>
      <c r="DI109" s="228">
        <v>28.09</v>
      </c>
      <c r="DJ109" s="228">
        <v>29.3</v>
      </c>
      <c r="DK109" s="228">
        <v>-1.21</v>
      </c>
      <c r="DL109" s="228">
        <v>-1.21</v>
      </c>
      <c r="DM109" s="228">
        <v>28.52</v>
      </c>
      <c r="DN109" s="228">
        <v>29.05</v>
      </c>
      <c r="DO109" s="228">
        <v>-0.53</v>
      </c>
      <c r="DP109" s="228">
        <v>-0.53</v>
      </c>
      <c r="DQ109" s="228">
        <v>0.72</v>
      </c>
      <c r="DR109" s="228">
        <v>0.7</v>
      </c>
      <c r="DS109" s="228">
        <v>0.02</v>
      </c>
      <c r="DT109" s="229">
        <v>2.86E-2</v>
      </c>
      <c r="DU109" s="231">
        <v>1300</v>
      </c>
      <c r="DV109" s="231">
        <v>1240</v>
      </c>
      <c r="DW109" s="228">
        <v>0.56999999999999995</v>
      </c>
      <c r="DX109" s="228">
        <v>0.87</v>
      </c>
      <c r="DY109" s="228">
        <v>-0.3</v>
      </c>
      <c r="DZ109" s="229">
        <v>-0.3448</v>
      </c>
      <c r="EA109" s="229">
        <v>2.2499999999999999E-2</v>
      </c>
      <c r="EB109" s="230">
        <v>1094175</v>
      </c>
      <c r="EC109" s="229">
        <v>5.7000000000000002E-3</v>
      </c>
      <c r="ED109" s="229">
        <v>2.2499999999999999E-2</v>
      </c>
      <c r="EE109" s="228">
        <v>8.7200000000000006</v>
      </c>
      <c r="EF109" s="229">
        <v>6.8999999999999999E-3</v>
      </c>
      <c r="EG109" s="230">
        <v>423730</v>
      </c>
      <c r="EH109" s="230">
        <v>701857</v>
      </c>
      <c r="EI109" s="229">
        <v>-0.39629999999999999</v>
      </c>
      <c r="EJ109" s="229">
        <v>0.40329999999999999</v>
      </c>
      <c r="EK109" s="228">
        <v>496.6</v>
      </c>
      <c r="EL109" s="228">
        <v>264.70999999999998</v>
      </c>
      <c r="EM109" s="228">
        <v>247.62</v>
      </c>
      <c r="EN109" s="228">
        <v>36.1</v>
      </c>
      <c r="EO109" s="231">
        <v>1008.93</v>
      </c>
      <c r="EP109" s="228">
        <v>994.84</v>
      </c>
      <c r="EQ109" s="228">
        <v>14.09</v>
      </c>
      <c r="ER109" s="229">
        <v>1.4200000000000001E-2</v>
      </c>
      <c r="ES109" s="228">
        <v>600.05999999999995</v>
      </c>
      <c r="ET109" s="228">
        <v>399.8</v>
      </c>
      <c r="EU109" s="231">
        <v>6381.6</v>
      </c>
      <c r="EV109" s="231">
        <v>133242960</v>
      </c>
      <c r="EW109" s="231">
        <v>7381.46</v>
      </c>
      <c r="EX109" s="231">
        <v>7308.11</v>
      </c>
      <c r="EY109" s="228">
        <v>73.349999999999994</v>
      </c>
      <c r="EZ109" s="229">
        <v>0.01</v>
      </c>
      <c r="FA109" s="229">
        <v>0.43280000000000002</v>
      </c>
      <c r="FB109" s="227" t="s">
        <v>555</v>
      </c>
      <c r="FC109">
        <f t="shared" si="1"/>
        <v>144</v>
      </c>
    </row>
    <row r="110" spans="1:159" ht="17.25" thickBot="1" x14ac:dyDescent="0.3">
      <c r="A110" s="226">
        <v>46148</v>
      </c>
      <c r="B110" s="227" t="s">
        <v>168</v>
      </c>
      <c r="C110" s="227" t="s">
        <v>245</v>
      </c>
      <c r="D110" s="228">
        <v>1250</v>
      </c>
      <c r="E110" s="228">
        <v>20</v>
      </c>
      <c r="F110" s="228">
        <v>473.9</v>
      </c>
      <c r="G110" s="228">
        <v>465.95</v>
      </c>
      <c r="H110" s="228">
        <v>7.95</v>
      </c>
      <c r="I110" s="229">
        <v>1.7100000000000001E-2</v>
      </c>
      <c r="J110" s="228">
        <v>471.25</v>
      </c>
      <c r="K110" s="228">
        <v>465.35</v>
      </c>
      <c r="L110" s="228">
        <v>5.9</v>
      </c>
      <c r="M110" s="229">
        <v>1.2699999999999999E-2</v>
      </c>
      <c r="N110" s="228">
        <v>473.9</v>
      </c>
      <c r="O110" s="228">
        <v>465.95</v>
      </c>
      <c r="P110" s="228">
        <v>7.95</v>
      </c>
      <c r="Q110" s="229">
        <v>1.7100000000000001E-2</v>
      </c>
      <c r="R110" s="228">
        <v>466.9</v>
      </c>
      <c r="S110" s="228">
        <v>458</v>
      </c>
      <c r="T110" s="228">
        <v>8.9</v>
      </c>
      <c r="U110" s="229">
        <v>1.9400000000000001E-2</v>
      </c>
      <c r="V110" s="228">
        <v>463.15</v>
      </c>
      <c r="W110" s="228">
        <v>453.05</v>
      </c>
      <c r="X110" s="228">
        <v>10.1</v>
      </c>
      <c r="Y110" s="229">
        <v>2.23E-2</v>
      </c>
      <c r="Z110" s="228">
        <v>2.65</v>
      </c>
      <c r="AA110" s="228">
        <v>0.6</v>
      </c>
      <c r="AB110" s="228">
        <v>2.0499999999999998</v>
      </c>
      <c r="AC110" s="229">
        <v>5.5999999999999999E-3</v>
      </c>
      <c r="AD110" s="228">
        <v>2.65</v>
      </c>
      <c r="AE110" s="228">
        <v>0.6</v>
      </c>
      <c r="AF110" s="228">
        <v>2.0499999999999998</v>
      </c>
      <c r="AG110" s="229">
        <v>5.5999999999999999E-3</v>
      </c>
      <c r="AH110" s="228">
        <v>-4.3499999999999996</v>
      </c>
      <c r="AI110" s="228">
        <v>-7.35</v>
      </c>
      <c r="AJ110" s="228">
        <v>3</v>
      </c>
      <c r="AK110" s="229">
        <v>-9.1999999999999998E-3</v>
      </c>
      <c r="AL110" s="228">
        <v>-8.1</v>
      </c>
      <c r="AM110" s="228">
        <v>-12.3</v>
      </c>
      <c r="AN110" s="228">
        <v>4.2</v>
      </c>
      <c r="AO110" s="229">
        <v>-1.72E-2</v>
      </c>
      <c r="AP110" s="228">
        <v>468.89</v>
      </c>
      <c r="AQ110" s="228">
        <v>460.66</v>
      </c>
      <c r="AR110" s="228">
        <v>0</v>
      </c>
      <c r="AS110" s="228">
        <v>233</v>
      </c>
      <c r="AT110" s="228">
        <v>95</v>
      </c>
      <c r="AU110" s="228">
        <v>139</v>
      </c>
      <c r="AV110" s="229">
        <v>1.4624999999999999</v>
      </c>
      <c r="AW110" s="228">
        <v>196</v>
      </c>
      <c r="AX110" s="228">
        <v>77</v>
      </c>
      <c r="AY110" s="228">
        <v>119</v>
      </c>
      <c r="AZ110" s="229">
        <v>1.5379</v>
      </c>
      <c r="BA110" s="228">
        <v>35</v>
      </c>
      <c r="BB110" s="228">
        <v>15</v>
      </c>
      <c r="BC110" s="228">
        <v>20</v>
      </c>
      <c r="BD110" s="229">
        <v>1.3268</v>
      </c>
      <c r="BE110" s="228">
        <v>2</v>
      </c>
      <c r="BF110" s="228">
        <v>2</v>
      </c>
      <c r="BG110" s="228">
        <v>0</v>
      </c>
      <c r="BH110" s="229">
        <v>-0.21049999999999999</v>
      </c>
      <c r="BI110" s="228">
        <v>363</v>
      </c>
      <c r="BJ110" s="228">
        <v>211</v>
      </c>
      <c r="BK110" s="228">
        <v>152</v>
      </c>
      <c r="BL110" s="229">
        <v>0.72299999999999998</v>
      </c>
      <c r="BM110" s="228">
        <v>104</v>
      </c>
      <c r="BN110" s="228">
        <v>74</v>
      </c>
      <c r="BO110" s="228">
        <v>30</v>
      </c>
      <c r="BP110" s="229">
        <v>0.40210000000000001</v>
      </c>
      <c r="BQ110" s="228">
        <v>701</v>
      </c>
      <c r="BR110" s="228">
        <v>380</v>
      </c>
      <c r="BS110" s="228">
        <v>321</v>
      </c>
      <c r="BT110" s="229">
        <v>0.84470000000000001</v>
      </c>
      <c r="BU110" s="230">
        <v>1662631</v>
      </c>
      <c r="BV110" s="230">
        <v>943037</v>
      </c>
      <c r="BW110" s="230">
        <v>719594</v>
      </c>
      <c r="BX110" s="229">
        <v>0.7631</v>
      </c>
      <c r="BY110" s="230">
        <v>1857</v>
      </c>
      <c r="BZ110" s="230">
        <v>1896</v>
      </c>
      <c r="CA110" s="228">
        <v>-40</v>
      </c>
      <c r="CB110" s="229">
        <v>-2.0899999999999998E-2</v>
      </c>
      <c r="CC110" s="230">
        <v>1765</v>
      </c>
      <c r="CD110" s="230">
        <v>1810</v>
      </c>
      <c r="CE110" s="228">
        <v>-45</v>
      </c>
      <c r="CF110" s="229">
        <v>-2.4899999999999999E-2</v>
      </c>
      <c r="CG110" s="228">
        <v>70</v>
      </c>
      <c r="CH110" s="228">
        <v>65</v>
      </c>
      <c r="CI110" s="228">
        <v>5</v>
      </c>
      <c r="CJ110" s="229">
        <v>8.1699999999999995E-2</v>
      </c>
      <c r="CK110" s="228">
        <v>22</v>
      </c>
      <c r="CL110" s="228">
        <v>22</v>
      </c>
      <c r="CM110" s="228">
        <v>0</v>
      </c>
      <c r="CN110" s="229">
        <v>5.4999999999999997E-3</v>
      </c>
      <c r="CO110" s="228">
        <v>334</v>
      </c>
      <c r="CP110" s="228">
        <v>317</v>
      </c>
      <c r="CQ110" s="228">
        <v>17</v>
      </c>
      <c r="CR110" s="229">
        <v>5.3600000000000002E-2</v>
      </c>
      <c r="CS110" s="228">
        <v>210</v>
      </c>
      <c r="CT110" s="228">
        <v>199</v>
      </c>
      <c r="CU110" s="228">
        <v>11</v>
      </c>
      <c r="CV110" s="229">
        <v>5.5300000000000002E-2</v>
      </c>
      <c r="CW110" s="230">
        <v>2401</v>
      </c>
      <c r="CX110" s="230">
        <v>2413</v>
      </c>
      <c r="CY110" s="228">
        <v>-12</v>
      </c>
      <c r="CZ110" s="229">
        <v>-4.7999999999999996E-3</v>
      </c>
      <c r="DA110" s="228">
        <v>37.729999999999997</v>
      </c>
      <c r="DB110" s="228">
        <v>39.08</v>
      </c>
      <c r="DC110" s="228">
        <v>-1.35</v>
      </c>
      <c r="DD110" s="228">
        <v>-1.35</v>
      </c>
      <c r="DE110" s="228">
        <v>38</v>
      </c>
      <c r="DF110" s="228">
        <v>38.06</v>
      </c>
      <c r="DG110" s="228">
        <v>-0.27</v>
      </c>
      <c r="DH110" s="228">
        <v>-0.06</v>
      </c>
      <c r="DI110" s="228">
        <v>37.020000000000003</v>
      </c>
      <c r="DJ110" s="228">
        <v>38.97</v>
      </c>
      <c r="DK110" s="228">
        <v>-1.95</v>
      </c>
      <c r="DL110" s="228">
        <v>-1.95</v>
      </c>
      <c r="DM110" s="228">
        <v>40.19</v>
      </c>
      <c r="DN110" s="228">
        <v>39.39</v>
      </c>
      <c r="DO110" s="228">
        <v>0.8</v>
      </c>
      <c r="DP110" s="228">
        <v>0.8</v>
      </c>
      <c r="DQ110" s="228">
        <v>0.63</v>
      </c>
      <c r="DR110" s="228">
        <v>0.63</v>
      </c>
      <c r="DS110" s="228">
        <v>0</v>
      </c>
      <c r="DT110" s="229">
        <v>0</v>
      </c>
      <c r="DU110" s="228">
        <v>500</v>
      </c>
      <c r="DV110" s="228">
        <v>500</v>
      </c>
      <c r="DW110" s="228">
        <v>0.28999999999999998</v>
      </c>
      <c r="DX110" s="228">
        <v>0.35</v>
      </c>
      <c r="DY110" s="228">
        <v>-0.06</v>
      </c>
      <c r="DZ110" s="229">
        <v>-0.1714</v>
      </c>
      <c r="EA110" s="229">
        <v>4.9399999999999999E-2</v>
      </c>
      <c r="EB110" s="230">
        <v>1820000</v>
      </c>
      <c r="EC110" s="229">
        <v>-1.4800000000000001E-2</v>
      </c>
      <c r="ED110" s="229">
        <v>4.9399999999999999E-2</v>
      </c>
      <c r="EE110" s="228">
        <v>-8.23</v>
      </c>
      <c r="EF110" s="229">
        <v>-1.7600000000000001E-2</v>
      </c>
      <c r="EG110" s="230">
        <v>714989</v>
      </c>
      <c r="EH110" s="230">
        <v>429959</v>
      </c>
      <c r="EI110" s="229">
        <v>0.66290000000000004</v>
      </c>
      <c r="EJ110" s="229">
        <v>0.43</v>
      </c>
      <c r="EK110" s="228">
        <v>382.81</v>
      </c>
      <c r="EL110" s="228">
        <v>99.71</v>
      </c>
      <c r="EM110" s="228">
        <v>230.27</v>
      </c>
      <c r="EN110" s="228">
        <v>22.46</v>
      </c>
      <c r="EO110" s="228">
        <v>712.79</v>
      </c>
      <c r="EP110" s="228">
        <v>390.97</v>
      </c>
      <c r="EQ110" s="228">
        <v>321.82</v>
      </c>
      <c r="ER110" s="229">
        <v>0.82310000000000005</v>
      </c>
      <c r="ES110" s="228">
        <v>348.02</v>
      </c>
      <c r="ET110" s="228">
        <v>205.41</v>
      </c>
      <c r="EU110" s="231">
        <v>1855.1</v>
      </c>
      <c r="EV110" s="231">
        <v>58777851</v>
      </c>
      <c r="EW110" s="231">
        <v>2408.52</v>
      </c>
      <c r="EX110" s="231">
        <v>2387.41</v>
      </c>
      <c r="EY110" s="228">
        <v>21.11</v>
      </c>
      <c r="EZ110" s="229">
        <v>8.8000000000000005E-3</v>
      </c>
      <c r="FA110" s="229">
        <v>0.86199999999999999</v>
      </c>
      <c r="FB110" s="227" t="s">
        <v>691</v>
      </c>
      <c r="FC110">
        <f t="shared" si="1"/>
        <v>92</v>
      </c>
    </row>
    <row r="111" spans="1:159" ht="17.25" thickBot="1" x14ac:dyDescent="0.3">
      <c r="A111" s="226">
        <v>46148</v>
      </c>
      <c r="B111" s="227" t="s">
        <v>168</v>
      </c>
      <c r="C111" s="227" t="s">
        <v>581</v>
      </c>
      <c r="D111" s="228">
        <v>1175</v>
      </c>
      <c r="E111" s="228">
        <v>20</v>
      </c>
      <c r="F111" s="228">
        <v>418.7</v>
      </c>
      <c r="G111" s="228">
        <v>409.05</v>
      </c>
      <c r="H111" s="228">
        <v>9.65</v>
      </c>
      <c r="I111" s="229">
        <v>2.3599999999999999E-2</v>
      </c>
      <c r="J111" s="228">
        <v>415.65</v>
      </c>
      <c r="K111" s="228">
        <v>406.6</v>
      </c>
      <c r="L111" s="228">
        <v>9.0500000000000007</v>
      </c>
      <c r="M111" s="229">
        <v>2.23E-2</v>
      </c>
      <c r="N111" s="228">
        <v>418.7</v>
      </c>
      <c r="O111" s="228">
        <v>409.05</v>
      </c>
      <c r="P111" s="228">
        <v>9.65</v>
      </c>
      <c r="Q111" s="229">
        <v>2.3599999999999999E-2</v>
      </c>
      <c r="R111" s="228">
        <v>420.85</v>
      </c>
      <c r="S111" s="228">
        <v>411.45</v>
      </c>
      <c r="T111" s="228">
        <v>9.4</v>
      </c>
      <c r="U111" s="229">
        <v>2.2800000000000001E-2</v>
      </c>
      <c r="V111" s="228">
        <v>422.5</v>
      </c>
      <c r="W111" s="228">
        <v>413.1</v>
      </c>
      <c r="X111" s="228">
        <v>9.4</v>
      </c>
      <c r="Y111" s="229">
        <v>2.2800000000000001E-2</v>
      </c>
      <c r="Z111" s="228">
        <v>3.05</v>
      </c>
      <c r="AA111" s="228">
        <v>2.4500000000000002</v>
      </c>
      <c r="AB111" s="228">
        <v>0.6</v>
      </c>
      <c r="AC111" s="229">
        <v>7.3000000000000001E-3</v>
      </c>
      <c r="AD111" s="228">
        <v>3.05</v>
      </c>
      <c r="AE111" s="228">
        <v>2.4500000000000002</v>
      </c>
      <c r="AF111" s="228">
        <v>0.6</v>
      </c>
      <c r="AG111" s="229">
        <v>7.3000000000000001E-3</v>
      </c>
      <c r="AH111" s="228">
        <v>5.2</v>
      </c>
      <c r="AI111" s="228">
        <v>4.8499999999999996</v>
      </c>
      <c r="AJ111" s="228">
        <v>0.35</v>
      </c>
      <c r="AK111" s="229">
        <v>1.2500000000000001E-2</v>
      </c>
      <c r="AL111" s="228">
        <v>6.85</v>
      </c>
      <c r="AM111" s="228">
        <v>6.5</v>
      </c>
      <c r="AN111" s="228">
        <v>0.35</v>
      </c>
      <c r="AO111" s="229">
        <v>1.6500000000000001E-2</v>
      </c>
      <c r="AP111" s="228">
        <v>415.89</v>
      </c>
      <c r="AQ111" s="228">
        <v>417.89</v>
      </c>
      <c r="AR111" s="228">
        <v>0</v>
      </c>
      <c r="AS111" s="228">
        <v>107</v>
      </c>
      <c r="AT111" s="228">
        <v>75</v>
      </c>
      <c r="AU111" s="228">
        <v>33</v>
      </c>
      <c r="AV111" s="229">
        <v>0.4355</v>
      </c>
      <c r="AW111" s="228">
        <v>100</v>
      </c>
      <c r="AX111" s="228">
        <v>71</v>
      </c>
      <c r="AY111" s="228">
        <v>29</v>
      </c>
      <c r="AZ111" s="229">
        <v>0.4153</v>
      </c>
      <c r="BA111" s="228">
        <v>6</v>
      </c>
      <c r="BB111" s="228">
        <v>4</v>
      </c>
      <c r="BC111" s="228">
        <v>3</v>
      </c>
      <c r="BD111" s="229">
        <v>0.75339999999999996</v>
      </c>
      <c r="BE111" s="228">
        <v>1</v>
      </c>
      <c r="BF111" s="228">
        <v>0</v>
      </c>
      <c r="BG111" s="228">
        <v>0</v>
      </c>
      <c r="BH111" s="229">
        <v>1.2857000000000001</v>
      </c>
      <c r="BI111" s="228">
        <v>376</v>
      </c>
      <c r="BJ111" s="228">
        <v>188</v>
      </c>
      <c r="BK111" s="228">
        <v>188</v>
      </c>
      <c r="BL111" s="229">
        <v>1.0025999999999999</v>
      </c>
      <c r="BM111" s="228">
        <v>127</v>
      </c>
      <c r="BN111" s="228">
        <v>84</v>
      </c>
      <c r="BO111" s="228">
        <v>42</v>
      </c>
      <c r="BP111" s="229">
        <v>0.50260000000000005</v>
      </c>
      <c r="BQ111" s="228">
        <v>611</v>
      </c>
      <c r="BR111" s="228">
        <v>347</v>
      </c>
      <c r="BS111" s="228">
        <v>264</v>
      </c>
      <c r="BT111" s="229">
        <v>0.75890000000000002</v>
      </c>
      <c r="BU111" s="230">
        <v>2626635</v>
      </c>
      <c r="BV111" s="230">
        <v>3406988</v>
      </c>
      <c r="BW111" s="230">
        <v>-780353</v>
      </c>
      <c r="BX111" s="229">
        <v>-0.22900000000000001</v>
      </c>
      <c r="BY111" s="230">
        <v>1153</v>
      </c>
      <c r="BZ111" s="230">
        <v>1124</v>
      </c>
      <c r="CA111" s="228">
        <v>28</v>
      </c>
      <c r="CB111" s="229">
        <v>2.5000000000000001E-2</v>
      </c>
      <c r="CC111" s="230">
        <v>1128</v>
      </c>
      <c r="CD111" s="230">
        <v>1103</v>
      </c>
      <c r="CE111" s="228">
        <v>25</v>
      </c>
      <c r="CF111" s="229">
        <v>2.2800000000000001E-2</v>
      </c>
      <c r="CG111" s="228">
        <v>24</v>
      </c>
      <c r="CH111" s="228">
        <v>21</v>
      </c>
      <c r="CI111" s="228">
        <v>2</v>
      </c>
      <c r="CJ111" s="229">
        <v>0.1132</v>
      </c>
      <c r="CK111" s="228">
        <v>1</v>
      </c>
      <c r="CL111" s="228">
        <v>1</v>
      </c>
      <c r="CM111" s="228">
        <v>1</v>
      </c>
      <c r="CN111" s="229">
        <v>1.1000000000000001</v>
      </c>
      <c r="CO111" s="228">
        <v>296</v>
      </c>
      <c r="CP111" s="228">
        <v>261</v>
      </c>
      <c r="CQ111" s="228">
        <v>35</v>
      </c>
      <c r="CR111" s="229">
        <v>0.1361</v>
      </c>
      <c r="CS111" s="228">
        <v>168</v>
      </c>
      <c r="CT111" s="228">
        <v>148</v>
      </c>
      <c r="CU111" s="228">
        <v>21</v>
      </c>
      <c r="CV111" s="229">
        <v>0.1396</v>
      </c>
      <c r="CW111" s="230">
        <v>1617</v>
      </c>
      <c r="CX111" s="230">
        <v>1533</v>
      </c>
      <c r="CY111" s="228">
        <v>84</v>
      </c>
      <c r="CZ111" s="229">
        <v>5.4899999999999997E-2</v>
      </c>
      <c r="DA111" s="228">
        <v>43.34</v>
      </c>
      <c r="DB111" s="228">
        <v>43.42</v>
      </c>
      <c r="DC111" s="228">
        <v>-0.08</v>
      </c>
      <c r="DD111" s="228">
        <v>-0.08</v>
      </c>
      <c r="DE111" s="228">
        <v>51.26</v>
      </c>
      <c r="DF111" s="228">
        <v>51.3</v>
      </c>
      <c r="DG111" s="228">
        <v>-7.92</v>
      </c>
      <c r="DH111" s="228">
        <v>-0.04</v>
      </c>
      <c r="DI111" s="228">
        <v>43.34</v>
      </c>
      <c r="DJ111" s="228">
        <v>43.33</v>
      </c>
      <c r="DK111" s="228">
        <v>0.01</v>
      </c>
      <c r="DL111" s="228">
        <v>0.01</v>
      </c>
      <c r="DM111" s="228">
        <v>43.33</v>
      </c>
      <c r="DN111" s="228">
        <v>43.63</v>
      </c>
      <c r="DO111" s="228">
        <v>-0.3</v>
      </c>
      <c r="DP111" s="228">
        <v>-0.3</v>
      </c>
      <c r="DQ111" s="228">
        <v>0.56999999999999995</v>
      </c>
      <c r="DR111" s="228">
        <v>0.56999999999999995</v>
      </c>
      <c r="DS111" s="228">
        <v>0</v>
      </c>
      <c r="DT111" s="229">
        <v>0</v>
      </c>
      <c r="DU111" s="228">
        <v>450</v>
      </c>
      <c r="DV111" s="228">
        <v>415</v>
      </c>
      <c r="DW111" s="228">
        <v>0.34</v>
      </c>
      <c r="DX111" s="228">
        <v>0.45</v>
      </c>
      <c r="DY111" s="228">
        <v>-0.11</v>
      </c>
      <c r="DZ111" s="229">
        <v>-0.24440000000000001</v>
      </c>
      <c r="EA111" s="229">
        <v>2.1600000000000001E-2</v>
      </c>
      <c r="EB111" s="230">
        <v>522275</v>
      </c>
      <c r="EC111" s="229">
        <v>5.1000000000000004E-3</v>
      </c>
      <c r="ED111" s="229">
        <v>2.1600000000000001E-2</v>
      </c>
      <c r="EE111" s="228">
        <v>2</v>
      </c>
      <c r="EF111" s="229">
        <v>4.7999999999999996E-3</v>
      </c>
      <c r="EG111" s="230">
        <v>1303940</v>
      </c>
      <c r="EH111" s="230">
        <v>1653731</v>
      </c>
      <c r="EI111" s="229">
        <v>-0.21149999999999999</v>
      </c>
      <c r="EJ111" s="229">
        <v>0.49640000000000001</v>
      </c>
      <c r="EK111" s="228">
        <v>401</v>
      </c>
      <c r="EL111" s="228">
        <v>125.78</v>
      </c>
      <c r="EM111" s="228">
        <v>106.78</v>
      </c>
      <c r="EN111" s="228">
        <v>20.6</v>
      </c>
      <c r="EO111" s="228">
        <v>633.57000000000005</v>
      </c>
      <c r="EP111" s="228">
        <v>355.88</v>
      </c>
      <c r="EQ111" s="228">
        <v>277.69</v>
      </c>
      <c r="ER111" s="229">
        <v>0.78029999999999999</v>
      </c>
      <c r="ES111" s="228">
        <v>312.67</v>
      </c>
      <c r="ET111" s="228">
        <v>164</v>
      </c>
      <c r="EU111" s="231">
        <v>1152.68</v>
      </c>
      <c r="EV111" s="231">
        <v>57686748</v>
      </c>
      <c r="EW111" s="231">
        <v>1629.35</v>
      </c>
      <c r="EX111" s="231">
        <v>1517.42</v>
      </c>
      <c r="EY111" s="228">
        <v>111.93</v>
      </c>
      <c r="EZ111" s="229">
        <v>7.3800000000000004E-2</v>
      </c>
      <c r="FA111" s="229">
        <v>0.6694</v>
      </c>
      <c r="FB111" s="227" t="s">
        <v>555</v>
      </c>
      <c r="FC111">
        <f t="shared" si="1"/>
        <v>25</v>
      </c>
    </row>
    <row r="112" spans="1:159" ht="17.25" thickBot="1" x14ac:dyDescent="0.3">
      <c r="A112" s="226">
        <v>46148</v>
      </c>
      <c r="B112" s="227" t="s">
        <v>184</v>
      </c>
      <c r="C112" s="227" t="s">
        <v>673</v>
      </c>
      <c r="D112" s="228">
        <v>100</v>
      </c>
      <c r="E112" s="228">
        <v>20</v>
      </c>
      <c r="F112" s="231">
        <v>4326</v>
      </c>
      <c r="G112" s="231">
        <v>4183.3999999999996</v>
      </c>
      <c r="H112" s="228">
        <v>142.6</v>
      </c>
      <c r="I112" s="229">
        <v>3.4099999999999998E-2</v>
      </c>
      <c r="J112" s="231">
        <v>4305.5</v>
      </c>
      <c r="K112" s="231">
        <v>4170.6000000000004</v>
      </c>
      <c r="L112" s="228">
        <v>134.9</v>
      </c>
      <c r="M112" s="229">
        <v>3.2300000000000002E-2</v>
      </c>
      <c r="N112" s="231">
        <v>4326</v>
      </c>
      <c r="O112" s="231">
        <v>4183.3999999999996</v>
      </c>
      <c r="P112" s="228">
        <v>142.6</v>
      </c>
      <c r="Q112" s="229">
        <v>3.4099999999999998E-2</v>
      </c>
      <c r="R112" s="231">
        <v>4303.7</v>
      </c>
      <c r="S112" s="231">
        <v>4153.8</v>
      </c>
      <c r="T112" s="228">
        <v>149.9</v>
      </c>
      <c r="U112" s="229">
        <v>3.61E-2</v>
      </c>
      <c r="V112" s="231">
        <v>4303.2</v>
      </c>
      <c r="W112" s="231">
        <v>4157.7</v>
      </c>
      <c r="X112" s="228">
        <v>145.5</v>
      </c>
      <c r="Y112" s="229">
        <v>3.5000000000000003E-2</v>
      </c>
      <c r="Z112" s="228">
        <v>20.5</v>
      </c>
      <c r="AA112" s="228">
        <v>12.8</v>
      </c>
      <c r="AB112" s="228">
        <v>7.7</v>
      </c>
      <c r="AC112" s="229">
        <v>4.7999999999999996E-3</v>
      </c>
      <c r="AD112" s="228">
        <v>20.5</v>
      </c>
      <c r="AE112" s="228">
        <v>12.8</v>
      </c>
      <c r="AF112" s="228">
        <v>7.7</v>
      </c>
      <c r="AG112" s="229">
        <v>4.7999999999999996E-3</v>
      </c>
      <c r="AH112" s="228">
        <v>-1.8</v>
      </c>
      <c r="AI112" s="228">
        <v>-16.8</v>
      </c>
      <c r="AJ112" s="228">
        <v>15</v>
      </c>
      <c r="AK112" s="229">
        <v>-4.0000000000000002E-4</v>
      </c>
      <c r="AL112" s="228">
        <v>-2.2999999999999998</v>
      </c>
      <c r="AM112" s="228">
        <v>-12.9</v>
      </c>
      <c r="AN112" s="228">
        <v>10.6</v>
      </c>
      <c r="AO112" s="229">
        <v>-5.0000000000000001E-4</v>
      </c>
      <c r="AP112" s="231">
        <v>4285.32</v>
      </c>
      <c r="AQ112" s="231">
        <v>4253.5</v>
      </c>
      <c r="AR112" s="228">
        <v>0</v>
      </c>
      <c r="AS112" s="228">
        <v>311</v>
      </c>
      <c r="AT112" s="228">
        <v>253</v>
      </c>
      <c r="AU112" s="228">
        <v>58</v>
      </c>
      <c r="AV112" s="229">
        <v>0.2291</v>
      </c>
      <c r="AW112" s="228">
        <v>274</v>
      </c>
      <c r="AX112" s="228">
        <v>233</v>
      </c>
      <c r="AY112" s="228">
        <v>40</v>
      </c>
      <c r="AZ112" s="229">
        <v>0.1721</v>
      </c>
      <c r="BA112" s="228">
        <v>36</v>
      </c>
      <c r="BB112" s="228">
        <v>18</v>
      </c>
      <c r="BC112" s="228">
        <v>18</v>
      </c>
      <c r="BD112" s="229">
        <v>0.95779999999999998</v>
      </c>
      <c r="BE112" s="228">
        <v>2</v>
      </c>
      <c r="BF112" s="228">
        <v>1</v>
      </c>
      <c r="BG112" s="228">
        <v>0</v>
      </c>
      <c r="BH112" s="229">
        <v>0.1176</v>
      </c>
      <c r="BI112" s="228">
        <v>778</v>
      </c>
      <c r="BJ112" s="228">
        <v>749</v>
      </c>
      <c r="BK112" s="228">
        <v>29</v>
      </c>
      <c r="BL112" s="229">
        <v>3.85E-2</v>
      </c>
      <c r="BM112" s="228">
        <v>299</v>
      </c>
      <c r="BN112" s="228">
        <v>259</v>
      </c>
      <c r="BO112" s="228">
        <v>40</v>
      </c>
      <c r="BP112" s="229">
        <v>0.15459999999999999</v>
      </c>
      <c r="BQ112" s="230">
        <v>1388</v>
      </c>
      <c r="BR112" s="230">
        <v>1262</v>
      </c>
      <c r="BS112" s="228">
        <v>127</v>
      </c>
      <c r="BT112" s="229">
        <v>0.10059999999999999</v>
      </c>
      <c r="BU112" s="230">
        <v>895949</v>
      </c>
      <c r="BV112" s="230">
        <v>866666</v>
      </c>
      <c r="BW112" s="230">
        <v>29283</v>
      </c>
      <c r="BX112" s="229">
        <v>3.3799999999999997E-2</v>
      </c>
      <c r="BY112" s="230">
        <v>1158</v>
      </c>
      <c r="BZ112" s="230">
        <v>1175</v>
      </c>
      <c r="CA112" s="228">
        <v>-18</v>
      </c>
      <c r="CB112" s="229">
        <v>-1.5100000000000001E-2</v>
      </c>
      <c r="CC112" s="230">
        <v>1080</v>
      </c>
      <c r="CD112" s="230">
        <v>1103</v>
      </c>
      <c r="CE112" s="228">
        <v>-23</v>
      </c>
      <c r="CF112" s="229">
        <v>-2.1000000000000001E-2</v>
      </c>
      <c r="CG112" s="228">
        <v>73</v>
      </c>
      <c r="CH112" s="228">
        <v>68</v>
      </c>
      <c r="CI112" s="228">
        <v>5</v>
      </c>
      <c r="CJ112" s="229">
        <v>7.0900000000000005E-2</v>
      </c>
      <c r="CK112" s="228">
        <v>5</v>
      </c>
      <c r="CL112" s="228">
        <v>4</v>
      </c>
      <c r="CM112" s="228">
        <v>1</v>
      </c>
      <c r="CN112" s="229">
        <v>0.129</v>
      </c>
      <c r="CO112" s="228">
        <v>435</v>
      </c>
      <c r="CP112" s="228">
        <v>462</v>
      </c>
      <c r="CQ112" s="228">
        <v>-28</v>
      </c>
      <c r="CR112" s="229">
        <v>-5.9900000000000002E-2</v>
      </c>
      <c r="CS112" s="228">
        <v>305</v>
      </c>
      <c r="CT112" s="228">
        <v>301</v>
      </c>
      <c r="CU112" s="228">
        <v>4</v>
      </c>
      <c r="CV112" s="229">
        <v>1.1599999999999999E-2</v>
      </c>
      <c r="CW112" s="230">
        <v>1897</v>
      </c>
      <c r="CX112" s="230">
        <v>1939</v>
      </c>
      <c r="CY112" s="228">
        <v>-42</v>
      </c>
      <c r="CZ112" s="229">
        <v>-2.1600000000000001E-2</v>
      </c>
      <c r="DA112" s="228">
        <v>50.8</v>
      </c>
      <c r="DB112" s="228">
        <v>53.9</v>
      </c>
      <c r="DC112" s="228">
        <v>-3.1</v>
      </c>
      <c r="DD112" s="228">
        <v>-3.1</v>
      </c>
      <c r="DE112" s="228">
        <v>60.21</v>
      </c>
      <c r="DF112" s="228">
        <v>60.19</v>
      </c>
      <c r="DG112" s="228">
        <v>-9.41</v>
      </c>
      <c r="DH112" s="228">
        <v>0.02</v>
      </c>
      <c r="DI112" s="228">
        <v>50.33</v>
      </c>
      <c r="DJ112" s="228">
        <v>53.82</v>
      </c>
      <c r="DK112" s="228">
        <v>-3.49</v>
      </c>
      <c r="DL112" s="228">
        <v>-3.49</v>
      </c>
      <c r="DM112" s="228">
        <v>52.01</v>
      </c>
      <c r="DN112" s="228">
        <v>54.11</v>
      </c>
      <c r="DO112" s="228">
        <v>-2.1</v>
      </c>
      <c r="DP112" s="228">
        <v>-2.1</v>
      </c>
      <c r="DQ112" s="228">
        <v>0.7</v>
      </c>
      <c r="DR112" s="228">
        <v>0.65</v>
      </c>
      <c r="DS112" s="228">
        <v>0.05</v>
      </c>
      <c r="DT112" s="229">
        <v>7.6899999999999996E-2</v>
      </c>
      <c r="DU112" s="231">
        <v>4500</v>
      </c>
      <c r="DV112" s="231">
        <v>4000</v>
      </c>
      <c r="DW112" s="228">
        <v>0.38</v>
      </c>
      <c r="DX112" s="228">
        <v>0.35</v>
      </c>
      <c r="DY112" s="228">
        <v>0.03</v>
      </c>
      <c r="DZ112" s="229">
        <v>8.5699999999999998E-2</v>
      </c>
      <c r="EA112" s="229">
        <v>6.7199999999999996E-2</v>
      </c>
      <c r="EB112" s="230">
        <v>167300</v>
      </c>
      <c r="EC112" s="229">
        <v>-5.1999999999999998E-3</v>
      </c>
      <c r="ED112" s="229">
        <v>6.7199999999999996E-2</v>
      </c>
      <c r="EE112" s="228">
        <v>-31.82</v>
      </c>
      <c r="EF112" s="229">
        <v>-7.4000000000000003E-3</v>
      </c>
      <c r="EG112" s="230">
        <v>286790</v>
      </c>
      <c r="EH112" s="230">
        <v>202271</v>
      </c>
      <c r="EI112" s="229">
        <v>0.41789999999999999</v>
      </c>
      <c r="EJ112" s="229">
        <v>0.3201</v>
      </c>
      <c r="EK112" s="228">
        <v>825.53</v>
      </c>
      <c r="EL112" s="228">
        <v>281.83</v>
      </c>
      <c r="EM112" s="228">
        <v>309.07</v>
      </c>
      <c r="EN112" s="228">
        <v>58.37</v>
      </c>
      <c r="EO112" s="231">
        <v>1416.43</v>
      </c>
      <c r="EP112" s="231">
        <v>1276.94</v>
      </c>
      <c r="EQ112" s="228">
        <v>139.49</v>
      </c>
      <c r="ER112" s="229">
        <v>0.10920000000000001</v>
      </c>
      <c r="ES112" s="228">
        <v>443.99</v>
      </c>
      <c r="ET112" s="228">
        <v>277.69</v>
      </c>
      <c r="EU112" s="231">
        <v>1157.1500000000001</v>
      </c>
      <c r="EV112" s="231">
        <v>4679418</v>
      </c>
      <c r="EW112" s="231">
        <v>1878.83</v>
      </c>
      <c r="EX112" s="231">
        <v>1876.47</v>
      </c>
      <c r="EY112" s="228">
        <v>2.36</v>
      </c>
      <c r="EZ112" s="229">
        <v>1.2999999999999999E-3</v>
      </c>
      <c r="FA112" s="229">
        <v>0.93720000000000003</v>
      </c>
      <c r="FB112" s="227" t="s">
        <v>691</v>
      </c>
      <c r="FC112">
        <f t="shared" si="1"/>
        <v>78</v>
      </c>
    </row>
    <row r="113" spans="1:159" ht="17.25" thickBot="1" x14ac:dyDescent="0.3">
      <c r="A113" s="226">
        <v>46148</v>
      </c>
      <c r="B113" s="227" t="s">
        <v>161</v>
      </c>
      <c r="C113" s="227" t="s">
        <v>609</v>
      </c>
      <c r="D113" s="228">
        <v>175</v>
      </c>
      <c r="E113" s="228">
        <v>20</v>
      </c>
      <c r="F113" s="231">
        <v>5180.2</v>
      </c>
      <c r="G113" s="231">
        <v>5046.8999999999996</v>
      </c>
      <c r="H113" s="228">
        <v>133.30000000000001</v>
      </c>
      <c r="I113" s="229">
        <v>2.64E-2</v>
      </c>
      <c r="J113" s="231">
        <v>5148.6000000000004</v>
      </c>
      <c r="K113" s="231">
        <v>5018.2</v>
      </c>
      <c r="L113" s="228">
        <v>130.4</v>
      </c>
      <c r="M113" s="229">
        <v>2.5999999999999999E-2</v>
      </c>
      <c r="N113" s="231">
        <v>5180.2</v>
      </c>
      <c r="O113" s="231">
        <v>5046.8999999999996</v>
      </c>
      <c r="P113" s="228">
        <v>133.30000000000001</v>
      </c>
      <c r="Q113" s="229">
        <v>2.64E-2</v>
      </c>
      <c r="R113" s="231">
        <v>5154.7</v>
      </c>
      <c r="S113" s="231">
        <v>5007.7</v>
      </c>
      <c r="T113" s="228">
        <v>147</v>
      </c>
      <c r="U113" s="229">
        <v>2.9399999999999999E-2</v>
      </c>
      <c r="V113" s="231">
        <v>5127.3999999999996</v>
      </c>
      <c r="W113" s="231">
        <v>4962.3999999999996</v>
      </c>
      <c r="X113" s="228">
        <v>165</v>
      </c>
      <c r="Y113" s="229">
        <v>3.3300000000000003E-2</v>
      </c>
      <c r="Z113" s="228">
        <v>31.6</v>
      </c>
      <c r="AA113" s="228">
        <v>28.7</v>
      </c>
      <c r="AB113" s="228">
        <v>2.9</v>
      </c>
      <c r="AC113" s="229">
        <v>6.1000000000000004E-3</v>
      </c>
      <c r="AD113" s="228">
        <v>31.6</v>
      </c>
      <c r="AE113" s="228">
        <v>28.7</v>
      </c>
      <c r="AF113" s="228">
        <v>2.9</v>
      </c>
      <c r="AG113" s="229">
        <v>6.1000000000000004E-3</v>
      </c>
      <c r="AH113" s="228">
        <v>6.1</v>
      </c>
      <c r="AI113" s="228">
        <v>-10.5</v>
      </c>
      <c r="AJ113" s="228">
        <v>16.600000000000001</v>
      </c>
      <c r="AK113" s="229">
        <v>1.1999999999999999E-3</v>
      </c>
      <c r="AL113" s="228">
        <v>-21.2</v>
      </c>
      <c r="AM113" s="228">
        <v>-55.8</v>
      </c>
      <c r="AN113" s="228">
        <v>34.6</v>
      </c>
      <c r="AO113" s="229">
        <v>-4.1000000000000003E-3</v>
      </c>
      <c r="AP113" s="231">
        <v>5179.47</v>
      </c>
      <c r="AQ113" s="231">
        <v>5154.83</v>
      </c>
      <c r="AR113" s="228">
        <v>0</v>
      </c>
      <c r="AS113" s="228">
        <v>357</v>
      </c>
      <c r="AT113" s="228">
        <v>973</v>
      </c>
      <c r="AU113" s="228">
        <v>-616</v>
      </c>
      <c r="AV113" s="229">
        <v>-0.63300000000000001</v>
      </c>
      <c r="AW113" s="228">
        <v>338</v>
      </c>
      <c r="AX113" s="228">
        <v>951</v>
      </c>
      <c r="AY113" s="228">
        <v>-612</v>
      </c>
      <c r="AZ113" s="229">
        <v>-0.64419999999999999</v>
      </c>
      <c r="BA113" s="228">
        <v>17</v>
      </c>
      <c r="BB113" s="228">
        <v>18</v>
      </c>
      <c r="BC113" s="228">
        <v>-1</v>
      </c>
      <c r="BD113" s="229">
        <v>-7.3899999999999993E-2</v>
      </c>
      <c r="BE113" s="228">
        <v>2</v>
      </c>
      <c r="BF113" s="228">
        <v>4</v>
      </c>
      <c r="BG113" s="228">
        <v>-2</v>
      </c>
      <c r="BH113" s="229">
        <v>-0.55100000000000005</v>
      </c>
      <c r="BI113" s="230">
        <v>1540</v>
      </c>
      <c r="BJ113" s="230">
        <v>3709</v>
      </c>
      <c r="BK113" s="230">
        <v>-2169</v>
      </c>
      <c r="BL113" s="229">
        <v>-0.58489999999999998</v>
      </c>
      <c r="BM113" s="228">
        <v>690</v>
      </c>
      <c r="BN113" s="230">
        <v>2441</v>
      </c>
      <c r="BO113" s="230">
        <v>-1751</v>
      </c>
      <c r="BP113" s="229">
        <v>-0.71740000000000004</v>
      </c>
      <c r="BQ113" s="230">
        <v>2587</v>
      </c>
      <c r="BR113" s="230">
        <v>7123</v>
      </c>
      <c r="BS113" s="230">
        <v>-4536</v>
      </c>
      <c r="BT113" s="229">
        <v>-0.63690000000000002</v>
      </c>
      <c r="BU113" s="230">
        <v>623820</v>
      </c>
      <c r="BV113" s="230">
        <v>1943861</v>
      </c>
      <c r="BW113" s="230">
        <v>-1320041</v>
      </c>
      <c r="BX113" s="229">
        <v>-0.67910000000000004</v>
      </c>
      <c r="BY113" s="228">
        <v>873</v>
      </c>
      <c r="BZ113" s="228">
        <v>883</v>
      </c>
      <c r="CA113" s="228">
        <v>-10</v>
      </c>
      <c r="CB113" s="229">
        <v>-1.1299999999999999E-2</v>
      </c>
      <c r="CC113" s="228">
        <v>855</v>
      </c>
      <c r="CD113" s="228">
        <v>867</v>
      </c>
      <c r="CE113" s="228">
        <v>-12</v>
      </c>
      <c r="CF113" s="229">
        <v>-1.37E-2</v>
      </c>
      <c r="CG113" s="228">
        <v>16</v>
      </c>
      <c r="CH113" s="228">
        <v>13</v>
      </c>
      <c r="CI113" s="228">
        <v>2</v>
      </c>
      <c r="CJ113" s="229">
        <v>0.16220000000000001</v>
      </c>
      <c r="CK113" s="228">
        <v>2</v>
      </c>
      <c r="CL113" s="228">
        <v>2</v>
      </c>
      <c r="CM113" s="228">
        <v>0</v>
      </c>
      <c r="CN113" s="229">
        <v>-0.1111</v>
      </c>
      <c r="CO113" s="228">
        <v>376</v>
      </c>
      <c r="CP113" s="228">
        <v>389</v>
      </c>
      <c r="CQ113" s="228">
        <v>-13</v>
      </c>
      <c r="CR113" s="229">
        <v>-3.3599999999999998E-2</v>
      </c>
      <c r="CS113" s="228">
        <v>304</v>
      </c>
      <c r="CT113" s="228">
        <v>297</v>
      </c>
      <c r="CU113" s="228">
        <v>7</v>
      </c>
      <c r="CV113" s="229">
        <v>2.2599999999999999E-2</v>
      </c>
      <c r="CW113" s="230">
        <v>1553</v>
      </c>
      <c r="CX113" s="230">
        <v>1569</v>
      </c>
      <c r="CY113" s="228">
        <v>-16</v>
      </c>
      <c r="CZ113" s="229">
        <v>-1.04E-2</v>
      </c>
      <c r="DA113" s="228">
        <v>36.19</v>
      </c>
      <c r="DB113" s="228">
        <v>38.909999999999997</v>
      </c>
      <c r="DC113" s="228">
        <v>-2.72</v>
      </c>
      <c r="DD113" s="228">
        <v>-2.72</v>
      </c>
      <c r="DE113" s="228">
        <v>45.96</v>
      </c>
      <c r="DF113" s="228">
        <v>45.94</v>
      </c>
      <c r="DG113" s="228">
        <v>-9.77</v>
      </c>
      <c r="DH113" s="228">
        <v>0.02</v>
      </c>
      <c r="DI113" s="228">
        <v>35</v>
      </c>
      <c r="DJ113" s="228">
        <v>37.72</v>
      </c>
      <c r="DK113" s="228">
        <v>-2.72</v>
      </c>
      <c r="DL113" s="228">
        <v>-2.72</v>
      </c>
      <c r="DM113" s="228">
        <v>38.82</v>
      </c>
      <c r="DN113" s="228">
        <v>40.729999999999997</v>
      </c>
      <c r="DO113" s="228">
        <v>-1.91</v>
      </c>
      <c r="DP113" s="228">
        <v>-1.91</v>
      </c>
      <c r="DQ113" s="228">
        <v>0.81</v>
      </c>
      <c r="DR113" s="228">
        <v>0.76</v>
      </c>
      <c r="DS113" s="228">
        <v>0.05</v>
      </c>
      <c r="DT113" s="229">
        <v>6.5799999999999997E-2</v>
      </c>
      <c r="DU113" s="231">
        <v>5500</v>
      </c>
      <c r="DV113" s="231">
        <v>4800</v>
      </c>
      <c r="DW113" s="228">
        <v>0.45</v>
      </c>
      <c r="DX113" s="228">
        <v>0.66</v>
      </c>
      <c r="DY113" s="228">
        <v>-0.21</v>
      </c>
      <c r="DZ113" s="229">
        <v>-0.31819999999999998</v>
      </c>
      <c r="EA113" s="229">
        <v>2.0400000000000001E-2</v>
      </c>
      <c r="EB113" s="230">
        <v>30625</v>
      </c>
      <c r="EC113" s="229">
        <v>-4.8999999999999998E-3</v>
      </c>
      <c r="ED113" s="229">
        <v>2.0400000000000001E-2</v>
      </c>
      <c r="EE113" s="228">
        <v>-24.64</v>
      </c>
      <c r="EF113" s="229">
        <v>-4.7999999999999996E-3</v>
      </c>
      <c r="EG113" s="230">
        <v>187891</v>
      </c>
      <c r="EH113" s="230">
        <v>441938</v>
      </c>
      <c r="EI113" s="229">
        <v>-0.57479999999999998</v>
      </c>
      <c r="EJ113" s="229">
        <v>0.30120000000000002</v>
      </c>
      <c r="EK113" s="231">
        <v>1616.93</v>
      </c>
      <c r="EL113" s="228">
        <v>650.52</v>
      </c>
      <c r="EM113" s="228">
        <v>357.11</v>
      </c>
      <c r="EN113" s="228">
        <v>52.6</v>
      </c>
      <c r="EO113" s="231">
        <v>2624.56</v>
      </c>
      <c r="EP113" s="231">
        <v>6976.58</v>
      </c>
      <c r="EQ113" s="231">
        <v>-4352.0200000000004</v>
      </c>
      <c r="ER113" s="229">
        <v>-0.62380000000000002</v>
      </c>
      <c r="ES113" s="228">
        <v>382.32</v>
      </c>
      <c r="ET113" s="228">
        <v>277.31</v>
      </c>
      <c r="EU113" s="228">
        <v>872.53</v>
      </c>
      <c r="EV113" s="231">
        <v>9320940</v>
      </c>
      <c r="EW113" s="231">
        <v>1532.16</v>
      </c>
      <c r="EX113" s="231">
        <v>1520.54</v>
      </c>
      <c r="EY113" s="228">
        <v>11.62</v>
      </c>
      <c r="EZ113" s="229">
        <v>7.6E-3</v>
      </c>
      <c r="FA113" s="229">
        <v>0.32150000000000001</v>
      </c>
      <c r="FB113" s="227" t="s">
        <v>691</v>
      </c>
      <c r="FC113">
        <f t="shared" si="1"/>
        <v>18</v>
      </c>
    </row>
    <row r="114" spans="1:159" ht="17.25" thickBot="1" x14ac:dyDescent="0.3">
      <c r="A114" s="226">
        <v>46148</v>
      </c>
      <c r="B114" s="227" t="s">
        <v>175</v>
      </c>
      <c r="C114" s="227" t="s">
        <v>679</v>
      </c>
      <c r="D114" s="228">
        <v>500</v>
      </c>
      <c r="E114" s="228">
        <v>20</v>
      </c>
      <c r="F114" s="228">
        <v>912.05</v>
      </c>
      <c r="G114" s="228">
        <v>888.15</v>
      </c>
      <c r="H114" s="228">
        <v>23.9</v>
      </c>
      <c r="I114" s="229">
        <v>2.69E-2</v>
      </c>
      <c r="J114" s="228">
        <v>912.5</v>
      </c>
      <c r="K114" s="228">
        <v>896.4</v>
      </c>
      <c r="L114" s="228">
        <v>16.100000000000001</v>
      </c>
      <c r="M114" s="229">
        <v>1.7999999999999999E-2</v>
      </c>
      <c r="N114" s="228">
        <v>912.05</v>
      </c>
      <c r="O114" s="228">
        <v>888.15</v>
      </c>
      <c r="P114" s="228">
        <v>23.9</v>
      </c>
      <c r="Q114" s="229">
        <v>2.69E-2</v>
      </c>
      <c r="R114" s="228">
        <v>895.35</v>
      </c>
      <c r="S114" s="228">
        <v>864.6</v>
      </c>
      <c r="T114" s="228">
        <v>30.75</v>
      </c>
      <c r="U114" s="229">
        <v>3.56E-2</v>
      </c>
      <c r="V114" s="228">
        <v>885.95</v>
      </c>
      <c r="W114" s="228">
        <v>850</v>
      </c>
      <c r="X114" s="228">
        <v>35.950000000000003</v>
      </c>
      <c r="Y114" s="229">
        <v>4.2299999999999997E-2</v>
      </c>
      <c r="Z114" s="228">
        <v>-0.45</v>
      </c>
      <c r="AA114" s="228">
        <v>-8.25</v>
      </c>
      <c r="AB114" s="228">
        <v>7.8</v>
      </c>
      <c r="AC114" s="229">
        <v>-5.0000000000000001E-4</v>
      </c>
      <c r="AD114" s="228">
        <v>-0.45</v>
      </c>
      <c r="AE114" s="228">
        <v>-8.25</v>
      </c>
      <c r="AF114" s="228">
        <v>7.8</v>
      </c>
      <c r="AG114" s="229">
        <v>-5.0000000000000001E-4</v>
      </c>
      <c r="AH114" s="228">
        <v>-17.149999999999999</v>
      </c>
      <c r="AI114" s="228">
        <v>-31.8</v>
      </c>
      <c r="AJ114" s="228">
        <v>14.65</v>
      </c>
      <c r="AK114" s="229">
        <v>-1.8800000000000001E-2</v>
      </c>
      <c r="AL114" s="228">
        <v>-26.55</v>
      </c>
      <c r="AM114" s="228">
        <v>-46.4</v>
      </c>
      <c r="AN114" s="228">
        <v>19.850000000000001</v>
      </c>
      <c r="AO114" s="229">
        <v>-2.9100000000000001E-2</v>
      </c>
      <c r="AP114" s="228">
        <v>899.84</v>
      </c>
      <c r="AQ114" s="228">
        <v>878.81</v>
      </c>
      <c r="AR114" s="228">
        <v>0</v>
      </c>
      <c r="AS114" s="228">
        <v>148</v>
      </c>
      <c r="AT114" s="228">
        <v>295</v>
      </c>
      <c r="AU114" s="228">
        <v>-147</v>
      </c>
      <c r="AV114" s="229">
        <v>-0.49919999999999998</v>
      </c>
      <c r="AW114" s="228">
        <v>122</v>
      </c>
      <c r="AX114" s="228">
        <v>266</v>
      </c>
      <c r="AY114" s="228">
        <v>-144</v>
      </c>
      <c r="AZ114" s="229">
        <v>-0.54169999999999996</v>
      </c>
      <c r="BA114" s="228">
        <v>24</v>
      </c>
      <c r="BB114" s="228">
        <v>26</v>
      </c>
      <c r="BC114" s="228">
        <v>-2</v>
      </c>
      <c r="BD114" s="229">
        <v>-9.1499999999999998E-2</v>
      </c>
      <c r="BE114" s="228">
        <v>2</v>
      </c>
      <c r="BF114" s="228">
        <v>2</v>
      </c>
      <c r="BG114" s="228">
        <v>-1</v>
      </c>
      <c r="BH114" s="229">
        <v>-0.28299999999999997</v>
      </c>
      <c r="BI114" s="228">
        <v>382</v>
      </c>
      <c r="BJ114" s="230">
        <v>1042</v>
      </c>
      <c r="BK114" s="228">
        <v>-660</v>
      </c>
      <c r="BL114" s="229">
        <v>-0.63300000000000001</v>
      </c>
      <c r="BM114" s="228">
        <v>163</v>
      </c>
      <c r="BN114" s="228">
        <v>496</v>
      </c>
      <c r="BO114" s="228">
        <v>-333</v>
      </c>
      <c r="BP114" s="229">
        <v>-0.67090000000000005</v>
      </c>
      <c r="BQ114" s="228">
        <v>693</v>
      </c>
      <c r="BR114" s="230">
        <v>1833</v>
      </c>
      <c r="BS114" s="230">
        <v>-1139</v>
      </c>
      <c r="BT114" s="229">
        <v>-0.62180000000000002</v>
      </c>
      <c r="BU114" s="230">
        <v>987787</v>
      </c>
      <c r="BV114" s="230">
        <v>2444278</v>
      </c>
      <c r="BW114" s="230">
        <v>-1456491</v>
      </c>
      <c r="BX114" s="229">
        <v>-0.59589999999999999</v>
      </c>
      <c r="BY114" s="228">
        <v>515</v>
      </c>
      <c r="BZ114" s="228">
        <v>523</v>
      </c>
      <c r="CA114" s="228">
        <v>-8</v>
      </c>
      <c r="CB114" s="229">
        <v>-1.44E-2</v>
      </c>
      <c r="CC114" s="228">
        <v>451</v>
      </c>
      <c r="CD114" s="228">
        <v>467</v>
      </c>
      <c r="CE114" s="228">
        <v>-16</v>
      </c>
      <c r="CF114" s="229">
        <v>-3.32E-2</v>
      </c>
      <c r="CG114" s="228">
        <v>55</v>
      </c>
      <c r="CH114" s="228">
        <v>47</v>
      </c>
      <c r="CI114" s="228">
        <v>8</v>
      </c>
      <c r="CJ114" s="229">
        <v>0.16470000000000001</v>
      </c>
      <c r="CK114" s="228">
        <v>9</v>
      </c>
      <c r="CL114" s="228">
        <v>9</v>
      </c>
      <c r="CM114" s="228">
        <v>0</v>
      </c>
      <c r="CN114" s="229">
        <v>1.7999999999999999E-2</v>
      </c>
      <c r="CO114" s="228">
        <v>315</v>
      </c>
      <c r="CP114" s="228">
        <v>396</v>
      </c>
      <c r="CQ114" s="228">
        <v>-81</v>
      </c>
      <c r="CR114" s="229">
        <v>-0.20549999999999999</v>
      </c>
      <c r="CS114" s="228">
        <v>218</v>
      </c>
      <c r="CT114" s="228">
        <v>232</v>
      </c>
      <c r="CU114" s="228">
        <v>-14</v>
      </c>
      <c r="CV114" s="229">
        <v>-5.9499999999999997E-2</v>
      </c>
      <c r="CW114" s="230">
        <v>1049</v>
      </c>
      <c r="CX114" s="230">
        <v>1151</v>
      </c>
      <c r="CY114" s="228">
        <v>-103</v>
      </c>
      <c r="CZ114" s="229">
        <v>-8.9300000000000004E-2</v>
      </c>
      <c r="DA114" s="228">
        <v>37.5</v>
      </c>
      <c r="DB114" s="228">
        <v>41</v>
      </c>
      <c r="DC114" s="228">
        <v>-3.5</v>
      </c>
      <c r="DD114" s="228">
        <v>-3.5</v>
      </c>
      <c r="DE114" s="228">
        <v>51.46</v>
      </c>
      <c r="DF114" s="228">
        <v>51.46</v>
      </c>
      <c r="DG114" s="228">
        <v>-13.96</v>
      </c>
      <c r="DH114" s="228">
        <v>0</v>
      </c>
      <c r="DI114" s="228">
        <v>37.14</v>
      </c>
      <c r="DJ114" s="228">
        <v>41.01</v>
      </c>
      <c r="DK114" s="228">
        <v>-3.87</v>
      </c>
      <c r="DL114" s="228">
        <v>-3.87</v>
      </c>
      <c r="DM114" s="228">
        <v>38.35</v>
      </c>
      <c r="DN114" s="228">
        <v>40.99</v>
      </c>
      <c r="DO114" s="228">
        <v>-2.64</v>
      </c>
      <c r="DP114" s="228">
        <v>-2.64</v>
      </c>
      <c r="DQ114" s="228">
        <v>0.69</v>
      </c>
      <c r="DR114" s="228">
        <v>0.59</v>
      </c>
      <c r="DS114" s="228">
        <v>0.1</v>
      </c>
      <c r="DT114" s="229">
        <v>0.16950000000000001</v>
      </c>
      <c r="DU114" s="231">
        <v>1000</v>
      </c>
      <c r="DV114" s="228">
        <v>850</v>
      </c>
      <c r="DW114" s="228">
        <v>0.43</v>
      </c>
      <c r="DX114" s="228">
        <v>0.48</v>
      </c>
      <c r="DY114" s="228">
        <v>-0.05</v>
      </c>
      <c r="DZ114" s="229">
        <v>-0.1042</v>
      </c>
      <c r="EA114" s="229">
        <v>0.12429999999999999</v>
      </c>
      <c r="EB114" s="230">
        <v>615025</v>
      </c>
      <c r="EC114" s="229">
        <v>-1.83E-2</v>
      </c>
      <c r="ED114" s="229">
        <v>0.12429999999999999</v>
      </c>
      <c r="EE114" s="228">
        <v>-21.03</v>
      </c>
      <c r="EF114" s="229">
        <v>-2.3400000000000001E-2</v>
      </c>
      <c r="EG114" s="230">
        <v>367861</v>
      </c>
      <c r="EH114" s="230">
        <v>467154</v>
      </c>
      <c r="EI114" s="229">
        <v>-0.21249999999999999</v>
      </c>
      <c r="EJ114" s="229">
        <v>0.37240000000000001</v>
      </c>
      <c r="EK114" s="228">
        <v>409.21</v>
      </c>
      <c r="EL114" s="228">
        <v>153.87</v>
      </c>
      <c r="EM114" s="228">
        <v>145.22</v>
      </c>
      <c r="EN114" s="228">
        <v>78.48</v>
      </c>
      <c r="EO114" s="228">
        <v>708.3</v>
      </c>
      <c r="EP114" s="231">
        <v>1847.56</v>
      </c>
      <c r="EQ114" s="231">
        <v>-1139.26</v>
      </c>
      <c r="ER114" s="229">
        <v>-0.61660000000000004</v>
      </c>
      <c r="ES114" s="228">
        <v>336.18</v>
      </c>
      <c r="ET114" s="228">
        <v>212.5</v>
      </c>
      <c r="EU114" s="228">
        <v>513.98</v>
      </c>
      <c r="EV114" s="231">
        <v>19953342</v>
      </c>
      <c r="EW114" s="231">
        <v>1062.6500000000001</v>
      </c>
      <c r="EX114" s="231">
        <v>1153.53</v>
      </c>
      <c r="EY114" s="228">
        <v>-90.88</v>
      </c>
      <c r="EZ114" s="229">
        <v>-7.8799999999999995E-2</v>
      </c>
      <c r="FA114" s="229">
        <v>0.57620000000000005</v>
      </c>
      <c r="FB114" s="227" t="s">
        <v>691</v>
      </c>
      <c r="FC114">
        <f t="shared" si="1"/>
        <v>64</v>
      </c>
    </row>
    <row r="115" spans="1:159" ht="17.25" thickBot="1" x14ac:dyDescent="0.3">
      <c r="A115" s="226">
        <v>46148</v>
      </c>
      <c r="B115" s="227" t="s">
        <v>172</v>
      </c>
      <c r="C115" s="227" t="s">
        <v>246</v>
      </c>
      <c r="D115" s="228">
        <v>2000</v>
      </c>
      <c r="E115" s="228">
        <v>20</v>
      </c>
      <c r="F115" s="228">
        <v>379</v>
      </c>
      <c r="G115" s="228">
        <v>372.25</v>
      </c>
      <c r="H115" s="228">
        <v>6.75</v>
      </c>
      <c r="I115" s="229">
        <v>1.8100000000000002E-2</v>
      </c>
      <c r="J115" s="228">
        <v>376.6</v>
      </c>
      <c r="K115" s="228">
        <v>371.35</v>
      </c>
      <c r="L115" s="228">
        <v>5.25</v>
      </c>
      <c r="M115" s="229">
        <v>1.41E-2</v>
      </c>
      <c r="N115" s="228">
        <v>379</v>
      </c>
      <c r="O115" s="228">
        <v>372.25</v>
      </c>
      <c r="P115" s="228">
        <v>6.75</v>
      </c>
      <c r="Q115" s="229">
        <v>1.8100000000000002E-2</v>
      </c>
      <c r="R115" s="228">
        <v>381.45</v>
      </c>
      <c r="S115" s="228">
        <v>374.95</v>
      </c>
      <c r="T115" s="228">
        <v>6.5</v>
      </c>
      <c r="U115" s="229">
        <v>1.7299999999999999E-2</v>
      </c>
      <c r="V115" s="228">
        <v>382.35</v>
      </c>
      <c r="W115" s="228">
        <v>376.3</v>
      </c>
      <c r="X115" s="228">
        <v>6.05</v>
      </c>
      <c r="Y115" s="229">
        <v>1.61E-2</v>
      </c>
      <c r="Z115" s="228">
        <v>2.4</v>
      </c>
      <c r="AA115" s="228">
        <v>0.9</v>
      </c>
      <c r="AB115" s="228">
        <v>1.5</v>
      </c>
      <c r="AC115" s="229">
        <v>6.4000000000000003E-3</v>
      </c>
      <c r="AD115" s="228">
        <v>2.4</v>
      </c>
      <c r="AE115" s="228">
        <v>0.9</v>
      </c>
      <c r="AF115" s="228">
        <v>1.5</v>
      </c>
      <c r="AG115" s="229">
        <v>6.4000000000000003E-3</v>
      </c>
      <c r="AH115" s="228">
        <v>4.8499999999999996</v>
      </c>
      <c r="AI115" s="228">
        <v>3.6</v>
      </c>
      <c r="AJ115" s="228">
        <v>1.25</v>
      </c>
      <c r="AK115" s="229">
        <v>1.29E-2</v>
      </c>
      <c r="AL115" s="228">
        <v>5.75</v>
      </c>
      <c r="AM115" s="228">
        <v>4.95</v>
      </c>
      <c r="AN115" s="228">
        <v>0.8</v>
      </c>
      <c r="AO115" s="229">
        <v>1.5299999999999999E-2</v>
      </c>
      <c r="AP115" s="228">
        <v>375.14</v>
      </c>
      <c r="AQ115" s="228">
        <v>374.99</v>
      </c>
      <c r="AR115" s="228">
        <v>0</v>
      </c>
      <c r="AS115" s="230">
        <v>1442</v>
      </c>
      <c r="AT115" s="228">
        <v>786</v>
      </c>
      <c r="AU115" s="228">
        <v>656</v>
      </c>
      <c r="AV115" s="229">
        <v>0.83430000000000004</v>
      </c>
      <c r="AW115" s="230">
        <v>1308</v>
      </c>
      <c r="AX115" s="228">
        <v>708</v>
      </c>
      <c r="AY115" s="228">
        <v>600</v>
      </c>
      <c r="AZ115" s="229">
        <v>0.84789999999999999</v>
      </c>
      <c r="BA115" s="228">
        <v>121</v>
      </c>
      <c r="BB115" s="228">
        <v>68</v>
      </c>
      <c r="BC115" s="228">
        <v>53</v>
      </c>
      <c r="BD115" s="229">
        <v>0.79039999999999999</v>
      </c>
      <c r="BE115" s="228">
        <v>12</v>
      </c>
      <c r="BF115" s="228">
        <v>10</v>
      </c>
      <c r="BG115" s="228">
        <v>2</v>
      </c>
      <c r="BH115" s="229">
        <v>0.19120000000000001</v>
      </c>
      <c r="BI115" s="230">
        <v>3241</v>
      </c>
      <c r="BJ115" s="230">
        <v>1967</v>
      </c>
      <c r="BK115" s="230">
        <v>1274</v>
      </c>
      <c r="BL115" s="229">
        <v>0.64759999999999995</v>
      </c>
      <c r="BM115" s="230">
        <v>1559</v>
      </c>
      <c r="BN115" s="228">
        <v>960</v>
      </c>
      <c r="BO115" s="228">
        <v>599</v>
      </c>
      <c r="BP115" s="229">
        <v>0.62350000000000005</v>
      </c>
      <c r="BQ115" s="230">
        <v>6241</v>
      </c>
      <c r="BR115" s="230">
        <v>3713</v>
      </c>
      <c r="BS115" s="230">
        <v>2528</v>
      </c>
      <c r="BT115" s="229">
        <v>0.68089999999999995</v>
      </c>
      <c r="BU115" s="230">
        <v>38378935</v>
      </c>
      <c r="BV115" s="230">
        <v>22319347</v>
      </c>
      <c r="BW115" s="230">
        <v>16059588</v>
      </c>
      <c r="BX115" s="229">
        <v>0.71950000000000003</v>
      </c>
      <c r="BY115" s="230">
        <v>8444</v>
      </c>
      <c r="BZ115" s="230">
        <v>8377</v>
      </c>
      <c r="CA115" s="228">
        <v>67</v>
      </c>
      <c r="CB115" s="229">
        <v>8.0000000000000002E-3</v>
      </c>
      <c r="CC115" s="230">
        <v>6768</v>
      </c>
      <c r="CD115" s="230">
        <v>6768</v>
      </c>
      <c r="CE115" s="228">
        <v>0</v>
      </c>
      <c r="CF115" s="229">
        <v>0</v>
      </c>
      <c r="CG115" s="230">
        <v>1653</v>
      </c>
      <c r="CH115" s="230">
        <v>1589</v>
      </c>
      <c r="CI115" s="228">
        <v>65</v>
      </c>
      <c r="CJ115" s="229">
        <v>4.0599999999999997E-2</v>
      </c>
      <c r="CK115" s="228">
        <v>23</v>
      </c>
      <c r="CL115" s="228">
        <v>21</v>
      </c>
      <c r="CM115" s="228">
        <v>3</v>
      </c>
      <c r="CN115" s="229">
        <v>0.1241</v>
      </c>
      <c r="CO115" s="230">
        <v>1809</v>
      </c>
      <c r="CP115" s="230">
        <v>1840</v>
      </c>
      <c r="CQ115" s="228">
        <v>-31</v>
      </c>
      <c r="CR115" s="229">
        <v>-1.7100000000000001E-2</v>
      </c>
      <c r="CS115" s="230">
        <v>1100</v>
      </c>
      <c r="CT115" s="230">
        <v>1193</v>
      </c>
      <c r="CU115" s="228">
        <v>-93</v>
      </c>
      <c r="CV115" s="229">
        <v>-7.7700000000000005E-2</v>
      </c>
      <c r="CW115" s="230">
        <v>11353</v>
      </c>
      <c r="CX115" s="230">
        <v>11410</v>
      </c>
      <c r="CY115" s="228">
        <v>-57</v>
      </c>
      <c r="CZ115" s="229">
        <v>-5.0000000000000001E-3</v>
      </c>
      <c r="DA115" s="228">
        <v>24.39</v>
      </c>
      <c r="DB115" s="228">
        <v>26.47</v>
      </c>
      <c r="DC115" s="228">
        <v>-2.08</v>
      </c>
      <c r="DD115" s="228">
        <v>-2.08</v>
      </c>
      <c r="DE115" s="228">
        <v>27.27</v>
      </c>
      <c r="DF115" s="228">
        <v>27.27</v>
      </c>
      <c r="DG115" s="228">
        <v>-2.88</v>
      </c>
      <c r="DH115" s="228">
        <v>0</v>
      </c>
      <c r="DI115" s="228">
        <v>24.2</v>
      </c>
      <c r="DJ115" s="228">
        <v>26.32</v>
      </c>
      <c r="DK115" s="228">
        <v>-2.12</v>
      </c>
      <c r="DL115" s="228">
        <v>-2.12</v>
      </c>
      <c r="DM115" s="228">
        <v>24.78</v>
      </c>
      <c r="DN115" s="228">
        <v>26.76</v>
      </c>
      <c r="DO115" s="228">
        <v>-1.98</v>
      </c>
      <c r="DP115" s="228">
        <v>-1.98</v>
      </c>
      <c r="DQ115" s="228">
        <v>0.61</v>
      </c>
      <c r="DR115" s="228">
        <v>0.65</v>
      </c>
      <c r="DS115" s="228">
        <v>-0.04</v>
      </c>
      <c r="DT115" s="229">
        <v>-6.1499999999999999E-2</v>
      </c>
      <c r="DU115" s="228">
        <v>400</v>
      </c>
      <c r="DV115" s="228">
        <v>360</v>
      </c>
      <c r="DW115" s="228">
        <v>0.48</v>
      </c>
      <c r="DX115" s="228">
        <v>0.49</v>
      </c>
      <c r="DY115" s="228">
        <v>-0.01</v>
      </c>
      <c r="DZ115" s="229">
        <v>-2.0400000000000001E-2</v>
      </c>
      <c r="EA115" s="229">
        <v>0.19850000000000001</v>
      </c>
      <c r="EB115" s="230">
        <v>42468000</v>
      </c>
      <c r="EC115" s="229">
        <v>6.4999999999999997E-3</v>
      </c>
      <c r="ED115" s="229">
        <v>0.19850000000000001</v>
      </c>
      <c r="EE115" s="228">
        <v>-0.15</v>
      </c>
      <c r="EF115" s="229">
        <v>-4.0000000000000002E-4</v>
      </c>
      <c r="EG115" s="230">
        <v>25709228</v>
      </c>
      <c r="EH115" s="230">
        <v>14651348</v>
      </c>
      <c r="EI115" s="229">
        <v>0.75470000000000004</v>
      </c>
      <c r="EJ115" s="229">
        <v>0.66990000000000005</v>
      </c>
      <c r="EK115" s="231">
        <v>3340.07</v>
      </c>
      <c r="EL115" s="231">
        <v>1530.76</v>
      </c>
      <c r="EM115" s="231">
        <v>1426.92</v>
      </c>
      <c r="EN115" s="228">
        <v>206.19</v>
      </c>
      <c r="EO115" s="231">
        <v>6297.76</v>
      </c>
      <c r="EP115" s="231">
        <v>3736.01</v>
      </c>
      <c r="EQ115" s="231">
        <v>2561.75</v>
      </c>
      <c r="ER115" s="229">
        <v>0.68569999999999998</v>
      </c>
      <c r="ES115" s="231">
        <v>1879.87</v>
      </c>
      <c r="ET115" s="231">
        <v>1067.33</v>
      </c>
      <c r="EU115" s="231">
        <v>8455.24</v>
      </c>
      <c r="EV115" s="231">
        <v>882793124</v>
      </c>
      <c r="EW115" s="231">
        <v>11402.44</v>
      </c>
      <c r="EX115" s="231">
        <v>11307.46</v>
      </c>
      <c r="EY115" s="228">
        <v>94.98</v>
      </c>
      <c r="EZ115" s="229">
        <v>8.3999999999999995E-3</v>
      </c>
      <c r="FA115" s="229">
        <v>0.33929999999999999</v>
      </c>
      <c r="FB115" s="227" t="s">
        <v>555</v>
      </c>
      <c r="FC115">
        <f t="shared" si="1"/>
        <v>1676</v>
      </c>
    </row>
    <row r="116" spans="1:159" ht="17.25" thickBot="1" x14ac:dyDescent="0.3">
      <c r="A116" s="226">
        <v>46148</v>
      </c>
      <c r="B116" s="227" t="s">
        <v>221</v>
      </c>
      <c r="C116" s="227" t="s">
        <v>576</v>
      </c>
      <c r="D116" s="228">
        <v>425</v>
      </c>
      <c r="E116" s="228">
        <v>20</v>
      </c>
      <c r="F116" s="228">
        <v>749.4</v>
      </c>
      <c r="G116" s="228">
        <v>775.15</v>
      </c>
      <c r="H116" s="228">
        <v>-25.75</v>
      </c>
      <c r="I116" s="229">
        <v>-3.32E-2</v>
      </c>
      <c r="J116" s="228">
        <v>748.6</v>
      </c>
      <c r="K116" s="228">
        <v>772.5</v>
      </c>
      <c r="L116" s="228">
        <v>-23.9</v>
      </c>
      <c r="M116" s="229">
        <v>-3.09E-2</v>
      </c>
      <c r="N116" s="228">
        <v>749.4</v>
      </c>
      <c r="O116" s="228">
        <v>775.15</v>
      </c>
      <c r="P116" s="228">
        <v>-25.75</v>
      </c>
      <c r="Q116" s="229">
        <v>-3.32E-2</v>
      </c>
      <c r="R116" s="228">
        <v>753.6</v>
      </c>
      <c r="S116" s="228">
        <v>779.65</v>
      </c>
      <c r="T116" s="228">
        <v>-26.05</v>
      </c>
      <c r="U116" s="229">
        <v>-3.3399999999999999E-2</v>
      </c>
      <c r="V116" s="228">
        <v>756.65</v>
      </c>
      <c r="W116" s="228">
        <v>781.6</v>
      </c>
      <c r="X116" s="228">
        <v>-24.95</v>
      </c>
      <c r="Y116" s="229">
        <v>-3.1899999999999998E-2</v>
      </c>
      <c r="Z116" s="228">
        <v>0.8</v>
      </c>
      <c r="AA116" s="228">
        <v>2.65</v>
      </c>
      <c r="AB116" s="228">
        <v>-1.85</v>
      </c>
      <c r="AC116" s="229">
        <v>1.1000000000000001E-3</v>
      </c>
      <c r="AD116" s="228">
        <v>0.8</v>
      </c>
      <c r="AE116" s="228">
        <v>2.65</v>
      </c>
      <c r="AF116" s="228">
        <v>-1.85</v>
      </c>
      <c r="AG116" s="229">
        <v>1.1000000000000001E-3</v>
      </c>
      <c r="AH116" s="228">
        <v>5</v>
      </c>
      <c r="AI116" s="228">
        <v>7.15</v>
      </c>
      <c r="AJ116" s="228">
        <v>-2.15</v>
      </c>
      <c r="AK116" s="229">
        <v>6.7000000000000002E-3</v>
      </c>
      <c r="AL116" s="228">
        <v>8.0500000000000007</v>
      </c>
      <c r="AM116" s="228">
        <v>9.1</v>
      </c>
      <c r="AN116" s="228">
        <v>-1.05</v>
      </c>
      <c r="AO116" s="229">
        <v>1.0800000000000001E-2</v>
      </c>
      <c r="AP116" s="228">
        <v>755.13</v>
      </c>
      <c r="AQ116" s="228">
        <v>758.34</v>
      </c>
      <c r="AR116" s="228">
        <v>0</v>
      </c>
      <c r="AS116" s="230">
        <v>1054</v>
      </c>
      <c r="AT116" s="228">
        <v>82</v>
      </c>
      <c r="AU116" s="228">
        <v>972</v>
      </c>
      <c r="AV116" s="229">
        <v>11.824</v>
      </c>
      <c r="AW116" s="230">
        <v>1009</v>
      </c>
      <c r="AX116" s="228">
        <v>78</v>
      </c>
      <c r="AY116" s="228">
        <v>931</v>
      </c>
      <c r="AZ116" s="229">
        <v>11.913600000000001</v>
      </c>
      <c r="BA116" s="228">
        <v>41</v>
      </c>
      <c r="BB116" s="228">
        <v>4</v>
      </c>
      <c r="BC116" s="228">
        <v>37</v>
      </c>
      <c r="BD116" s="229">
        <v>10.0862</v>
      </c>
      <c r="BE116" s="228">
        <v>4</v>
      </c>
      <c r="BF116" s="228">
        <v>0</v>
      </c>
      <c r="BG116" s="228">
        <v>4</v>
      </c>
      <c r="BH116" s="229">
        <v>10.181800000000001</v>
      </c>
      <c r="BI116" s="230">
        <v>4514</v>
      </c>
      <c r="BJ116" s="228">
        <v>220</v>
      </c>
      <c r="BK116" s="230">
        <v>4294</v>
      </c>
      <c r="BL116" s="229">
        <v>19.560700000000001</v>
      </c>
      <c r="BM116" s="230">
        <v>2502</v>
      </c>
      <c r="BN116" s="228">
        <v>86</v>
      </c>
      <c r="BO116" s="230">
        <v>2415</v>
      </c>
      <c r="BP116" s="229">
        <v>28.078900000000001</v>
      </c>
      <c r="BQ116" s="230">
        <v>8069</v>
      </c>
      <c r="BR116" s="228">
        <v>388</v>
      </c>
      <c r="BS116" s="230">
        <v>7681</v>
      </c>
      <c r="BT116" s="229">
        <v>19.811</v>
      </c>
      <c r="BU116" s="230">
        <v>12761897</v>
      </c>
      <c r="BV116" s="230">
        <v>1361907</v>
      </c>
      <c r="BW116" s="230">
        <v>11399990</v>
      </c>
      <c r="BX116" s="229">
        <v>8.3705999999999996</v>
      </c>
      <c r="BY116" s="228">
        <v>501</v>
      </c>
      <c r="BZ116" s="228">
        <v>468</v>
      </c>
      <c r="CA116" s="228">
        <v>33</v>
      </c>
      <c r="CB116" s="229">
        <v>7.1499999999999994E-2</v>
      </c>
      <c r="CC116" s="228">
        <v>476</v>
      </c>
      <c r="CD116" s="228">
        <v>451</v>
      </c>
      <c r="CE116" s="228">
        <v>25</v>
      </c>
      <c r="CF116" s="229">
        <v>5.5800000000000002E-2</v>
      </c>
      <c r="CG116" s="228">
        <v>21</v>
      </c>
      <c r="CH116" s="228">
        <v>15</v>
      </c>
      <c r="CI116" s="228">
        <v>5</v>
      </c>
      <c r="CJ116" s="229">
        <v>0.34939999999999999</v>
      </c>
      <c r="CK116" s="228">
        <v>4</v>
      </c>
      <c r="CL116" s="228">
        <v>1</v>
      </c>
      <c r="CM116" s="228">
        <v>3</v>
      </c>
      <c r="CN116" s="229">
        <v>2.2174</v>
      </c>
      <c r="CO116" s="228">
        <v>415</v>
      </c>
      <c r="CP116" s="228">
        <v>200</v>
      </c>
      <c r="CQ116" s="228">
        <v>215</v>
      </c>
      <c r="CR116" s="229">
        <v>1.0747</v>
      </c>
      <c r="CS116" s="228">
        <v>226</v>
      </c>
      <c r="CT116" s="228">
        <v>117</v>
      </c>
      <c r="CU116" s="228">
        <v>109</v>
      </c>
      <c r="CV116" s="229">
        <v>0.92479999999999996</v>
      </c>
      <c r="CW116" s="230">
        <v>1142</v>
      </c>
      <c r="CX116" s="228">
        <v>785</v>
      </c>
      <c r="CY116" s="228">
        <v>357</v>
      </c>
      <c r="CZ116" s="229">
        <v>0.4546</v>
      </c>
      <c r="DA116" s="228">
        <v>40.72</v>
      </c>
      <c r="DB116" s="228">
        <v>44.97</v>
      </c>
      <c r="DC116" s="228">
        <v>-4.25</v>
      </c>
      <c r="DD116" s="228">
        <v>-4.25</v>
      </c>
      <c r="DE116" s="228">
        <v>44.75</v>
      </c>
      <c r="DF116" s="228">
        <v>44.63</v>
      </c>
      <c r="DG116" s="228">
        <v>-4.03</v>
      </c>
      <c r="DH116" s="228">
        <v>0.12</v>
      </c>
      <c r="DI116" s="228">
        <v>40.17</v>
      </c>
      <c r="DJ116" s="228">
        <v>44.24</v>
      </c>
      <c r="DK116" s="228">
        <v>-4.07</v>
      </c>
      <c r="DL116" s="228">
        <v>-4.07</v>
      </c>
      <c r="DM116" s="228">
        <v>41.71</v>
      </c>
      <c r="DN116" s="228">
        <v>46.85</v>
      </c>
      <c r="DO116" s="228">
        <v>-5.14</v>
      </c>
      <c r="DP116" s="228">
        <v>-5.14</v>
      </c>
      <c r="DQ116" s="228">
        <v>0.54</v>
      </c>
      <c r="DR116" s="228">
        <v>0.59</v>
      </c>
      <c r="DS116" s="228">
        <v>-0.05</v>
      </c>
      <c r="DT116" s="229">
        <v>-8.4699999999999998E-2</v>
      </c>
      <c r="DU116" s="228">
        <v>800</v>
      </c>
      <c r="DV116" s="228">
        <v>750</v>
      </c>
      <c r="DW116" s="228">
        <v>0.55000000000000004</v>
      </c>
      <c r="DX116" s="228">
        <v>0.39</v>
      </c>
      <c r="DY116" s="228">
        <v>0.16</v>
      </c>
      <c r="DZ116" s="229">
        <v>0.4103</v>
      </c>
      <c r="EA116" s="229">
        <v>4.9599999999999998E-2</v>
      </c>
      <c r="EB116" s="230">
        <v>220975</v>
      </c>
      <c r="EC116" s="229">
        <v>5.5999999999999999E-3</v>
      </c>
      <c r="ED116" s="229">
        <v>4.9599999999999998E-2</v>
      </c>
      <c r="EE116" s="228">
        <v>3.21</v>
      </c>
      <c r="EF116" s="229">
        <v>4.3E-3</v>
      </c>
      <c r="EG116" s="230">
        <v>2180360</v>
      </c>
      <c r="EH116" s="230">
        <v>468593</v>
      </c>
      <c r="EI116" s="229">
        <v>3.653</v>
      </c>
      <c r="EJ116" s="229">
        <v>0.17080000000000001</v>
      </c>
      <c r="EK116" s="231">
        <v>4869.49</v>
      </c>
      <c r="EL116" s="231">
        <v>2516.5500000000002</v>
      </c>
      <c r="EM116" s="231">
        <v>1065.33</v>
      </c>
      <c r="EN116" s="228">
        <v>37.6</v>
      </c>
      <c r="EO116" s="231">
        <v>8451.3700000000008</v>
      </c>
      <c r="EP116" s="228">
        <v>414.6</v>
      </c>
      <c r="EQ116" s="231">
        <v>8036.77</v>
      </c>
      <c r="ER116" s="229">
        <v>19.3843</v>
      </c>
      <c r="ES116" s="228">
        <v>439.45</v>
      </c>
      <c r="ET116" s="228">
        <v>218.32</v>
      </c>
      <c r="EU116" s="228">
        <v>501.18</v>
      </c>
      <c r="EV116" s="231">
        <v>24611073</v>
      </c>
      <c r="EW116" s="231">
        <v>1158.95</v>
      </c>
      <c r="EX116" s="228">
        <v>809.59</v>
      </c>
      <c r="EY116" s="228">
        <v>349.36</v>
      </c>
      <c r="EZ116" s="229">
        <v>0.43149999999999999</v>
      </c>
      <c r="FA116" s="229">
        <v>0.61899999999999999</v>
      </c>
      <c r="FB116" s="227" t="s">
        <v>566</v>
      </c>
      <c r="FC116">
        <f t="shared" si="1"/>
        <v>25</v>
      </c>
    </row>
    <row r="117" spans="1:159" ht="17.25" thickBot="1" x14ac:dyDescent="0.3">
      <c r="A117" s="226">
        <v>46148</v>
      </c>
      <c r="B117" s="227" t="s">
        <v>170</v>
      </c>
      <c r="C117" s="227" t="s">
        <v>535</v>
      </c>
      <c r="D117" s="228">
        <v>850</v>
      </c>
      <c r="E117" s="228">
        <v>20</v>
      </c>
      <c r="F117" s="231">
        <v>1184.2</v>
      </c>
      <c r="G117" s="231">
        <v>1169.4000000000001</v>
      </c>
      <c r="H117" s="228">
        <v>14.8</v>
      </c>
      <c r="I117" s="229">
        <v>1.2699999999999999E-2</v>
      </c>
      <c r="J117" s="231">
        <v>1177.5999999999999</v>
      </c>
      <c r="K117" s="231">
        <v>1164.0999999999999</v>
      </c>
      <c r="L117" s="228">
        <v>13.5</v>
      </c>
      <c r="M117" s="229">
        <v>1.1599999999999999E-2</v>
      </c>
      <c r="N117" s="231">
        <v>1184.2</v>
      </c>
      <c r="O117" s="231">
        <v>1169.4000000000001</v>
      </c>
      <c r="P117" s="228">
        <v>14.8</v>
      </c>
      <c r="Q117" s="229">
        <v>1.2699999999999999E-2</v>
      </c>
      <c r="R117" s="231">
        <v>1191.7</v>
      </c>
      <c r="S117" s="231">
        <v>1176.4000000000001</v>
      </c>
      <c r="T117" s="228">
        <v>15.3</v>
      </c>
      <c r="U117" s="229">
        <v>1.2999999999999999E-2</v>
      </c>
      <c r="V117" s="231">
        <v>1201.5</v>
      </c>
      <c r="W117" s="231">
        <v>1179.8</v>
      </c>
      <c r="X117" s="228">
        <v>21.7</v>
      </c>
      <c r="Y117" s="229">
        <v>1.84E-2</v>
      </c>
      <c r="Z117" s="228">
        <v>6.6</v>
      </c>
      <c r="AA117" s="228">
        <v>5.3</v>
      </c>
      <c r="AB117" s="228">
        <v>1.3</v>
      </c>
      <c r="AC117" s="229">
        <v>5.5999999999999999E-3</v>
      </c>
      <c r="AD117" s="228">
        <v>6.6</v>
      </c>
      <c r="AE117" s="228">
        <v>5.3</v>
      </c>
      <c r="AF117" s="228">
        <v>1.3</v>
      </c>
      <c r="AG117" s="229">
        <v>5.5999999999999999E-3</v>
      </c>
      <c r="AH117" s="228">
        <v>14.1</v>
      </c>
      <c r="AI117" s="228">
        <v>12.3</v>
      </c>
      <c r="AJ117" s="228">
        <v>1.8</v>
      </c>
      <c r="AK117" s="229">
        <v>1.2E-2</v>
      </c>
      <c r="AL117" s="228">
        <v>23.9</v>
      </c>
      <c r="AM117" s="228">
        <v>15.7</v>
      </c>
      <c r="AN117" s="228">
        <v>8.1999999999999993</v>
      </c>
      <c r="AO117" s="229">
        <v>2.0299999999999999E-2</v>
      </c>
      <c r="AP117" s="231">
        <v>1187.6400000000001</v>
      </c>
      <c r="AQ117" s="231">
        <v>1195.79</v>
      </c>
      <c r="AR117" s="228">
        <v>0</v>
      </c>
      <c r="AS117" s="228">
        <v>656</v>
      </c>
      <c r="AT117" s="228">
        <v>554</v>
      </c>
      <c r="AU117" s="228">
        <v>101</v>
      </c>
      <c r="AV117" s="229">
        <v>0.18290000000000001</v>
      </c>
      <c r="AW117" s="228">
        <v>632</v>
      </c>
      <c r="AX117" s="228">
        <v>540</v>
      </c>
      <c r="AY117" s="228">
        <v>92</v>
      </c>
      <c r="AZ117" s="229">
        <v>0.1709</v>
      </c>
      <c r="BA117" s="228">
        <v>21</v>
      </c>
      <c r="BB117" s="228">
        <v>12</v>
      </c>
      <c r="BC117" s="228">
        <v>8</v>
      </c>
      <c r="BD117" s="229">
        <v>0.67210000000000003</v>
      </c>
      <c r="BE117" s="228">
        <v>3</v>
      </c>
      <c r="BF117" s="228">
        <v>2</v>
      </c>
      <c r="BG117" s="228">
        <v>1</v>
      </c>
      <c r="BH117" s="229">
        <v>0.4</v>
      </c>
      <c r="BI117" s="230">
        <v>1893</v>
      </c>
      <c r="BJ117" s="230">
        <v>1075</v>
      </c>
      <c r="BK117" s="228">
        <v>818</v>
      </c>
      <c r="BL117" s="229">
        <v>0.76070000000000004</v>
      </c>
      <c r="BM117" s="230">
        <v>1000</v>
      </c>
      <c r="BN117" s="228">
        <v>634</v>
      </c>
      <c r="BO117" s="228">
        <v>365</v>
      </c>
      <c r="BP117" s="229">
        <v>0.57569999999999999</v>
      </c>
      <c r="BQ117" s="230">
        <v>3548</v>
      </c>
      <c r="BR117" s="230">
        <v>2264</v>
      </c>
      <c r="BS117" s="230">
        <v>1284</v>
      </c>
      <c r="BT117" s="229">
        <v>0.56740000000000002</v>
      </c>
      <c r="BU117" s="230">
        <v>4336920</v>
      </c>
      <c r="BV117" s="230">
        <v>5927638</v>
      </c>
      <c r="BW117" s="230">
        <v>-1590718</v>
      </c>
      <c r="BX117" s="229">
        <v>-0.26840000000000003</v>
      </c>
      <c r="BY117" s="230">
        <v>2362</v>
      </c>
      <c r="BZ117" s="230">
        <v>2284</v>
      </c>
      <c r="CA117" s="228">
        <v>78</v>
      </c>
      <c r="CB117" s="229">
        <v>3.39E-2</v>
      </c>
      <c r="CC117" s="230">
        <v>2332</v>
      </c>
      <c r="CD117" s="230">
        <v>2257</v>
      </c>
      <c r="CE117" s="228">
        <v>76</v>
      </c>
      <c r="CF117" s="229">
        <v>3.3599999999999998E-2</v>
      </c>
      <c r="CG117" s="228">
        <v>26</v>
      </c>
      <c r="CH117" s="228">
        <v>25</v>
      </c>
      <c r="CI117" s="228">
        <v>1</v>
      </c>
      <c r="CJ117" s="229">
        <v>3.9699999999999999E-2</v>
      </c>
      <c r="CK117" s="228">
        <v>3</v>
      </c>
      <c r="CL117" s="228">
        <v>3</v>
      </c>
      <c r="CM117" s="228">
        <v>1</v>
      </c>
      <c r="CN117" s="229">
        <v>0.28000000000000003</v>
      </c>
      <c r="CO117" s="228">
        <v>768</v>
      </c>
      <c r="CP117" s="228">
        <v>751</v>
      </c>
      <c r="CQ117" s="228">
        <v>17</v>
      </c>
      <c r="CR117" s="229">
        <v>2.2700000000000001E-2</v>
      </c>
      <c r="CS117" s="228">
        <v>470</v>
      </c>
      <c r="CT117" s="228">
        <v>456</v>
      </c>
      <c r="CU117" s="228">
        <v>14</v>
      </c>
      <c r="CV117" s="229">
        <v>3.1600000000000003E-2</v>
      </c>
      <c r="CW117" s="230">
        <v>3600</v>
      </c>
      <c r="CX117" s="230">
        <v>3491</v>
      </c>
      <c r="CY117" s="228">
        <v>109</v>
      </c>
      <c r="CZ117" s="229">
        <v>3.1199999999999999E-2</v>
      </c>
      <c r="DA117" s="228">
        <v>29.91</v>
      </c>
      <c r="DB117" s="228">
        <v>31.27</v>
      </c>
      <c r="DC117" s="228">
        <v>-1.36</v>
      </c>
      <c r="DD117" s="228">
        <v>-1.36</v>
      </c>
      <c r="DE117" s="228">
        <v>39.72</v>
      </c>
      <c r="DF117" s="228">
        <v>39.79</v>
      </c>
      <c r="DG117" s="228">
        <v>-9.81</v>
      </c>
      <c r="DH117" s="228">
        <v>-7.0000000000000007E-2</v>
      </c>
      <c r="DI117" s="228">
        <v>29.31</v>
      </c>
      <c r="DJ117" s="228">
        <v>30.95</v>
      </c>
      <c r="DK117" s="228">
        <v>-1.64</v>
      </c>
      <c r="DL117" s="228">
        <v>-1.64</v>
      </c>
      <c r="DM117" s="228">
        <v>31.05</v>
      </c>
      <c r="DN117" s="228">
        <v>31.79</v>
      </c>
      <c r="DO117" s="228">
        <v>-0.74</v>
      </c>
      <c r="DP117" s="228">
        <v>-0.74</v>
      </c>
      <c r="DQ117" s="228">
        <v>0.61</v>
      </c>
      <c r="DR117" s="228">
        <v>0.61</v>
      </c>
      <c r="DS117" s="228">
        <v>0</v>
      </c>
      <c r="DT117" s="229">
        <v>0</v>
      </c>
      <c r="DU117" s="231">
        <v>1200</v>
      </c>
      <c r="DV117" s="231">
        <v>1100</v>
      </c>
      <c r="DW117" s="228">
        <v>0.53</v>
      </c>
      <c r="DX117" s="228">
        <v>0.59</v>
      </c>
      <c r="DY117" s="228">
        <v>-0.06</v>
      </c>
      <c r="DZ117" s="229">
        <v>-0.1017</v>
      </c>
      <c r="EA117" s="229">
        <v>1.2500000000000001E-2</v>
      </c>
      <c r="EB117" s="230">
        <v>235450</v>
      </c>
      <c r="EC117" s="229">
        <v>6.3E-3</v>
      </c>
      <c r="ED117" s="229">
        <v>1.2500000000000001E-2</v>
      </c>
      <c r="EE117" s="228">
        <v>8.15</v>
      </c>
      <c r="EF117" s="229">
        <v>6.8999999999999999E-3</v>
      </c>
      <c r="EG117" s="230">
        <v>2301325</v>
      </c>
      <c r="EH117" s="230">
        <v>3804004</v>
      </c>
      <c r="EI117" s="229">
        <v>-0.39500000000000002</v>
      </c>
      <c r="EJ117" s="229">
        <v>0.53059999999999996</v>
      </c>
      <c r="EK117" s="231">
        <v>1981.35</v>
      </c>
      <c r="EL117" s="228">
        <v>980.21</v>
      </c>
      <c r="EM117" s="228">
        <v>657.78</v>
      </c>
      <c r="EN117" s="228">
        <v>63.47</v>
      </c>
      <c r="EO117" s="231">
        <v>3619.34</v>
      </c>
      <c r="EP117" s="231">
        <v>2275.94</v>
      </c>
      <c r="EQ117" s="231">
        <v>1343.4</v>
      </c>
      <c r="ER117" s="229">
        <v>0.59030000000000005</v>
      </c>
      <c r="ES117" s="228">
        <v>769.98</v>
      </c>
      <c r="ET117" s="228">
        <v>440.77</v>
      </c>
      <c r="EU117" s="231">
        <v>2362.13</v>
      </c>
      <c r="EV117" s="231">
        <v>58713729</v>
      </c>
      <c r="EW117" s="231">
        <v>3572.88</v>
      </c>
      <c r="EX117" s="231">
        <v>3423.25</v>
      </c>
      <c r="EY117" s="228">
        <v>149.63</v>
      </c>
      <c r="EZ117" s="229">
        <v>4.3700000000000003E-2</v>
      </c>
      <c r="FA117" s="229">
        <v>0.51780000000000004</v>
      </c>
      <c r="FB117" s="227" t="s">
        <v>555</v>
      </c>
      <c r="FC117">
        <f t="shared" si="1"/>
        <v>30</v>
      </c>
    </row>
    <row r="118" spans="1:159" ht="17.25" thickBot="1" x14ac:dyDescent="0.3">
      <c r="A118" s="226">
        <v>46148</v>
      </c>
      <c r="B118" s="227" t="s">
        <v>175</v>
      </c>
      <c r="C118" s="227" t="s">
        <v>248</v>
      </c>
      <c r="D118" s="228">
        <v>1000</v>
      </c>
      <c r="E118" s="228">
        <v>20</v>
      </c>
      <c r="F118" s="228">
        <v>585.4</v>
      </c>
      <c r="G118" s="228">
        <v>560.95000000000005</v>
      </c>
      <c r="H118" s="228">
        <v>24.45</v>
      </c>
      <c r="I118" s="229">
        <v>4.36E-2</v>
      </c>
      <c r="J118" s="228">
        <v>582.15</v>
      </c>
      <c r="K118" s="228">
        <v>558.15</v>
      </c>
      <c r="L118" s="228">
        <v>24</v>
      </c>
      <c r="M118" s="229">
        <v>4.2999999999999997E-2</v>
      </c>
      <c r="N118" s="228">
        <v>585.4</v>
      </c>
      <c r="O118" s="228">
        <v>560.95000000000005</v>
      </c>
      <c r="P118" s="228">
        <v>24.45</v>
      </c>
      <c r="Q118" s="229">
        <v>4.36E-2</v>
      </c>
      <c r="R118" s="228">
        <v>589.54999999999995</v>
      </c>
      <c r="S118" s="228">
        <v>564.25</v>
      </c>
      <c r="T118" s="228">
        <v>25.3</v>
      </c>
      <c r="U118" s="229">
        <v>4.48E-2</v>
      </c>
      <c r="V118" s="228">
        <v>592.29999999999995</v>
      </c>
      <c r="W118" s="228">
        <v>565</v>
      </c>
      <c r="X118" s="228">
        <v>27.3</v>
      </c>
      <c r="Y118" s="229">
        <v>4.8300000000000003E-2</v>
      </c>
      <c r="Z118" s="228">
        <v>3.25</v>
      </c>
      <c r="AA118" s="228">
        <v>2.8</v>
      </c>
      <c r="AB118" s="228">
        <v>0.45</v>
      </c>
      <c r="AC118" s="229">
        <v>5.5999999999999999E-3</v>
      </c>
      <c r="AD118" s="228">
        <v>3.25</v>
      </c>
      <c r="AE118" s="228">
        <v>2.8</v>
      </c>
      <c r="AF118" s="228">
        <v>0.45</v>
      </c>
      <c r="AG118" s="229">
        <v>5.5999999999999999E-3</v>
      </c>
      <c r="AH118" s="228">
        <v>7.4</v>
      </c>
      <c r="AI118" s="228">
        <v>6.1</v>
      </c>
      <c r="AJ118" s="228">
        <v>1.3</v>
      </c>
      <c r="AK118" s="229">
        <v>1.2699999999999999E-2</v>
      </c>
      <c r="AL118" s="228">
        <v>10.15</v>
      </c>
      <c r="AM118" s="228">
        <v>6.85</v>
      </c>
      <c r="AN118" s="228">
        <v>3.3</v>
      </c>
      <c r="AO118" s="229">
        <v>1.7399999999999999E-2</v>
      </c>
      <c r="AP118" s="228">
        <v>581.91999999999996</v>
      </c>
      <c r="AQ118" s="228">
        <v>583.75</v>
      </c>
      <c r="AR118" s="228">
        <v>0</v>
      </c>
      <c r="AS118" s="228">
        <v>425</v>
      </c>
      <c r="AT118" s="228">
        <v>85</v>
      </c>
      <c r="AU118" s="228">
        <v>339</v>
      </c>
      <c r="AV118" s="229">
        <v>3.9752999999999998</v>
      </c>
      <c r="AW118" s="228">
        <v>412</v>
      </c>
      <c r="AX118" s="228">
        <v>83</v>
      </c>
      <c r="AY118" s="228">
        <v>329</v>
      </c>
      <c r="AZ118" s="229">
        <v>3.9851000000000001</v>
      </c>
      <c r="BA118" s="228">
        <v>10</v>
      </c>
      <c r="BB118" s="228">
        <v>2</v>
      </c>
      <c r="BC118" s="228">
        <v>7</v>
      </c>
      <c r="BD118" s="229">
        <v>3.0975999999999999</v>
      </c>
      <c r="BE118" s="228">
        <v>3</v>
      </c>
      <c r="BF118" s="228">
        <v>0</v>
      </c>
      <c r="BG118" s="228">
        <v>3</v>
      </c>
      <c r="BH118" s="229">
        <v>7.6666999999999996</v>
      </c>
      <c r="BI118" s="230">
        <v>1723</v>
      </c>
      <c r="BJ118" s="228">
        <v>177</v>
      </c>
      <c r="BK118" s="230">
        <v>1546</v>
      </c>
      <c r="BL118" s="229">
        <v>8.7232000000000003</v>
      </c>
      <c r="BM118" s="228">
        <v>536</v>
      </c>
      <c r="BN118" s="228">
        <v>68</v>
      </c>
      <c r="BO118" s="228">
        <v>468</v>
      </c>
      <c r="BP118" s="229">
        <v>6.9153000000000002</v>
      </c>
      <c r="BQ118" s="230">
        <v>2684</v>
      </c>
      <c r="BR118" s="228">
        <v>330</v>
      </c>
      <c r="BS118" s="230">
        <v>2353</v>
      </c>
      <c r="BT118" s="229">
        <v>7.1254999999999997</v>
      </c>
      <c r="BU118" s="230">
        <v>4251885</v>
      </c>
      <c r="BV118" s="230">
        <v>816025</v>
      </c>
      <c r="BW118" s="230">
        <v>3435860</v>
      </c>
      <c r="BX118" s="229">
        <v>4.2104999999999997</v>
      </c>
      <c r="BY118" s="230">
        <v>1828</v>
      </c>
      <c r="BZ118" s="230">
        <v>1769</v>
      </c>
      <c r="CA118" s="228">
        <v>58</v>
      </c>
      <c r="CB118" s="229">
        <v>3.3000000000000002E-2</v>
      </c>
      <c r="CC118" s="230">
        <v>1801</v>
      </c>
      <c r="CD118" s="230">
        <v>1745</v>
      </c>
      <c r="CE118" s="228">
        <v>56</v>
      </c>
      <c r="CF118" s="229">
        <v>3.2300000000000002E-2</v>
      </c>
      <c r="CG118" s="228">
        <v>25</v>
      </c>
      <c r="CH118" s="228">
        <v>24</v>
      </c>
      <c r="CI118" s="228">
        <v>2</v>
      </c>
      <c r="CJ118" s="229">
        <v>6.6299999999999998E-2</v>
      </c>
      <c r="CK118" s="228">
        <v>1</v>
      </c>
      <c r="CL118" s="228">
        <v>1</v>
      </c>
      <c r="CM118" s="228">
        <v>0</v>
      </c>
      <c r="CN118" s="229">
        <v>0.29409999999999997</v>
      </c>
      <c r="CO118" s="228">
        <v>362</v>
      </c>
      <c r="CP118" s="228">
        <v>322</v>
      </c>
      <c r="CQ118" s="228">
        <v>40</v>
      </c>
      <c r="CR118" s="229">
        <v>0.125</v>
      </c>
      <c r="CS118" s="228">
        <v>255</v>
      </c>
      <c r="CT118" s="228">
        <v>206</v>
      </c>
      <c r="CU118" s="228">
        <v>49</v>
      </c>
      <c r="CV118" s="229">
        <v>0.23599999999999999</v>
      </c>
      <c r="CW118" s="230">
        <v>2445</v>
      </c>
      <c r="CX118" s="230">
        <v>2297</v>
      </c>
      <c r="CY118" s="228">
        <v>147</v>
      </c>
      <c r="CZ118" s="229">
        <v>6.4100000000000004E-2</v>
      </c>
      <c r="DA118" s="228">
        <v>29.91</v>
      </c>
      <c r="DB118" s="228">
        <v>31.22</v>
      </c>
      <c r="DC118" s="228">
        <v>-1.31</v>
      </c>
      <c r="DD118" s="228">
        <v>-1.31</v>
      </c>
      <c r="DE118" s="228">
        <v>33.799999999999997</v>
      </c>
      <c r="DF118" s="228">
        <v>33.39</v>
      </c>
      <c r="DG118" s="228">
        <v>-3.89</v>
      </c>
      <c r="DH118" s="228">
        <v>0.41</v>
      </c>
      <c r="DI118" s="228">
        <v>29.52</v>
      </c>
      <c r="DJ118" s="228">
        <v>31.2</v>
      </c>
      <c r="DK118" s="228">
        <v>-1.68</v>
      </c>
      <c r="DL118" s="228">
        <v>-1.68</v>
      </c>
      <c r="DM118" s="228">
        <v>31.16</v>
      </c>
      <c r="DN118" s="228">
        <v>31.29</v>
      </c>
      <c r="DO118" s="228">
        <v>-0.13</v>
      </c>
      <c r="DP118" s="228">
        <v>-0.13</v>
      </c>
      <c r="DQ118" s="228">
        <v>0.71</v>
      </c>
      <c r="DR118" s="228">
        <v>0.64</v>
      </c>
      <c r="DS118" s="228">
        <v>7.0000000000000007E-2</v>
      </c>
      <c r="DT118" s="229">
        <v>0.1094</v>
      </c>
      <c r="DU118" s="228">
        <v>600</v>
      </c>
      <c r="DV118" s="228">
        <v>520</v>
      </c>
      <c r="DW118" s="228">
        <v>0.31</v>
      </c>
      <c r="DX118" s="228">
        <v>0.38</v>
      </c>
      <c r="DY118" s="228">
        <v>-7.0000000000000007E-2</v>
      </c>
      <c r="DZ118" s="229">
        <v>-0.1842</v>
      </c>
      <c r="EA118" s="229">
        <v>1.46E-2</v>
      </c>
      <c r="EB118" s="230">
        <v>424000</v>
      </c>
      <c r="EC118" s="229">
        <v>7.1000000000000004E-3</v>
      </c>
      <c r="ED118" s="229">
        <v>1.46E-2</v>
      </c>
      <c r="EE118" s="228">
        <v>1.83</v>
      </c>
      <c r="EF118" s="229">
        <v>3.0999999999999999E-3</v>
      </c>
      <c r="EG118" s="230">
        <v>1465039</v>
      </c>
      <c r="EH118" s="230">
        <v>404027</v>
      </c>
      <c r="EI118" s="229">
        <v>2.6261000000000001</v>
      </c>
      <c r="EJ118" s="229">
        <v>0.34460000000000002</v>
      </c>
      <c r="EK118" s="231">
        <v>1781.9</v>
      </c>
      <c r="EL118" s="228">
        <v>518.08000000000004</v>
      </c>
      <c r="EM118" s="228">
        <v>422.19</v>
      </c>
      <c r="EN118" s="228">
        <v>23.61</v>
      </c>
      <c r="EO118" s="231">
        <v>2722.17</v>
      </c>
      <c r="EP118" s="228">
        <v>325.24</v>
      </c>
      <c r="EQ118" s="231">
        <v>2396.9299999999998</v>
      </c>
      <c r="ER118" s="229">
        <v>7.3696999999999999</v>
      </c>
      <c r="ES118" s="228">
        <v>361.98</v>
      </c>
      <c r="ET118" s="228">
        <v>238.94</v>
      </c>
      <c r="EU118" s="231">
        <v>1827.93</v>
      </c>
      <c r="EV118" s="231">
        <v>45183075</v>
      </c>
      <c r="EW118" s="231">
        <v>2428.85</v>
      </c>
      <c r="EX118" s="231">
        <v>2204.94</v>
      </c>
      <c r="EY118" s="228">
        <v>223.91</v>
      </c>
      <c r="EZ118" s="229">
        <v>0.10150000000000001</v>
      </c>
      <c r="FA118" s="229">
        <v>0.92430000000000001</v>
      </c>
      <c r="FB118" s="227" t="s">
        <v>555</v>
      </c>
      <c r="FC118">
        <f t="shared" si="1"/>
        <v>27</v>
      </c>
    </row>
    <row r="119" spans="1:159" ht="17.25" thickBot="1" x14ac:dyDescent="0.3">
      <c r="A119" s="226">
        <v>46148</v>
      </c>
      <c r="B119" s="227" t="s">
        <v>175</v>
      </c>
      <c r="C119" s="227" t="s">
        <v>606</v>
      </c>
      <c r="D119" s="228">
        <v>700</v>
      </c>
      <c r="E119" s="228">
        <v>20</v>
      </c>
      <c r="F119" s="228">
        <v>811.65</v>
      </c>
      <c r="G119" s="228">
        <v>796.2</v>
      </c>
      <c r="H119" s="228">
        <v>15.45</v>
      </c>
      <c r="I119" s="229">
        <v>1.9400000000000001E-2</v>
      </c>
      <c r="J119" s="228">
        <v>807.25</v>
      </c>
      <c r="K119" s="228">
        <v>799.25</v>
      </c>
      <c r="L119" s="228">
        <v>8</v>
      </c>
      <c r="M119" s="229">
        <v>0.01</v>
      </c>
      <c r="N119" s="228">
        <v>811.65</v>
      </c>
      <c r="O119" s="228">
        <v>796.2</v>
      </c>
      <c r="P119" s="228">
        <v>15.45</v>
      </c>
      <c r="Q119" s="229">
        <v>1.9400000000000001E-2</v>
      </c>
      <c r="R119" s="228">
        <v>807.3</v>
      </c>
      <c r="S119" s="228">
        <v>791.15</v>
      </c>
      <c r="T119" s="228">
        <v>16.149999999999999</v>
      </c>
      <c r="U119" s="229">
        <v>2.0400000000000001E-2</v>
      </c>
      <c r="V119" s="228">
        <v>802.6</v>
      </c>
      <c r="W119" s="228">
        <v>786.95</v>
      </c>
      <c r="X119" s="228">
        <v>15.65</v>
      </c>
      <c r="Y119" s="229">
        <v>1.9900000000000001E-2</v>
      </c>
      <c r="Z119" s="228">
        <v>4.4000000000000004</v>
      </c>
      <c r="AA119" s="228">
        <v>-3.05</v>
      </c>
      <c r="AB119" s="228">
        <v>7.45</v>
      </c>
      <c r="AC119" s="229">
        <v>5.4999999999999997E-3</v>
      </c>
      <c r="AD119" s="228">
        <v>4.4000000000000004</v>
      </c>
      <c r="AE119" s="228">
        <v>-3.05</v>
      </c>
      <c r="AF119" s="228">
        <v>7.45</v>
      </c>
      <c r="AG119" s="229">
        <v>5.4999999999999997E-3</v>
      </c>
      <c r="AH119" s="228">
        <v>0.05</v>
      </c>
      <c r="AI119" s="228">
        <v>-8.1</v>
      </c>
      <c r="AJ119" s="228">
        <v>8.15</v>
      </c>
      <c r="AK119" s="229">
        <v>1E-4</v>
      </c>
      <c r="AL119" s="228">
        <v>-4.6500000000000004</v>
      </c>
      <c r="AM119" s="228">
        <v>-12.3</v>
      </c>
      <c r="AN119" s="228">
        <v>7.65</v>
      </c>
      <c r="AO119" s="229">
        <v>-5.7999999999999996E-3</v>
      </c>
      <c r="AP119" s="228">
        <v>806.93</v>
      </c>
      <c r="AQ119" s="228">
        <v>802.34</v>
      </c>
      <c r="AR119" s="228">
        <v>0</v>
      </c>
      <c r="AS119" s="228">
        <v>144</v>
      </c>
      <c r="AT119" s="228">
        <v>49</v>
      </c>
      <c r="AU119" s="228">
        <v>95</v>
      </c>
      <c r="AV119" s="229">
        <v>1.9510000000000001</v>
      </c>
      <c r="AW119" s="228">
        <v>121</v>
      </c>
      <c r="AX119" s="228">
        <v>39</v>
      </c>
      <c r="AY119" s="228">
        <v>83</v>
      </c>
      <c r="AZ119" s="229">
        <v>2.1366000000000001</v>
      </c>
      <c r="BA119" s="228">
        <v>19</v>
      </c>
      <c r="BB119" s="228">
        <v>8</v>
      </c>
      <c r="BC119" s="228">
        <v>11</v>
      </c>
      <c r="BD119" s="229">
        <v>1.4307000000000001</v>
      </c>
      <c r="BE119" s="228">
        <v>3</v>
      </c>
      <c r="BF119" s="228">
        <v>2</v>
      </c>
      <c r="BG119" s="228">
        <v>1</v>
      </c>
      <c r="BH119" s="229">
        <v>0.53849999999999998</v>
      </c>
      <c r="BI119" s="228">
        <v>287</v>
      </c>
      <c r="BJ119" s="228">
        <v>159</v>
      </c>
      <c r="BK119" s="228">
        <v>128</v>
      </c>
      <c r="BL119" s="229">
        <v>0.80179999999999996</v>
      </c>
      <c r="BM119" s="228">
        <v>134</v>
      </c>
      <c r="BN119" s="228">
        <v>37</v>
      </c>
      <c r="BO119" s="228">
        <v>96</v>
      </c>
      <c r="BP119" s="229">
        <v>2.5706000000000002</v>
      </c>
      <c r="BQ119" s="228">
        <v>564</v>
      </c>
      <c r="BR119" s="228">
        <v>245</v>
      </c>
      <c r="BS119" s="228">
        <v>319</v>
      </c>
      <c r="BT119" s="229">
        <v>1.3</v>
      </c>
      <c r="BU119" s="230">
        <v>1524334</v>
      </c>
      <c r="BV119" s="230">
        <v>644887</v>
      </c>
      <c r="BW119" s="230">
        <v>879447</v>
      </c>
      <c r="BX119" s="229">
        <v>1.3636999999999999</v>
      </c>
      <c r="BY119" s="228">
        <v>804</v>
      </c>
      <c r="BZ119" s="228">
        <v>812</v>
      </c>
      <c r="CA119" s="228">
        <v>-8</v>
      </c>
      <c r="CB119" s="229">
        <v>-9.4999999999999998E-3</v>
      </c>
      <c r="CC119" s="228">
        <v>711</v>
      </c>
      <c r="CD119" s="228">
        <v>722</v>
      </c>
      <c r="CE119" s="228">
        <v>-11</v>
      </c>
      <c r="CF119" s="229">
        <v>-1.5299999999999999E-2</v>
      </c>
      <c r="CG119" s="228">
        <v>78</v>
      </c>
      <c r="CH119" s="228">
        <v>75</v>
      </c>
      <c r="CI119" s="228">
        <v>3</v>
      </c>
      <c r="CJ119" s="229">
        <v>4.1799999999999997E-2</v>
      </c>
      <c r="CK119" s="228">
        <v>15</v>
      </c>
      <c r="CL119" s="228">
        <v>15</v>
      </c>
      <c r="CM119" s="228">
        <v>0</v>
      </c>
      <c r="CN119" s="229">
        <v>1.14E-2</v>
      </c>
      <c r="CO119" s="228">
        <v>487</v>
      </c>
      <c r="CP119" s="228">
        <v>493</v>
      </c>
      <c r="CQ119" s="228">
        <v>-6</v>
      </c>
      <c r="CR119" s="229">
        <v>-1.1599999999999999E-2</v>
      </c>
      <c r="CS119" s="228">
        <v>283</v>
      </c>
      <c r="CT119" s="228">
        <v>294</v>
      </c>
      <c r="CU119" s="228">
        <v>-11</v>
      </c>
      <c r="CV119" s="229">
        <v>-3.7400000000000003E-2</v>
      </c>
      <c r="CW119" s="230">
        <v>1575</v>
      </c>
      <c r="CX119" s="230">
        <v>1599</v>
      </c>
      <c r="CY119" s="228">
        <v>-24</v>
      </c>
      <c r="CZ119" s="229">
        <v>-1.5299999999999999E-2</v>
      </c>
      <c r="DA119" s="228">
        <v>27.56</v>
      </c>
      <c r="DB119" s="228">
        <v>28.19</v>
      </c>
      <c r="DC119" s="228">
        <v>-0.63</v>
      </c>
      <c r="DD119" s="228">
        <v>-0.63</v>
      </c>
      <c r="DE119" s="228">
        <v>32.76</v>
      </c>
      <c r="DF119" s="228">
        <v>32.74</v>
      </c>
      <c r="DG119" s="228">
        <v>-5.2</v>
      </c>
      <c r="DH119" s="228">
        <v>0.02</v>
      </c>
      <c r="DI119" s="228">
        <v>27.6</v>
      </c>
      <c r="DJ119" s="228">
        <v>28.34</v>
      </c>
      <c r="DK119" s="228">
        <v>-0.74</v>
      </c>
      <c r="DL119" s="228">
        <v>-0.74</v>
      </c>
      <c r="DM119" s="228">
        <v>27.47</v>
      </c>
      <c r="DN119" s="228">
        <v>27.55</v>
      </c>
      <c r="DO119" s="228">
        <v>-0.08</v>
      </c>
      <c r="DP119" s="228">
        <v>-0.08</v>
      </c>
      <c r="DQ119" s="228">
        <v>0.57999999999999996</v>
      </c>
      <c r="DR119" s="228">
        <v>0.6</v>
      </c>
      <c r="DS119" s="228">
        <v>-0.02</v>
      </c>
      <c r="DT119" s="229">
        <v>-3.3300000000000003E-2</v>
      </c>
      <c r="DU119" s="228">
        <v>900</v>
      </c>
      <c r="DV119" s="228">
        <v>800</v>
      </c>
      <c r="DW119" s="228">
        <v>0.47</v>
      </c>
      <c r="DX119" s="228">
        <v>0.24</v>
      </c>
      <c r="DY119" s="228">
        <v>0.23</v>
      </c>
      <c r="DZ119" s="229">
        <v>0.95830000000000004</v>
      </c>
      <c r="EA119" s="229">
        <v>0.1158</v>
      </c>
      <c r="EB119" s="230">
        <v>1106000</v>
      </c>
      <c r="EC119" s="229">
        <v>-5.4000000000000003E-3</v>
      </c>
      <c r="ED119" s="229">
        <v>0.1158</v>
      </c>
      <c r="EE119" s="228">
        <v>-4.59</v>
      </c>
      <c r="EF119" s="229">
        <v>-5.7000000000000002E-3</v>
      </c>
      <c r="EG119" s="230">
        <v>751189</v>
      </c>
      <c r="EH119" s="230">
        <v>248986</v>
      </c>
      <c r="EI119" s="229">
        <v>2.0169999999999999</v>
      </c>
      <c r="EJ119" s="229">
        <v>0.49280000000000002</v>
      </c>
      <c r="EK119" s="228">
        <v>300.16000000000003</v>
      </c>
      <c r="EL119" s="228">
        <v>132.07</v>
      </c>
      <c r="EM119" s="228">
        <v>142.69999999999999</v>
      </c>
      <c r="EN119" s="228">
        <v>17.82</v>
      </c>
      <c r="EO119" s="228">
        <v>574.92999999999995</v>
      </c>
      <c r="EP119" s="228">
        <v>250.81</v>
      </c>
      <c r="EQ119" s="228">
        <v>324.12</v>
      </c>
      <c r="ER119" s="229">
        <v>1.2923</v>
      </c>
      <c r="ES119" s="228">
        <v>512.97</v>
      </c>
      <c r="ET119" s="228">
        <v>273.17</v>
      </c>
      <c r="EU119" s="228">
        <v>803.41</v>
      </c>
      <c r="EV119" s="231">
        <v>33206238</v>
      </c>
      <c r="EW119" s="231">
        <v>1589.55</v>
      </c>
      <c r="EX119" s="231">
        <v>1597.74</v>
      </c>
      <c r="EY119" s="228">
        <v>-8.19</v>
      </c>
      <c r="EZ119" s="229">
        <v>-5.1000000000000004E-3</v>
      </c>
      <c r="FA119" s="229">
        <v>0.58420000000000005</v>
      </c>
      <c r="FB119" s="227" t="s">
        <v>691</v>
      </c>
      <c r="FC119">
        <f t="shared" si="1"/>
        <v>93</v>
      </c>
    </row>
    <row r="120" spans="1:159" ht="17.25" thickBot="1" x14ac:dyDescent="0.3">
      <c r="A120" s="226">
        <v>46148</v>
      </c>
      <c r="B120" s="227" t="s">
        <v>206</v>
      </c>
      <c r="C120" s="227" t="s">
        <v>587</v>
      </c>
      <c r="D120" s="228">
        <v>450</v>
      </c>
      <c r="E120" s="228">
        <v>20</v>
      </c>
      <c r="F120" s="228">
        <v>953.35</v>
      </c>
      <c r="G120" s="228">
        <v>910.35</v>
      </c>
      <c r="H120" s="228">
        <v>43</v>
      </c>
      <c r="I120" s="229">
        <v>4.7199999999999999E-2</v>
      </c>
      <c r="J120" s="228">
        <v>949.15</v>
      </c>
      <c r="K120" s="228">
        <v>907.8</v>
      </c>
      <c r="L120" s="228">
        <v>41.35</v>
      </c>
      <c r="M120" s="229">
        <v>4.5499999999999999E-2</v>
      </c>
      <c r="N120" s="228">
        <v>953.35</v>
      </c>
      <c r="O120" s="228">
        <v>910.35</v>
      </c>
      <c r="P120" s="228">
        <v>43</v>
      </c>
      <c r="Q120" s="229">
        <v>4.7199999999999999E-2</v>
      </c>
      <c r="R120" s="228">
        <v>959.3</v>
      </c>
      <c r="S120" s="228">
        <v>916.4</v>
      </c>
      <c r="T120" s="228">
        <v>42.9</v>
      </c>
      <c r="U120" s="229">
        <v>4.6800000000000001E-2</v>
      </c>
      <c r="V120" s="228">
        <v>956.8</v>
      </c>
      <c r="W120" s="228">
        <v>921</v>
      </c>
      <c r="X120" s="228">
        <v>35.799999999999997</v>
      </c>
      <c r="Y120" s="229">
        <v>3.8899999999999997E-2</v>
      </c>
      <c r="Z120" s="228">
        <v>4.2</v>
      </c>
      <c r="AA120" s="228">
        <v>2.5499999999999998</v>
      </c>
      <c r="AB120" s="228">
        <v>1.65</v>
      </c>
      <c r="AC120" s="229">
        <v>4.4000000000000003E-3</v>
      </c>
      <c r="AD120" s="228">
        <v>4.2</v>
      </c>
      <c r="AE120" s="228">
        <v>2.5499999999999998</v>
      </c>
      <c r="AF120" s="228">
        <v>1.65</v>
      </c>
      <c r="AG120" s="229">
        <v>4.4000000000000003E-3</v>
      </c>
      <c r="AH120" s="228">
        <v>10.15</v>
      </c>
      <c r="AI120" s="228">
        <v>8.6</v>
      </c>
      <c r="AJ120" s="228">
        <v>1.55</v>
      </c>
      <c r="AK120" s="229">
        <v>1.0699999999999999E-2</v>
      </c>
      <c r="AL120" s="228">
        <v>7.65</v>
      </c>
      <c r="AM120" s="228">
        <v>13.2</v>
      </c>
      <c r="AN120" s="228">
        <v>-5.55</v>
      </c>
      <c r="AO120" s="229">
        <v>8.0999999999999996E-3</v>
      </c>
      <c r="AP120" s="228">
        <v>934.03</v>
      </c>
      <c r="AQ120" s="228">
        <v>945.86</v>
      </c>
      <c r="AR120" s="228">
        <v>0</v>
      </c>
      <c r="AS120" s="228">
        <v>155</v>
      </c>
      <c r="AT120" s="228">
        <v>126</v>
      </c>
      <c r="AU120" s="228">
        <v>30</v>
      </c>
      <c r="AV120" s="229">
        <v>0.23630000000000001</v>
      </c>
      <c r="AW120" s="228">
        <v>148</v>
      </c>
      <c r="AX120" s="228">
        <v>121</v>
      </c>
      <c r="AY120" s="228">
        <v>27</v>
      </c>
      <c r="AZ120" s="229">
        <v>0.22520000000000001</v>
      </c>
      <c r="BA120" s="228">
        <v>6</v>
      </c>
      <c r="BB120" s="228">
        <v>4</v>
      </c>
      <c r="BC120" s="228">
        <v>2</v>
      </c>
      <c r="BD120" s="229">
        <v>0.53610000000000002</v>
      </c>
      <c r="BE120" s="228">
        <v>1</v>
      </c>
      <c r="BF120" s="228">
        <v>0</v>
      </c>
      <c r="BG120" s="228">
        <v>0</v>
      </c>
      <c r="BH120" s="229">
        <v>0.5</v>
      </c>
      <c r="BI120" s="228">
        <v>518</v>
      </c>
      <c r="BJ120" s="228">
        <v>268</v>
      </c>
      <c r="BK120" s="228">
        <v>249</v>
      </c>
      <c r="BL120" s="229">
        <v>0.9304</v>
      </c>
      <c r="BM120" s="228">
        <v>176</v>
      </c>
      <c r="BN120" s="228">
        <v>162</v>
      </c>
      <c r="BO120" s="228">
        <v>14</v>
      </c>
      <c r="BP120" s="229">
        <v>8.3500000000000005E-2</v>
      </c>
      <c r="BQ120" s="228">
        <v>849</v>
      </c>
      <c r="BR120" s="228">
        <v>556</v>
      </c>
      <c r="BS120" s="228">
        <v>293</v>
      </c>
      <c r="BT120" s="229">
        <v>0.52629999999999999</v>
      </c>
      <c r="BU120" s="230">
        <v>2592052</v>
      </c>
      <c r="BV120" s="230">
        <v>2340668</v>
      </c>
      <c r="BW120" s="230">
        <v>251384</v>
      </c>
      <c r="BX120" s="229">
        <v>0.1074</v>
      </c>
      <c r="BY120" s="230">
        <v>1378</v>
      </c>
      <c r="BZ120" s="230">
        <v>1414</v>
      </c>
      <c r="CA120" s="228">
        <v>-37</v>
      </c>
      <c r="CB120" s="229">
        <v>-2.5899999999999999E-2</v>
      </c>
      <c r="CC120" s="230">
        <v>1254</v>
      </c>
      <c r="CD120" s="230">
        <v>1290</v>
      </c>
      <c r="CE120" s="228">
        <v>-36</v>
      </c>
      <c r="CF120" s="229">
        <v>-2.7799999999999998E-2</v>
      </c>
      <c r="CG120" s="228">
        <v>123</v>
      </c>
      <c r="CH120" s="228">
        <v>124</v>
      </c>
      <c r="CI120" s="228">
        <v>-1</v>
      </c>
      <c r="CJ120" s="229">
        <v>-5.8999999999999999E-3</v>
      </c>
      <c r="CK120" s="228">
        <v>1</v>
      </c>
      <c r="CL120" s="228">
        <v>1</v>
      </c>
      <c r="CM120" s="228">
        <v>0</v>
      </c>
      <c r="CN120" s="229">
        <v>0</v>
      </c>
      <c r="CO120" s="228">
        <v>214</v>
      </c>
      <c r="CP120" s="228">
        <v>239</v>
      </c>
      <c r="CQ120" s="228">
        <v>-25</v>
      </c>
      <c r="CR120" s="229">
        <v>-0.10589999999999999</v>
      </c>
      <c r="CS120" s="228">
        <v>155</v>
      </c>
      <c r="CT120" s="228">
        <v>162</v>
      </c>
      <c r="CU120" s="228">
        <v>-6</v>
      </c>
      <c r="CV120" s="229">
        <v>-3.95E-2</v>
      </c>
      <c r="CW120" s="230">
        <v>1747</v>
      </c>
      <c r="CX120" s="230">
        <v>1815</v>
      </c>
      <c r="CY120" s="228">
        <v>-68</v>
      </c>
      <c r="CZ120" s="229">
        <v>-3.7699999999999997E-2</v>
      </c>
      <c r="DA120" s="228">
        <v>38.29</v>
      </c>
      <c r="DB120" s="228">
        <v>39.090000000000003</v>
      </c>
      <c r="DC120" s="228">
        <v>-0.8</v>
      </c>
      <c r="DD120" s="228">
        <v>-0.8</v>
      </c>
      <c r="DE120" s="228">
        <v>48.04</v>
      </c>
      <c r="DF120" s="228">
        <v>47.78</v>
      </c>
      <c r="DG120" s="228">
        <v>-9.75</v>
      </c>
      <c r="DH120" s="228">
        <v>0.26</v>
      </c>
      <c r="DI120" s="228">
        <v>37.49</v>
      </c>
      <c r="DJ120" s="228">
        <v>38.909999999999997</v>
      </c>
      <c r="DK120" s="228">
        <v>-1.42</v>
      </c>
      <c r="DL120" s="228">
        <v>-1.42</v>
      </c>
      <c r="DM120" s="228">
        <v>40.64</v>
      </c>
      <c r="DN120" s="228">
        <v>39.4</v>
      </c>
      <c r="DO120" s="228">
        <v>1.24</v>
      </c>
      <c r="DP120" s="228">
        <v>1.24</v>
      </c>
      <c r="DQ120" s="228">
        <v>0.73</v>
      </c>
      <c r="DR120" s="228">
        <v>0.68</v>
      </c>
      <c r="DS120" s="228">
        <v>0.05</v>
      </c>
      <c r="DT120" s="229">
        <v>7.3499999999999996E-2</v>
      </c>
      <c r="DU120" s="231">
        <v>1000</v>
      </c>
      <c r="DV120" s="228">
        <v>900</v>
      </c>
      <c r="DW120" s="228">
        <v>0.34</v>
      </c>
      <c r="DX120" s="228">
        <v>0.61</v>
      </c>
      <c r="DY120" s="228">
        <v>-0.27</v>
      </c>
      <c r="DZ120" s="229">
        <v>-0.44259999999999999</v>
      </c>
      <c r="EA120" s="229">
        <v>8.9899999999999994E-2</v>
      </c>
      <c r="EB120" s="230">
        <v>1307075</v>
      </c>
      <c r="EC120" s="229">
        <v>6.1999999999999998E-3</v>
      </c>
      <c r="ED120" s="229">
        <v>8.9899999999999994E-2</v>
      </c>
      <c r="EE120" s="228">
        <v>11.83</v>
      </c>
      <c r="EF120" s="229">
        <v>1.2699999999999999E-2</v>
      </c>
      <c r="EG120" s="230">
        <v>1457336</v>
      </c>
      <c r="EH120" s="230">
        <v>1059996</v>
      </c>
      <c r="EI120" s="229">
        <v>0.37490000000000001</v>
      </c>
      <c r="EJ120" s="229">
        <v>0.56220000000000003</v>
      </c>
      <c r="EK120" s="228">
        <v>537.51</v>
      </c>
      <c r="EL120" s="228">
        <v>165.97</v>
      </c>
      <c r="EM120" s="228">
        <v>152.49</v>
      </c>
      <c r="EN120" s="228">
        <v>42.45</v>
      </c>
      <c r="EO120" s="228">
        <v>855.97</v>
      </c>
      <c r="EP120" s="228">
        <v>551.22</v>
      </c>
      <c r="EQ120" s="228">
        <v>304.75</v>
      </c>
      <c r="ER120" s="229">
        <v>0.55289999999999995</v>
      </c>
      <c r="ES120" s="228">
        <v>213.02</v>
      </c>
      <c r="ET120" s="228">
        <v>141.29</v>
      </c>
      <c r="EU120" s="231">
        <v>1378.38</v>
      </c>
      <c r="EV120" s="231">
        <v>42165698</v>
      </c>
      <c r="EW120" s="231">
        <v>1732.69</v>
      </c>
      <c r="EX120" s="231">
        <v>1734.88</v>
      </c>
      <c r="EY120" s="228">
        <v>-2.19</v>
      </c>
      <c r="EZ120" s="229">
        <v>-1.2999999999999999E-3</v>
      </c>
      <c r="FA120" s="229">
        <v>0.4345</v>
      </c>
      <c r="FB120" s="227" t="s">
        <v>691</v>
      </c>
      <c r="FC120">
        <f t="shared" si="1"/>
        <v>124</v>
      </c>
    </row>
    <row r="121" spans="1:159" ht="17.25" thickBot="1" x14ac:dyDescent="0.3">
      <c r="A121" s="226">
        <v>46148</v>
      </c>
      <c r="B121" s="227" t="s">
        <v>184</v>
      </c>
      <c r="C121" s="227" t="s">
        <v>249</v>
      </c>
      <c r="D121" s="228">
        <v>175</v>
      </c>
      <c r="E121" s="228">
        <v>20</v>
      </c>
      <c r="F121" s="231">
        <v>3999.7</v>
      </c>
      <c r="G121" s="231">
        <v>4079.2</v>
      </c>
      <c r="H121" s="228">
        <v>-79.5</v>
      </c>
      <c r="I121" s="229">
        <v>-1.95E-2</v>
      </c>
      <c r="J121" s="231">
        <v>4008.5</v>
      </c>
      <c r="K121" s="231">
        <v>4054.5</v>
      </c>
      <c r="L121" s="228">
        <v>-46</v>
      </c>
      <c r="M121" s="229">
        <v>-1.1299999999999999E-2</v>
      </c>
      <c r="N121" s="231">
        <v>3999.7</v>
      </c>
      <c r="O121" s="231">
        <v>4079.2</v>
      </c>
      <c r="P121" s="228">
        <v>-79.5</v>
      </c>
      <c r="Q121" s="229">
        <v>-1.95E-2</v>
      </c>
      <c r="R121" s="231">
        <v>4020.3</v>
      </c>
      <c r="S121" s="231">
        <v>4071.2</v>
      </c>
      <c r="T121" s="228">
        <v>-50.9</v>
      </c>
      <c r="U121" s="229">
        <v>-1.2500000000000001E-2</v>
      </c>
      <c r="V121" s="231">
        <v>4042.2</v>
      </c>
      <c r="W121" s="231">
        <v>4093.1</v>
      </c>
      <c r="X121" s="228">
        <v>-50.9</v>
      </c>
      <c r="Y121" s="229">
        <v>-1.24E-2</v>
      </c>
      <c r="Z121" s="228">
        <v>-8.8000000000000007</v>
      </c>
      <c r="AA121" s="228">
        <v>24.7</v>
      </c>
      <c r="AB121" s="228">
        <v>-33.5</v>
      </c>
      <c r="AC121" s="229">
        <v>-2.2000000000000001E-3</v>
      </c>
      <c r="AD121" s="228">
        <v>-8.8000000000000007</v>
      </c>
      <c r="AE121" s="228">
        <v>24.7</v>
      </c>
      <c r="AF121" s="228">
        <v>-33.5</v>
      </c>
      <c r="AG121" s="229">
        <v>-2.2000000000000001E-3</v>
      </c>
      <c r="AH121" s="228">
        <v>11.8</v>
      </c>
      <c r="AI121" s="228">
        <v>16.7</v>
      </c>
      <c r="AJ121" s="228">
        <v>-4.9000000000000004</v>
      </c>
      <c r="AK121" s="229">
        <v>2.8999999999999998E-3</v>
      </c>
      <c r="AL121" s="228">
        <v>33.700000000000003</v>
      </c>
      <c r="AM121" s="228">
        <v>38.6</v>
      </c>
      <c r="AN121" s="228">
        <v>-4.9000000000000004</v>
      </c>
      <c r="AO121" s="229">
        <v>8.3999999999999995E-3</v>
      </c>
      <c r="AP121" s="231">
        <v>3938.16</v>
      </c>
      <c r="AQ121" s="231">
        <v>3953.48</v>
      </c>
      <c r="AR121" s="228">
        <v>0</v>
      </c>
      <c r="AS121" s="230">
        <v>3368</v>
      </c>
      <c r="AT121" s="230">
        <v>1268</v>
      </c>
      <c r="AU121" s="230">
        <v>2100</v>
      </c>
      <c r="AV121" s="229">
        <v>1.657</v>
      </c>
      <c r="AW121" s="230">
        <v>3090</v>
      </c>
      <c r="AX121" s="230">
        <v>1185</v>
      </c>
      <c r="AY121" s="230">
        <v>1905</v>
      </c>
      <c r="AZ121" s="229">
        <v>1.6084000000000001</v>
      </c>
      <c r="BA121" s="228">
        <v>241</v>
      </c>
      <c r="BB121" s="228">
        <v>74</v>
      </c>
      <c r="BC121" s="228">
        <v>166</v>
      </c>
      <c r="BD121" s="229">
        <v>2.2353999999999998</v>
      </c>
      <c r="BE121" s="228">
        <v>37</v>
      </c>
      <c r="BF121" s="228">
        <v>8</v>
      </c>
      <c r="BG121" s="228">
        <v>29</v>
      </c>
      <c r="BH121" s="229">
        <v>3.3883999999999999</v>
      </c>
      <c r="BI121" s="230">
        <v>14860</v>
      </c>
      <c r="BJ121" s="230">
        <v>3191</v>
      </c>
      <c r="BK121" s="230">
        <v>11669</v>
      </c>
      <c r="BL121" s="229">
        <v>3.6564000000000001</v>
      </c>
      <c r="BM121" s="230">
        <v>6320</v>
      </c>
      <c r="BN121" s="230">
        <v>2040</v>
      </c>
      <c r="BO121" s="230">
        <v>4280</v>
      </c>
      <c r="BP121" s="229">
        <v>2.0979999999999999</v>
      </c>
      <c r="BQ121" s="230">
        <v>24548</v>
      </c>
      <c r="BR121" s="230">
        <v>6499</v>
      </c>
      <c r="BS121" s="230">
        <v>18049</v>
      </c>
      <c r="BT121" s="229">
        <v>2.7772000000000001</v>
      </c>
      <c r="BU121" s="230">
        <v>10297364</v>
      </c>
      <c r="BV121" s="230">
        <v>3970512</v>
      </c>
      <c r="BW121" s="230">
        <v>6326852</v>
      </c>
      <c r="BX121" s="229">
        <v>1.5934999999999999</v>
      </c>
      <c r="BY121" s="230">
        <v>6966</v>
      </c>
      <c r="BZ121" s="230">
        <v>5924</v>
      </c>
      <c r="CA121" s="230">
        <v>1042</v>
      </c>
      <c r="CB121" s="229">
        <v>0.1759</v>
      </c>
      <c r="CC121" s="230">
        <v>6569</v>
      </c>
      <c r="CD121" s="230">
        <v>5618</v>
      </c>
      <c r="CE121" s="228">
        <v>950</v>
      </c>
      <c r="CF121" s="229">
        <v>0.1691</v>
      </c>
      <c r="CG121" s="228">
        <v>369</v>
      </c>
      <c r="CH121" s="228">
        <v>292</v>
      </c>
      <c r="CI121" s="228">
        <v>77</v>
      </c>
      <c r="CJ121" s="229">
        <v>0.26290000000000002</v>
      </c>
      <c r="CK121" s="228">
        <v>29</v>
      </c>
      <c r="CL121" s="228">
        <v>14</v>
      </c>
      <c r="CM121" s="228">
        <v>15</v>
      </c>
      <c r="CN121" s="229">
        <v>1.0909</v>
      </c>
      <c r="CO121" s="230">
        <v>3381</v>
      </c>
      <c r="CP121" s="230">
        <v>2293</v>
      </c>
      <c r="CQ121" s="230">
        <v>1088</v>
      </c>
      <c r="CR121" s="229">
        <v>0.47449999999999998</v>
      </c>
      <c r="CS121" s="230">
        <v>2024</v>
      </c>
      <c r="CT121" s="230">
        <v>1801</v>
      </c>
      <c r="CU121" s="228">
        <v>223</v>
      </c>
      <c r="CV121" s="229">
        <v>0.1237</v>
      </c>
      <c r="CW121" s="230">
        <v>12371</v>
      </c>
      <c r="CX121" s="230">
        <v>10018</v>
      </c>
      <c r="CY121" s="230">
        <v>2353</v>
      </c>
      <c r="CZ121" s="229">
        <v>0.2349</v>
      </c>
      <c r="DA121" s="228">
        <v>26.93</v>
      </c>
      <c r="DB121" s="228">
        <v>31.87</v>
      </c>
      <c r="DC121" s="228">
        <v>-4.9400000000000004</v>
      </c>
      <c r="DD121" s="228">
        <v>-4.9400000000000004</v>
      </c>
      <c r="DE121" s="228">
        <v>33.53</v>
      </c>
      <c r="DF121" s="228">
        <v>33.58</v>
      </c>
      <c r="DG121" s="228">
        <v>-6.6</v>
      </c>
      <c r="DH121" s="228">
        <v>-0.05</v>
      </c>
      <c r="DI121" s="228">
        <v>27.01</v>
      </c>
      <c r="DJ121" s="228">
        <v>31.45</v>
      </c>
      <c r="DK121" s="228">
        <v>-4.4400000000000004</v>
      </c>
      <c r="DL121" s="228">
        <v>-4.4400000000000004</v>
      </c>
      <c r="DM121" s="228">
        <v>26.74</v>
      </c>
      <c r="DN121" s="228">
        <v>32.53</v>
      </c>
      <c r="DO121" s="228">
        <v>-5.79</v>
      </c>
      <c r="DP121" s="228">
        <v>-5.79</v>
      </c>
      <c r="DQ121" s="228">
        <v>0.6</v>
      </c>
      <c r="DR121" s="228">
        <v>0.79</v>
      </c>
      <c r="DS121" s="228">
        <v>-0.19</v>
      </c>
      <c r="DT121" s="229">
        <v>-0.24049999999999999</v>
      </c>
      <c r="DU121" s="231">
        <v>4200</v>
      </c>
      <c r="DV121" s="231">
        <v>3900</v>
      </c>
      <c r="DW121" s="228">
        <v>0.43</v>
      </c>
      <c r="DX121" s="228">
        <v>0.64</v>
      </c>
      <c r="DY121" s="228">
        <v>-0.21</v>
      </c>
      <c r="DZ121" s="229">
        <v>-0.3281</v>
      </c>
      <c r="EA121" s="229">
        <v>5.7099999999999998E-2</v>
      </c>
      <c r="EB121" s="230">
        <v>764225</v>
      </c>
      <c r="EC121" s="229">
        <v>5.1999999999999998E-3</v>
      </c>
      <c r="ED121" s="229">
        <v>5.7099999999999998E-2</v>
      </c>
      <c r="EE121" s="228">
        <v>15.32</v>
      </c>
      <c r="EF121" s="229">
        <v>3.8999999999999998E-3</v>
      </c>
      <c r="EG121" s="230">
        <v>5539181</v>
      </c>
      <c r="EH121" s="230">
        <v>2089001</v>
      </c>
      <c r="EI121" s="229">
        <v>1.6516</v>
      </c>
      <c r="EJ121" s="229">
        <v>0.53790000000000004</v>
      </c>
      <c r="EK121" s="231">
        <v>15500.51</v>
      </c>
      <c r="EL121" s="231">
        <v>6160.29</v>
      </c>
      <c r="EM121" s="231">
        <v>3317.31</v>
      </c>
      <c r="EN121" s="228">
        <v>134.06</v>
      </c>
      <c r="EO121" s="231">
        <v>24978.11</v>
      </c>
      <c r="EP121" s="231">
        <v>6790.31</v>
      </c>
      <c r="EQ121" s="231">
        <v>18187.8</v>
      </c>
      <c r="ER121" s="229">
        <v>2.6785000000000001</v>
      </c>
      <c r="ES121" s="231">
        <v>3561.76</v>
      </c>
      <c r="ET121" s="231">
        <v>1970.02</v>
      </c>
      <c r="EU121" s="231">
        <v>6968.36</v>
      </c>
      <c r="EV121" s="231">
        <v>136099497</v>
      </c>
      <c r="EW121" s="231">
        <v>12500.14</v>
      </c>
      <c r="EX121" s="231">
        <v>10264.459999999999</v>
      </c>
      <c r="EY121" s="231">
        <v>2235.6799999999998</v>
      </c>
      <c r="EZ121" s="229">
        <v>0.21779999999999999</v>
      </c>
      <c r="FA121" s="229">
        <v>0.2273</v>
      </c>
      <c r="FB121" s="227" t="s">
        <v>566</v>
      </c>
      <c r="FC121">
        <f t="shared" si="1"/>
        <v>397</v>
      </c>
    </row>
    <row r="122" spans="1:159" ht="17.25" thickBot="1" x14ac:dyDescent="0.3">
      <c r="A122" s="226">
        <v>46148</v>
      </c>
      <c r="B122" s="227" t="s">
        <v>175</v>
      </c>
      <c r="C122" s="227" t="s">
        <v>564</v>
      </c>
      <c r="D122" s="228">
        <v>2250</v>
      </c>
      <c r="E122" s="228">
        <v>20</v>
      </c>
      <c r="F122" s="228">
        <v>298.60000000000002</v>
      </c>
      <c r="G122" s="228">
        <v>289.35000000000002</v>
      </c>
      <c r="H122" s="228">
        <v>9.25</v>
      </c>
      <c r="I122" s="229">
        <v>3.2000000000000001E-2</v>
      </c>
      <c r="J122" s="228">
        <v>300.3</v>
      </c>
      <c r="K122" s="228">
        <v>290.45</v>
      </c>
      <c r="L122" s="228">
        <v>9.85</v>
      </c>
      <c r="M122" s="229">
        <v>3.39E-2</v>
      </c>
      <c r="N122" s="228">
        <v>298.60000000000002</v>
      </c>
      <c r="O122" s="228">
        <v>289.35000000000002</v>
      </c>
      <c r="P122" s="228">
        <v>9.25</v>
      </c>
      <c r="Q122" s="229">
        <v>3.2000000000000001E-2</v>
      </c>
      <c r="R122" s="228">
        <v>297.3</v>
      </c>
      <c r="S122" s="228">
        <v>288.75</v>
      </c>
      <c r="T122" s="228">
        <v>8.5500000000000007</v>
      </c>
      <c r="U122" s="229">
        <v>2.9600000000000001E-2</v>
      </c>
      <c r="V122" s="228">
        <v>297.05</v>
      </c>
      <c r="W122" s="228">
        <v>287.14999999999998</v>
      </c>
      <c r="X122" s="228">
        <v>9.9</v>
      </c>
      <c r="Y122" s="229">
        <v>3.4500000000000003E-2</v>
      </c>
      <c r="Z122" s="228">
        <v>-1.7</v>
      </c>
      <c r="AA122" s="228">
        <v>-1.1000000000000001</v>
      </c>
      <c r="AB122" s="228">
        <v>-0.6</v>
      </c>
      <c r="AC122" s="229">
        <v>-5.7000000000000002E-3</v>
      </c>
      <c r="AD122" s="228">
        <v>-1.7</v>
      </c>
      <c r="AE122" s="228">
        <v>-1.1000000000000001</v>
      </c>
      <c r="AF122" s="228">
        <v>-0.6</v>
      </c>
      <c r="AG122" s="229">
        <v>-5.7000000000000002E-3</v>
      </c>
      <c r="AH122" s="228">
        <v>-3</v>
      </c>
      <c r="AI122" s="228">
        <v>-1.7</v>
      </c>
      <c r="AJ122" s="228">
        <v>-1.3</v>
      </c>
      <c r="AK122" s="229">
        <v>-0.01</v>
      </c>
      <c r="AL122" s="228">
        <v>-3.25</v>
      </c>
      <c r="AM122" s="228">
        <v>-3.3</v>
      </c>
      <c r="AN122" s="228">
        <v>0.05</v>
      </c>
      <c r="AO122" s="229">
        <v>-1.0800000000000001E-2</v>
      </c>
      <c r="AP122" s="228">
        <v>296.94</v>
      </c>
      <c r="AQ122" s="228">
        <v>295.87</v>
      </c>
      <c r="AR122" s="228">
        <v>0</v>
      </c>
      <c r="AS122" s="228">
        <v>405</v>
      </c>
      <c r="AT122" s="228">
        <v>222</v>
      </c>
      <c r="AU122" s="228">
        <v>182</v>
      </c>
      <c r="AV122" s="229">
        <v>0.82069999999999999</v>
      </c>
      <c r="AW122" s="228">
        <v>370</v>
      </c>
      <c r="AX122" s="228">
        <v>203</v>
      </c>
      <c r="AY122" s="228">
        <v>167</v>
      </c>
      <c r="AZ122" s="229">
        <v>0.82540000000000002</v>
      </c>
      <c r="BA122" s="228">
        <v>31</v>
      </c>
      <c r="BB122" s="228">
        <v>18</v>
      </c>
      <c r="BC122" s="228">
        <v>13</v>
      </c>
      <c r="BD122" s="229">
        <v>0.75190000000000001</v>
      </c>
      <c r="BE122" s="228">
        <v>3</v>
      </c>
      <c r="BF122" s="228">
        <v>2</v>
      </c>
      <c r="BG122" s="228">
        <v>2</v>
      </c>
      <c r="BH122" s="229">
        <v>1</v>
      </c>
      <c r="BI122" s="230">
        <v>1042</v>
      </c>
      <c r="BJ122" s="228">
        <v>332</v>
      </c>
      <c r="BK122" s="228">
        <v>710</v>
      </c>
      <c r="BL122" s="229">
        <v>2.141</v>
      </c>
      <c r="BM122" s="228">
        <v>357</v>
      </c>
      <c r="BN122" s="228">
        <v>119</v>
      </c>
      <c r="BO122" s="228">
        <v>238</v>
      </c>
      <c r="BP122" s="229">
        <v>2.0078999999999998</v>
      </c>
      <c r="BQ122" s="230">
        <v>1804</v>
      </c>
      <c r="BR122" s="228">
        <v>673</v>
      </c>
      <c r="BS122" s="230">
        <v>1131</v>
      </c>
      <c r="BT122" s="229">
        <v>1.6813</v>
      </c>
      <c r="BU122" s="230">
        <v>9317777</v>
      </c>
      <c r="BV122" s="230">
        <v>4785895</v>
      </c>
      <c r="BW122" s="230">
        <v>4531882</v>
      </c>
      <c r="BX122" s="229">
        <v>0.94689999999999996</v>
      </c>
      <c r="BY122" s="230">
        <v>1339</v>
      </c>
      <c r="BZ122" s="230">
        <v>1348</v>
      </c>
      <c r="CA122" s="228">
        <v>-9</v>
      </c>
      <c r="CB122" s="229">
        <v>-6.4999999999999997E-3</v>
      </c>
      <c r="CC122" s="230">
        <v>1298</v>
      </c>
      <c r="CD122" s="230">
        <v>1316</v>
      </c>
      <c r="CE122" s="228">
        <v>-17</v>
      </c>
      <c r="CF122" s="229">
        <v>-1.32E-2</v>
      </c>
      <c r="CG122" s="228">
        <v>37</v>
      </c>
      <c r="CH122" s="228">
        <v>30</v>
      </c>
      <c r="CI122" s="228">
        <v>7</v>
      </c>
      <c r="CJ122" s="229">
        <v>0.22869999999999999</v>
      </c>
      <c r="CK122" s="228">
        <v>4</v>
      </c>
      <c r="CL122" s="228">
        <v>2</v>
      </c>
      <c r="CM122" s="228">
        <v>2</v>
      </c>
      <c r="CN122" s="229">
        <v>0.76470000000000005</v>
      </c>
      <c r="CO122" s="228">
        <v>433</v>
      </c>
      <c r="CP122" s="228">
        <v>444</v>
      </c>
      <c r="CQ122" s="228">
        <v>-11</v>
      </c>
      <c r="CR122" s="229">
        <v>-2.5600000000000001E-2</v>
      </c>
      <c r="CS122" s="228">
        <v>321</v>
      </c>
      <c r="CT122" s="228">
        <v>318</v>
      </c>
      <c r="CU122" s="228">
        <v>4</v>
      </c>
      <c r="CV122" s="229">
        <v>1.18E-2</v>
      </c>
      <c r="CW122" s="230">
        <v>2093</v>
      </c>
      <c r="CX122" s="230">
        <v>2110</v>
      </c>
      <c r="CY122" s="228">
        <v>-16</v>
      </c>
      <c r="CZ122" s="229">
        <v>-7.7000000000000002E-3</v>
      </c>
      <c r="DA122" s="228">
        <v>33.32</v>
      </c>
      <c r="DB122" s="228">
        <v>36.35</v>
      </c>
      <c r="DC122" s="228">
        <v>-3.03</v>
      </c>
      <c r="DD122" s="228">
        <v>-3.03</v>
      </c>
      <c r="DE122" s="228">
        <v>40.94</v>
      </c>
      <c r="DF122" s="228">
        <v>40.82</v>
      </c>
      <c r="DG122" s="228">
        <v>-7.62</v>
      </c>
      <c r="DH122" s="228">
        <v>0.12</v>
      </c>
      <c r="DI122" s="228">
        <v>32.83</v>
      </c>
      <c r="DJ122" s="228">
        <v>36.07</v>
      </c>
      <c r="DK122" s="228">
        <v>-3.24</v>
      </c>
      <c r="DL122" s="228">
        <v>-3.24</v>
      </c>
      <c r="DM122" s="228">
        <v>34.75</v>
      </c>
      <c r="DN122" s="228">
        <v>37.119999999999997</v>
      </c>
      <c r="DO122" s="228">
        <v>-2.37</v>
      </c>
      <c r="DP122" s="228">
        <v>-2.37</v>
      </c>
      <c r="DQ122" s="228">
        <v>0.74</v>
      </c>
      <c r="DR122" s="228">
        <v>0.72</v>
      </c>
      <c r="DS122" s="228">
        <v>0.02</v>
      </c>
      <c r="DT122" s="229">
        <v>2.7799999999999998E-2</v>
      </c>
      <c r="DU122" s="228">
        <v>290</v>
      </c>
      <c r="DV122" s="228">
        <v>290</v>
      </c>
      <c r="DW122" s="228">
        <v>0.34</v>
      </c>
      <c r="DX122" s="228">
        <v>0.36</v>
      </c>
      <c r="DY122" s="228">
        <v>-0.02</v>
      </c>
      <c r="DZ122" s="229">
        <v>-5.5599999999999997E-2</v>
      </c>
      <c r="EA122" s="229">
        <v>3.0499999999999999E-2</v>
      </c>
      <c r="EB122" s="230">
        <v>1080000</v>
      </c>
      <c r="EC122" s="229">
        <v>-4.4000000000000003E-3</v>
      </c>
      <c r="ED122" s="229">
        <v>3.0499999999999999E-2</v>
      </c>
      <c r="EE122" s="228">
        <v>-1.07</v>
      </c>
      <c r="EF122" s="229">
        <v>-3.5999999999999999E-3</v>
      </c>
      <c r="EG122" s="230">
        <v>2926618</v>
      </c>
      <c r="EH122" s="230">
        <v>1906816</v>
      </c>
      <c r="EI122" s="229">
        <v>0.53480000000000005</v>
      </c>
      <c r="EJ122" s="229">
        <v>0.31409999999999999</v>
      </c>
      <c r="EK122" s="231">
        <v>1090.3800000000001</v>
      </c>
      <c r="EL122" s="228">
        <v>347.61</v>
      </c>
      <c r="EM122" s="228">
        <v>402.28</v>
      </c>
      <c r="EN122" s="228">
        <v>31.07</v>
      </c>
      <c r="EO122" s="231">
        <v>1840.27</v>
      </c>
      <c r="EP122" s="228">
        <v>666.66</v>
      </c>
      <c r="EQ122" s="231">
        <v>1173.6099999999999</v>
      </c>
      <c r="ER122" s="229">
        <v>1.7604</v>
      </c>
      <c r="ES122" s="228">
        <v>437.29</v>
      </c>
      <c r="ET122" s="228">
        <v>305.04000000000002</v>
      </c>
      <c r="EU122" s="231">
        <v>1339.15</v>
      </c>
      <c r="EV122" s="231">
        <v>127514625</v>
      </c>
      <c r="EW122" s="231">
        <v>2081.48</v>
      </c>
      <c r="EX122" s="231">
        <v>2051.8000000000002</v>
      </c>
      <c r="EY122" s="228">
        <v>29.68</v>
      </c>
      <c r="EZ122" s="229">
        <v>1.4500000000000001E-2</v>
      </c>
      <c r="FA122" s="229">
        <v>0.54979999999999996</v>
      </c>
      <c r="FB122" s="227" t="s">
        <v>691</v>
      </c>
      <c r="FC122">
        <f t="shared" si="1"/>
        <v>41</v>
      </c>
    </row>
    <row r="123" spans="1:159" ht="17.25" thickBot="1" x14ac:dyDescent="0.3">
      <c r="A123" s="226">
        <v>46148</v>
      </c>
      <c r="B123" s="227" t="s">
        <v>221</v>
      </c>
      <c r="C123" s="227" t="s">
        <v>690</v>
      </c>
      <c r="D123" s="228">
        <v>150</v>
      </c>
      <c r="E123" s="228">
        <v>20</v>
      </c>
      <c r="F123" s="231">
        <v>4262.6000000000004</v>
      </c>
      <c r="G123" s="231">
        <v>4246</v>
      </c>
      <c r="H123" s="228">
        <v>16.600000000000001</v>
      </c>
      <c r="I123" s="229">
        <v>3.8999999999999998E-3</v>
      </c>
      <c r="J123" s="231">
        <v>4316</v>
      </c>
      <c r="K123" s="231">
        <v>4298.8</v>
      </c>
      <c r="L123" s="228">
        <v>17.2</v>
      </c>
      <c r="M123" s="229">
        <v>4.0000000000000001E-3</v>
      </c>
      <c r="N123" s="231">
        <v>4262.6000000000004</v>
      </c>
      <c r="O123" s="231">
        <v>4246</v>
      </c>
      <c r="P123" s="228">
        <v>16.600000000000001</v>
      </c>
      <c r="Q123" s="229">
        <v>3.8999999999999998E-3</v>
      </c>
      <c r="R123" s="231">
        <v>4219.8999999999996</v>
      </c>
      <c r="S123" s="231">
        <v>4168</v>
      </c>
      <c r="T123" s="228">
        <v>51.9</v>
      </c>
      <c r="U123" s="229">
        <v>1.2500000000000001E-2</v>
      </c>
      <c r="V123" s="231">
        <v>4187.3999999999996</v>
      </c>
      <c r="W123" s="231">
        <v>4105</v>
      </c>
      <c r="X123" s="228">
        <v>82.4</v>
      </c>
      <c r="Y123" s="229">
        <v>2.01E-2</v>
      </c>
      <c r="Z123" s="228">
        <v>-53.4</v>
      </c>
      <c r="AA123" s="228">
        <v>-52.8</v>
      </c>
      <c r="AB123" s="228">
        <v>-0.6</v>
      </c>
      <c r="AC123" s="229">
        <v>-1.24E-2</v>
      </c>
      <c r="AD123" s="228">
        <v>-53.4</v>
      </c>
      <c r="AE123" s="228">
        <v>-52.8</v>
      </c>
      <c r="AF123" s="228">
        <v>-0.6</v>
      </c>
      <c r="AG123" s="229">
        <v>-1.24E-2</v>
      </c>
      <c r="AH123" s="228">
        <v>-96.1</v>
      </c>
      <c r="AI123" s="228">
        <v>-130.80000000000001</v>
      </c>
      <c r="AJ123" s="228">
        <v>34.700000000000003</v>
      </c>
      <c r="AK123" s="229">
        <v>-2.23E-2</v>
      </c>
      <c r="AL123" s="228">
        <v>-128.6</v>
      </c>
      <c r="AM123" s="228">
        <v>-193.8</v>
      </c>
      <c r="AN123" s="228">
        <v>65.2</v>
      </c>
      <c r="AO123" s="229">
        <v>-2.98E-2</v>
      </c>
      <c r="AP123" s="231">
        <v>4272.76</v>
      </c>
      <c r="AQ123" s="231">
        <v>4206.5200000000004</v>
      </c>
      <c r="AR123" s="228">
        <v>0</v>
      </c>
      <c r="AS123" s="228">
        <v>276</v>
      </c>
      <c r="AT123" s="228">
        <v>306</v>
      </c>
      <c r="AU123" s="228">
        <v>-31</v>
      </c>
      <c r="AV123" s="229">
        <v>-0.1</v>
      </c>
      <c r="AW123" s="228">
        <v>197</v>
      </c>
      <c r="AX123" s="228">
        <v>216</v>
      </c>
      <c r="AY123" s="228">
        <v>-19</v>
      </c>
      <c r="AZ123" s="229">
        <v>-8.8099999999999998E-2</v>
      </c>
      <c r="BA123" s="228">
        <v>77</v>
      </c>
      <c r="BB123" s="228">
        <v>89</v>
      </c>
      <c r="BC123" s="228">
        <v>-13</v>
      </c>
      <c r="BD123" s="229">
        <v>-0.14149999999999999</v>
      </c>
      <c r="BE123" s="228">
        <v>2</v>
      </c>
      <c r="BF123" s="228">
        <v>1</v>
      </c>
      <c r="BG123" s="228">
        <v>1</v>
      </c>
      <c r="BH123" s="229">
        <v>1.8889</v>
      </c>
      <c r="BI123" s="228">
        <v>695</v>
      </c>
      <c r="BJ123" s="228">
        <v>602</v>
      </c>
      <c r="BK123" s="228">
        <v>93</v>
      </c>
      <c r="BL123" s="229">
        <v>0.15390000000000001</v>
      </c>
      <c r="BM123" s="228">
        <v>232</v>
      </c>
      <c r="BN123" s="228">
        <v>320</v>
      </c>
      <c r="BO123" s="228">
        <v>-88</v>
      </c>
      <c r="BP123" s="229">
        <v>-0.27410000000000001</v>
      </c>
      <c r="BQ123" s="230">
        <v>1203</v>
      </c>
      <c r="BR123" s="230">
        <v>1228</v>
      </c>
      <c r="BS123" s="228">
        <v>-26</v>
      </c>
      <c r="BT123" s="229">
        <v>-2.0899999999999998E-2</v>
      </c>
      <c r="BU123" s="230">
        <v>238322</v>
      </c>
      <c r="BV123" s="230">
        <v>284654</v>
      </c>
      <c r="BW123" s="230">
        <v>-46332</v>
      </c>
      <c r="BX123" s="229">
        <v>-0.1628</v>
      </c>
      <c r="BY123" s="230">
        <v>1541</v>
      </c>
      <c r="BZ123" s="230">
        <v>1493</v>
      </c>
      <c r="CA123" s="228">
        <v>49</v>
      </c>
      <c r="CB123" s="229">
        <v>3.27E-2</v>
      </c>
      <c r="CC123" s="230">
        <v>1371</v>
      </c>
      <c r="CD123" s="230">
        <v>1366</v>
      </c>
      <c r="CE123" s="228">
        <v>5</v>
      </c>
      <c r="CF123" s="229">
        <v>3.5000000000000001E-3</v>
      </c>
      <c r="CG123" s="228">
        <v>164</v>
      </c>
      <c r="CH123" s="228">
        <v>120</v>
      </c>
      <c r="CI123" s="228">
        <v>44</v>
      </c>
      <c r="CJ123" s="229">
        <v>0.36180000000000001</v>
      </c>
      <c r="CK123" s="228">
        <v>7</v>
      </c>
      <c r="CL123" s="228">
        <v>6</v>
      </c>
      <c r="CM123" s="228">
        <v>1</v>
      </c>
      <c r="CN123" s="229">
        <v>8.4199999999999997E-2</v>
      </c>
      <c r="CO123" s="228">
        <v>457</v>
      </c>
      <c r="CP123" s="228">
        <v>400</v>
      </c>
      <c r="CQ123" s="228">
        <v>57</v>
      </c>
      <c r="CR123" s="229">
        <v>0.14380000000000001</v>
      </c>
      <c r="CS123" s="228">
        <v>261</v>
      </c>
      <c r="CT123" s="228">
        <v>281</v>
      </c>
      <c r="CU123" s="228">
        <v>-20</v>
      </c>
      <c r="CV123" s="229">
        <v>-7.0300000000000001E-2</v>
      </c>
      <c r="CW123" s="230">
        <v>2260</v>
      </c>
      <c r="CX123" s="230">
        <v>2173</v>
      </c>
      <c r="CY123" s="228">
        <v>87</v>
      </c>
      <c r="CZ123" s="229">
        <v>3.9800000000000002E-2</v>
      </c>
      <c r="DA123" s="228">
        <v>31.72</v>
      </c>
      <c r="DB123" s="228">
        <v>32.33</v>
      </c>
      <c r="DC123" s="228">
        <v>-0.61</v>
      </c>
      <c r="DD123" s="228">
        <v>-0.61</v>
      </c>
      <c r="DE123" s="228">
        <v>36.33</v>
      </c>
      <c r="DF123" s="228">
        <v>36.42</v>
      </c>
      <c r="DG123" s="228">
        <v>-4.6100000000000003</v>
      </c>
      <c r="DH123" s="228">
        <v>-0.09</v>
      </c>
      <c r="DI123" s="228">
        <v>31.59</v>
      </c>
      <c r="DJ123" s="228">
        <v>32.28</v>
      </c>
      <c r="DK123" s="228">
        <v>-0.69</v>
      </c>
      <c r="DL123" s="228">
        <v>-0.69</v>
      </c>
      <c r="DM123" s="228">
        <v>32.11</v>
      </c>
      <c r="DN123" s="228">
        <v>32.44</v>
      </c>
      <c r="DO123" s="228">
        <v>-0.33</v>
      </c>
      <c r="DP123" s="228">
        <v>-0.33</v>
      </c>
      <c r="DQ123" s="228">
        <v>0.56999999999999995</v>
      </c>
      <c r="DR123" s="228">
        <v>0.7</v>
      </c>
      <c r="DS123" s="228">
        <v>-0.13</v>
      </c>
      <c r="DT123" s="229">
        <v>-0.1857</v>
      </c>
      <c r="DU123" s="231">
        <v>4400</v>
      </c>
      <c r="DV123" s="231">
        <v>4200</v>
      </c>
      <c r="DW123" s="228">
        <v>0.33</v>
      </c>
      <c r="DX123" s="228">
        <v>0.53</v>
      </c>
      <c r="DY123" s="228">
        <v>-0.2</v>
      </c>
      <c r="DZ123" s="229">
        <v>-0.37740000000000001</v>
      </c>
      <c r="EA123" s="229">
        <v>0.1106</v>
      </c>
      <c r="EB123" s="230">
        <v>296550</v>
      </c>
      <c r="EC123" s="229">
        <v>-0.01</v>
      </c>
      <c r="ED123" s="229">
        <v>0.1106</v>
      </c>
      <c r="EE123" s="228">
        <v>-66.239999999999995</v>
      </c>
      <c r="EF123" s="229">
        <v>-1.55E-2</v>
      </c>
      <c r="EG123" s="230">
        <v>95881</v>
      </c>
      <c r="EH123" s="230">
        <v>114744</v>
      </c>
      <c r="EI123" s="229">
        <v>-0.16439999999999999</v>
      </c>
      <c r="EJ123" s="229">
        <v>0.40229999999999999</v>
      </c>
      <c r="EK123" s="228">
        <v>740.54</v>
      </c>
      <c r="EL123" s="228">
        <v>226.91</v>
      </c>
      <c r="EM123" s="228">
        <v>275.01</v>
      </c>
      <c r="EN123" s="228">
        <v>35.340000000000003</v>
      </c>
      <c r="EO123" s="231">
        <v>1242.46</v>
      </c>
      <c r="EP123" s="231">
        <v>1252.74</v>
      </c>
      <c r="EQ123" s="228">
        <v>-10.28</v>
      </c>
      <c r="ER123" s="229">
        <v>-8.2000000000000007E-3</v>
      </c>
      <c r="ES123" s="228">
        <v>484.65</v>
      </c>
      <c r="ET123" s="228">
        <v>258.52</v>
      </c>
      <c r="EU123" s="231">
        <v>1539.68</v>
      </c>
      <c r="EV123" s="231">
        <v>12564965</v>
      </c>
      <c r="EW123" s="231">
        <v>2282.86</v>
      </c>
      <c r="EX123" s="231">
        <v>2186.3200000000002</v>
      </c>
      <c r="EY123" s="228">
        <v>96.54</v>
      </c>
      <c r="EZ123" s="229">
        <v>4.4200000000000003E-2</v>
      </c>
      <c r="FA123" s="229">
        <v>0.4219</v>
      </c>
      <c r="FB123" s="227" t="s">
        <v>555</v>
      </c>
      <c r="FC123">
        <f t="shared" si="1"/>
        <v>170</v>
      </c>
    </row>
    <row r="124" spans="1:159" ht="17.25" thickBot="1" x14ac:dyDescent="0.3">
      <c r="A124" s="226">
        <v>46148</v>
      </c>
      <c r="B124" s="227" t="s">
        <v>170</v>
      </c>
      <c r="C124" s="227" t="s">
        <v>250</v>
      </c>
      <c r="D124" s="228">
        <v>425</v>
      </c>
      <c r="E124" s="228">
        <v>20</v>
      </c>
      <c r="F124" s="231">
        <v>2459.1</v>
      </c>
      <c r="G124" s="231">
        <v>2352.8000000000002</v>
      </c>
      <c r="H124" s="228">
        <v>106.3</v>
      </c>
      <c r="I124" s="229">
        <v>4.5199999999999997E-2</v>
      </c>
      <c r="J124" s="231">
        <v>2442.9</v>
      </c>
      <c r="K124" s="231">
        <v>2343.3000000000002</v>
      </c>
      <c r="L124" s="228">
        <v>99.6</v>
      </c>
      <c r="M124" s="229">
        <v>4.2500000000000003E-2</v>
      </c>
      <c r="N124" s="231">
        <v>2459.1</v>
      </c>
      <c r="O124" s="231">
        <v>2352.8000000000002</v>
      </c>
      <c r="P124" s="228">
        <v>106.3</v>
      </c>
      <c r="Q124" s="229">
        <v>4.5199999999999997E-2</v>
      </c>
      <c r="R124" s="231">
        <v>2473.5</v>
      </c>
      <c r="S124" s="231">
        <v>2365.5</v>
      </c>
      <c r="T124" s="228">
        <v>108</v>
      </c>
      <c r="U124" s="229">
        <v>4.5699999999999998E-2</v>
      </c>
      <c r="V124" s="231">
        <v>2475.6</v>
      </c>
      <c r="W124" s="231">
        <v>2369.1</v>
      </c>
      <c r="X124" s="228">
        <v>106.5</v>
      </c>
      <c r="Y124" s="229">
        <v>4.4999999999999998E-2</v>
      </c>
      <c r="Z124" s="228">
        <v>16.2</v>
      </c>
      <c r="AA124" s="228">
        <v>9.5</v>
      </c>
      <c r="AB124" s="228">
        <v>6.7</v>
      </c>
      <c r="AC124" s="229">
        <v>6.6E-3</v>
      </c>
      <c r="AD124" s="228">
        <v>16.2</v>
      </c>
      <c r="AE124" s="228">
        <v>9.5</v>
      </c>
      <c r="AF124" s="228">
        <v>6.7</v>
      </c>
      <c r="AG124" s="229">
        <v>6.6E-3</v>
      </c>
      <c r="AH124" s="228">
        <v>30.6</v>
      </c>
      <c r="AI124" s="228">
        <v>22.2</v>
      </c>
      <c r="AJ124" s="228">
        <v>8.4</v>
      </c>
      <c r="AK124" s="229">
        <v>1.2500000000000001E-2</v>
      </c>
      <c r="AL124" s="228">
        <v>32.700000000000003</v>
      </c>
      <c r="AM124" s="228">
        <v>25.8</v>
      </c>
      <c r="AN124" s="228">
        <v>6.9</v>
      </c>
      <c r="AO124" s="229">
        <v>1.34E-2</v>
      </c>
      <c r="AP124" s="231">
        <v>2426.83</v>
      </c>
      <c r="AQ124" s="231">
        <v>2437.56</v>
      </c>
      <c r="AR124" s="228">
        <v>0</v>
      </c>
      <c r="AS124" s="228">
        <v>926</v>
      </c>
      <c r="AT124" s="228">
        <v>265</v>
      </c>
      <c r="AU124" s="228">
        <v>661</v>
      </c>
      <c r="AV124" s="229">
        <v>2.5005999999999999</v>
      </c>
      <c r="AW124" s="228">
        <v>865</v>
      </c>
      <c r="AX124" s="228">
        <v>246</v>
      </c>
      <c r="AY124" s="228">
        <v>619</v>
      </c>
      <c r="AZ124" s="229">
        <v>2.5114999999999998</v>
      </c>
      <c r="BA124" s="228">
        <v>55</v>
      </c>
      <c r="BB124" s="228">
        <v>17</v>
      </c>
      <c r="BC124" s="228">
        <v>38</v>
      </c>
      <c r="BD124" s="229">
        <v>2.3018999999999998</v>
      </c>
      <c r="BE124" s="228">
        <v>6</v>
      </c>
      <c r="BF124" s="228">
        <v>1</v>
      </c>
      <c r="BG124" s="228">
        <v>4</v>
      </c>
      <c r="BH124" s="229">
        <v>2.9285999999999999</v>
      </c>
      <c r="BI124" s="230">
        <v>4525</v>
      </c>
      <c r="BJ124" s="228">
        <v>955</v>
      </c>
      <c r="BK124" s="230">
        <v>3570</v>
      </c>
      <c r="BL124" s="229">
        <v>3.7362000000000002</v>
      </c>
      <c r="BM124" s="230">
        <v>1649</v>
      </c>
      <c r="BN124" s="228">
        <v>301</v>
      </c>
      <c r="BO124" s="230">
        <v>1348</v>
      </c>
      <c r="BP124" s="229">
        <v>4.4715999999999996</v>
      </c>
      <c r="BQ124" s="230">
        <v>7100</v>
      </c>
      <c r="BR124" s="230">
        <v>1521</v>
      </c>
      <c r="BS124" s="230">
        <v>5579</v>
      </c>
      <c r="BT124" s="229">
        <v>3.6669999999999998</v>
      </c>
      <c r="BU124" s="230">
        <v>2995942</v>
      </c>
      <c r="BV124" s="230">
        <v>1509484</v>
      </c>
      <c r="BW124" s="230">
        <v>1486458</v>
      </c>
      <c r="BX124" s="229">
        <v>0.98470000000000002</v>
      </c>
      <c r="BY124" s="230">
        <v>1896</v>
      </c>
      <c r="BZ124" s="230">
        <v>1808</v>
      </c>
      <c r="CA124" s="228">
        <v>88</v>
      </c>
      <c r="CB124" s="229">
        <v>4.87E-2</v>
      </c>
      <c r="CC124" s="230">
        <v>1789</v>
      </c>
      <c r="CD124" s="230">
        <v>1708</v>
      </c>
      <c r="CE124" s="228">
        <v>81</v>
      </c>
      <c r="CF124" s="229">
        <v>4.7199999999999999E-2</v>
      </c>
      <c r="CG124" s="228">
        <v>104</v>
      </c>
      <c r="CH124" s="228">
        <v>97</v>
      </c>
      <c r="CI124" s="228">
        <v>7</v>
      </c>
      <c r="CJ124" s="229">
        <v>7.1900000000000006E-2</v>
      </c>
      <c r="CK124" s="228">
        <v>3</v>
      </c>
      <c r="CL124" s="228">
        <v>3</v>
      </c>
      <c r="CM124" s="228">
        <v>1</v>
      </c>
      <c r="CN124" s="229">
        <v>0.1923</v>
      </c>
      <c r="CO124" s="228">
        <v>865</v>
      </c>
      <c r="CP124" s="228">
        <v>803</v>
      </c>
      <c r="CQ124" s="228">
        <v>63</v>
      </c>
      <c r="CR124" s="229">
        <v>7.8299999999999995E-2</v>
      </c>
      <c r="CS124" s="228">
        <v>657</v>
      </c>
      <c r="CT124" s="228">
        <v>501</v>
      </c>
      <c r="CU124" s="228">
        <v>155</v>
      </c>
      <c r="CV124" s="229">
        <v>0.30969999999999998</v>
      </c>
      <c r="CW124" s="230">
        <v>3419</v>
      </c>
      <c r="CX124" s="230">
        <v>3112</v>
      </c>
      <c r="CY124" s="228">
        <v>306</v>
      </c>
      <c r="CZ124" s="229">
        <v>9.8400000000000001E-2</v>
      </c>
      <c r="DA124" s="228">
        <v>30.32</v>
      </c>
      <c r="DB124" s="228">
        <v>30.92</v>
      </c>
      <c r="DC124" s="228">
        <v>-0.6</v>
      </c>
      <c r="DD124" s="228">
        <v>-0.6</v>
      </c>
      <c r="DE124" s="228">
        <v>28.17</v>
      </c>
      <c r="DF124" s="228">
        <v>27.6</v>
      </c>
      <c r="DG124" s="228">
        <v>2.15</v>
      </c>
      <c r="DH124" s="228">
        <v>0.56999999999999995</v>
      </c>
      <c r="DI124" s="228">
        <v>30.17</v>
      </c>
      <c r="DJ124" s="228">
        <v>30.89</v>
      </c>
      <c r="DK124" s="228">
        <v>-0.72</v>
      </c>
      <c r="DL124" s="228">
        <v>-0.72</v>
      </c>
      <c r="DM124" s="228">
        <v>30.74</v>
      </c>
      <c r="DN124" s="228">
        <v>31.03</v>
      </c>
      <c r="DO124" s="228">
        <v>-0.28999999999999998</v>
      </c>
      <c r="DP124" s="228">
        <v>-0.28999999999999998</v>
      </c>
      <c r="DQ124" s="228">
        <v>0.76</v>
      </c>
      <c r="DR124" s="228">
        <v>0.62</v>
      </c>
      <c r="DS124" s="228">
        <v>0.14000000000000001</v>
      </c>
      <c r="DT124" s="229">
        <v>0.2258</v>
      </c>
      <c r="DU124" s="231">
        <v>2500</v>
      </c>
      <c r="DV124" s="231">
        <v>2300</v>
      </c>
      <c r="DW124" s="228">
        <v>0.36</v>
      </c>
      <c r="DX124" s="228">
        <v>0.32</v>
      </c>
      <c r="DY124" s="228">
        <v>0.04</v>
      </c>
      <c r="DZ124" s="229">
        <v>0.125</v>
      </c>
      <c r="EA124" s="229">
        <v>5.6800000000000003E-2</v>
      </c>
      <c r="EB124" s="230">
        <v>407150</v>
      </c>
      <c r="EC124" s="229">
        <v>5.8999999999999999E-3</v>
      </c>
      <c r="ED124" s="229">
        <v>5.6800000000000003E-2</v>
      </c>
      <c r="EE124" s="228">
        <v>10.73</v>
      </c>
      <c r="EF124" s="229">
        <v>4.4000000000000003E-3</v>
      </c>
      <c r="EG124" s="230">
        <v>1460859</v>
      </c>
      <c r="EH124" s="230">
        <v>844955</v>
      </c>
      <c r="EI124" s="229">
        <v>0.72889999999999999</v>
      </c>
      <c r="EJ124" s="229">
        <v>0.48759999999999998</v>
      </c>
      <c r="EK124" s="231">
        <v>4651.62</v>
      </c>
      <c r="EL124" s="231">
        <v>1573.04</v>
      </c>
      <c r="EM124" s="228">
        <v>914.1</v>
      </c>
      <c r="EN124" s="228">
        <v>26.67</v>
      </c>
      <c r="EO124" s="231">
        <v>7138.75</v>
      </c>
      <c r="EP124" s="231">
        <v>1504.4</v>
      </c>
      <c r="EQ124" s="231">
        <v>5634.35</v>
      </c>
      <c r="ER124" s="229">
        <v>3.7452000000000001</v>
      </c>
      <c r="ES124" s="228">
        <v>872.74</v>
      </c>
      <c r="ET124" s="228">
        <v>609.35</v>
      </c>
      <c r="EU124" s="231">
        <v>1897</v>
      </c>
      <c r="EV124" s="231">
        <v>32222448</v>
      </c>
      <c r="EW124" s="231">
        <v>3379.09</v>
      </c>
      <c r="EX124" s="231">
        <v>2984.96</v>
      </c>
      <c r="EY124" s="228">
        <v>394.13</v>
      </c>
      <c r="EZ124" s="229">
        <v>0.13200000000000001</v>
      </c>
      <c r="FA124" s="229">
        <v>0.43140000000000001</v>
      </c>
      <c r="FB124" s="227" t="s">
        <v>555</v>
      </c>
      <c r="FC124">
        <f t="shared" si="1"/>
        <v>107</v>
      </c>
    </row>
    <row r="125" spans="1:159" ht="17.25" thickBot="1" x14ac:dyDescent="0.3">
      <c r="A125" s="226">
        <v>46148</v>
      </c>
      <c r="B125" s="227" t="s">
        <v>162</v>
      </c>
      <c r="C125" s="227" t="s">
        <v>251</v>
      </c>
      <c r="D125" s="228">
        <v>200</v>
      </c>
      <c r="E125" s="228">
        <v>20</v>
      </c>
      <c r="F125" s="231">
        <v>3314</v>
      </c>
      <c r="G125" s="231">
        <v>3229.6</v>
      </c>
      <c r="H125" s="228">
        <v>84.4</v>
      </c>
      <c r="I125" s="229">
        <v>2.6100000000000002E-2</v>
      </c>
      <c r="J125" s="231">
        <v>3300.8</v>
      </c>
      <c r="K125" s="231">
        <v>3210.8</v>
      </c>
      <c r="L125" s="228">
        <v>90</v>
      </c>
      <c r="M125" s="229">
        <v>2.8000000000000001E-2</v>
      </c>
      <c r="N125" s="231">
        <v>3314</v>
      </c>
      <c r="O125" s="231">
        <v>3229.6</v>
      </c>
      <c r="P125" s="228">
        <v>84.4</v>
      </c>
      <c r="Q125" s="229">
        <v>2.6100000000000002E-2</v>
      </c>
      <c r="R125" s="231">
        <v>3334.1</v>
      </c>
      <c r="S125" s="231">
        <v>3249.5</v>
      </c>
      <c r="T125" s="228">
        <v>84.6</v>
      </c>
      <c r="U125" s="229">
        <v>2.5999999999999999E-2</v>
      </c>
      <c r="V125" s="231">
        <v>3317.5</v>
      </c>
      <c r="W125" s="231">
        <v>3234.4</v>
      </c>
      <c r="X125" s="228">
        <v>83.1</v>
      </c>
      <c r="Y125" s="229">
        <v>2.5700000000000001E-2</v>
      </c>
      <c r="Z125" s="228">
        <v>13.2</v>
      </c>
      <c r="AA125" s="228">
        <v>18.8</v>
      </c>
      <c r="AB125" s="228">
        <v>-5.6</v>
      </c>
      <c r="AC125" s="229">
        <v>4.0000000000000001E-3</v>
      </c>
      <c r="AD125" s="228">
        <v>13.2</v>
      </c>
      <c r="AE125" s="228">
        <v>18.8</v>
      </c>
      <c r="AF125" s="228">
        <v>-5.6</v>
      </c>
      <c r="AG125" s="229">
        <v>4.0000000000000001E-3</v>
      </c>
      <c r="AH125" s="228">
        <v>33.299999999999997</v>
      </c>
      <c r="AI125" s="228">
        <v>38.700000000000003</v>
      </c>
      <c r="AJ125" s="228">
        <v>-5.4</v>
      </c>
      <c r="AK125" s="229">
        <v>1.01E-2</v>
      </c>
      <c r="AL125" s="228">
        <v>16.7</v>
      </c>
      <c r="AM125" s="228">
        <v>23.6</v>
      </c>
      <c r="AN125" s="228">
        <v>-6.9</v>
      </c>
      <c r="AO125" s="229">
        <v>5.1000000000000004E-3</v>
      </c>
      <c r="AP125" s="231">
        <v>3293.81</v>
      </c>
      <c r="AQ125" s="231">
        <v>3315.67</v>
      </c>
      <c r="AR125" s="228">
        <v>0</v>
      </c>
      <c r="AS125" s="230">
        <v>1919</v>
      </c>
      <c r="AT125" s="230">
        <v>2690</v>
      </c>
      <c r="AU125" s="228">
        <v>-772</v>
      </c>
      <c r="AV125" s="229">
        <v>-0.28689999999999999</v>
      </c>
      <c r="AW125" s="230">
        <v>1810</v>
      </c>
      <c r="AX125" s="230">
        <v>2494</v>
      </c>
      <c r="AY125" s="228">
        <v>-684</v>
      </c>
      <c r="AZ125" s="229">
        <v>-0.2742</v>
      </c>
      <c r="BA125" s="228">
        <v>83</v>
      </c>
      <c r="BB125" s="228">
        <v>151</v>
      </c>
      <c r="BC125" s="228">
        <v>-68</v>
      </c>
      <c r="BD125" s="229">
        <v>-0.45179999999999998</v>
      </c>
      <c r="BE125" s="228">
        <v>26</v>
      </c>
      <c r="BF125" s="228">
        <v>46</v>
      </c>
      <c r="BG125" s="228">
        <v>-20</v>
      </c>
      <c r="BH125" s="229">
        <v>-0.43269999999999997</v>
      </c>
      <c r="BI125" s="230">
        <v>8249</v>
      </c>
      <c r="BJ125" s="230">
        <v>10591</v>
      </c>
      <c r="BK125" s="230">
        <v>-2343</v>
      </c>
      <c r="BL125" s="229">
        <v>-0.22120000000000001</v>
      </c>
      <c r="BM125" s="230">
        <v>4164</v>
      </c>
      <c r="BN125" s="230">
        <v>4565</v>
      </c>
      <c r="BO125" s="228">
        <v>-401</v>
      </c>
      <c r="BP125" s="229">
        <v>-8.7900000000000006E-2</v>
      </c>
      <c r="BQ125" s="230">
        <v>14331</v>
      </c>
      <c r="BR125" s="230">
        <v>17847</v>
      </c>
      <c r="BS125" s="230">
        <v>-3516</v>
      </c>
      <c r="BT125" s="229">
        <v>-0.19700000000000001</v>
      </c>
      <c r="BU125" s="230">
        <v>6507788</v>
      </c>
      <c r="BV125" s="230">
        <v>6704274</v>
      </c>
      <c r="BW125" s="230">
        <v>-196486</v>
      </c>
      <c r="BX125" s="229">
        <v>-2.93E-2</v>
      </c>
      <c r="BY125" s="230">
        <v>6533</v>
      </c>
      <c r="BZ125" s="230">
        <v>6794</v>
      </c>
      <c r="CA125" s="228">
        <v>-261</v>
      </c>
      <c r="CB125" s="229">
        <v>-3.85E-2</v>
      </c>
      <c r="CC125" s="230">
        <v>5466</v>
      </c>
      <c r="CD125" s="230">
        <v>5754</v>
      </c>
      <c r="CE125" s="228">
        <v>-288</v>
      </c>
      <c r="CF125" s="229">
        <v>-5.0099999999999999E-2</v>
      </c>
      <c r="CG125" s="230">
        <v>1015</v>
      </c>
      <c r="CH125" s="230">
        <v>1000</v>
      </c>
      <c r="CI125" s="228">
        <v>15</v>
      </c>
      <c r="CJ125" s="229">
        <v>1.4999999999999999E-2</v>
      </c>
      <c r="CK125" s="228">
        <v>52</v>
      </c>
      <c r="CL125" s="228">
        <v>40</v>
      </c>
      <c r="CM125" s="228">
        <v>12</v>
      </c>
      <c r="CN125" s="229">
        <v>0.29830000000000001</v>
      </c>
      <c r="CO125" s="230">
        <v>1884</v>
      </c>
      <c r="CP125" s="230">
        <v>1964</v>
      </c>
      <c r="CQ125" s="228">
        <v>-80</v>
      </c>
      <c r="CR125" s="229">
        <v>-4.07E-2</v>
      </c>
      <c r="CS125" s="230">
        <v>1667</v>
      </c>
      <c r="CT125" s="230">
        <v>1530</v>
      </c>
      <c r="CU125" s="228">
        <v>137</v>
      </c>
      <c r="CV125" s="229">
        <v>8.9399999999999993E-2</v>
      </c>
      <c r="CW125" s="230">
        <v>10083</v>
      </c>
      <c r="CX125" s="230">
        <v>10287</v>
      </c>
      <c r="CY125" s="228">
        <v>-205</v>
      </c>
      <c r="CZ125" s="229">
        <v>-1.9900000000000001E-2</v>
      </c>
      <c r="DA125" s="228">
        <v>29</v>
      </c>
      <c r="DB125" s="228">
        <v>32.51</v>
      </c>
      <c r="DC125" s="228">
        <v>-3.51</v>
      </c>
      <c r="DD125" s="228">
        <v>-3.51</v>
      </c>
      <c r="DE125" s="228">
        <v>35.89</v>
      </c>
      <c r="DF125" s="228">
        <v>35.79</v>
      </c>
      <c r="DG125" s="228">
        <v>-6.89</v>
      </c>
      <c r="DH125" s="228">
        <v>0.1</v>
      </c>
      <c r="DI125" s="228">
        <v>28.25</v>
      </c>
      <c r="DJ125" s="228">
        <v>31.93</v>
      </c>
      <c r="DK125" s="228">
        <v>-3.68</v>
      </c>
      <c r="DL125" s="228">
        <v>-3.68</v>
      </c>
      <c r="DM125" s="228">
        <v>30.5</v>
      </c>
      <c r="DN125" s="228">
        <v>33.85</v>
      </c>
      <c r="DO125" s="228">
        <v>-3.35</v>
      </c>
      <c r="DP125" s="228">
        <v>-3.35</v>
      </c>
      <c r="DQ125" s="228">
        <v>0.88</v>
      </c>
      <c r="DR125" s="228">
        <v>0.78</v>
      </c>
      <c r="DS125" s="228">
        <v>0.1</v>
      </c>
      <c r="DT125" s="229">
        <v>0.12820000000000001</v>
      </c>
      <c r="DU125" s="231">
        <v>3300</v>
      </c>
      <c r="DV125" s="231">
        <v>3100</v>
      </c>
      <c r="DW125" s="228">
        <v>0.5</v>
      </c>
      <c r="DX125" s="228">
        <v>0.43</v>
      </c>
      <c r="DY125" s="228">
        <v>7.0000000000000007E-2</v>
      </c>
      <c r="DZ125" s="229">
        <v>0.1628</v>
      </c>
      <c r="EA125" s="229">
        <v>0.1633</v>
      </c>
      <c r="EB125" s="230">
        <v>3139000</v>
      </c>
      <c r="EC125" s="229">
        <v>6.1000000000000004E-3</v>
      </c>
      <c r="ED125" s="229">
        <v>0.1633</v>
      </c>
      <c r="EE125" s="228">
        <v>21.86</v>
      </c>
      <c r="EF125" s="229">
        <v>6.6E-3</v>
      </c>
      <c r="EG125" s="230">
        <v>3073697</v>
      </c>
      <c r="EH125" s="230">
        <v>2135582</v>
      </c>
      <c r="EI125" s="229">
        <v>0.43930000000000002</v>
      </c>
      <c r="EJ125" s="229">
        <v>0.4723</v>
      </c>
      <c r="EK125" s="231">
        <v>8524.99</v>
      </c>
      <c r="EL125" s="231">
        <v>4029.42</v>
      </c>
      <c r="EM125" s="231">
        <v>1907.54</v>
      </c>
      <c r="EN125" s="228">
        <v>195.34</v>
      </c>
      <c r="EO125" s="231">
        <v>14461.95</v>
      </c>
      <c r="EP125" s="231">
        <v>17467.63</v>
      </c>
      <c r="EQ125" s="231">
        <v>-3005.68</v>
      </c>
      <c r="ER125" s="229">
        <v>-0.1721</v>
      </c>
      <c r="ES125" s="231">
        <v>1879.98</v>
      </c>
      <c r="ET125" s="231">
        <v>1569.94</v>
      </c>
      <c r="EU125" s="231">
        <v>6538.97</v>
      </c>
      <c r="EV125" s="231">
        <v>120808308</v>
      </c>
      <c r="EW125" s="231">
        <v>9988.89</v>
      </c>
      <c r="EX125" s="231">
        <v>9998.9599999999991</v>
      </c>
      <c r="EY125" s="228">
        <v>-10.07</v>
      </c>
      <c r="EZ125" s="229">
        <v>-1E-3</v>
      </c>
      <c r="FA125" s="229">
        <v>0.25180000000000002</v>
      </c>
      <c r="FB125" s="227" t="s">
        <v>691</v>
      </c>
      <c r="FC125">
        <f t="shared" si="1"/>
        <v>1067</v>
      </c>
    </row>
    <row r="126" spans="1:159" ht="17.25" thickBot="1" x14ac:dyDescent="0.3">
      <c r="A126" s="226">
        <v>46148</v>
      </c>
      <c r="B126" s="227" t="s">
        <v>175</v>
      </c>
      <c r="C126" s="227" t="s">
        <v>253</v>
      </c>
      <c r="D126" s="228">
        <v>3000</v>
      </c>
      <c r="E126" s="228">
        <v>20</v>
      </c>
      <c r="F126" s="228">
        <v>311.60000000000002</v>
      </c>
      <c r="G126" s="228">
        <v>308.85000000000002</v>
      </c>
      <c r="H126" s="228">
        <v>2.75</v>
      </c>
      <c r="I126" s="229">
        <v>8.8999999999999999E-3</v>
      </c>
      <c r="J126" s="228">
        <v>309.95</v>
      </c>
      <c r="K126" s="228">
        <v>307.25</v>
      </c>
      <c r="L126" s="228">
        <v>2.7</v>
      </c>
      <c r="M126" s="229">
        <v>8.8000000000000005E-3</v>
      </c>
      <c r="N126" s="228">
        <v>311.60000000000002</v>
      </c>
      <c r="O126" s="228">
        <v>308.85000000000002</v>
      </c>
      <c r="P126" s="228">
        <v>2.75</v>
      </c>
      <c r="Q126" s="229">
        <v>8.8999999999999999E-3</v>
      </c>
      <c r="R126" s="228">
        <v>312.75</v>
      </c>
      <c r="S126" s="228">
        <v>309</v>
      </c>
      <c r="T126" s="228">
        <v>3.75</v>
      </c>
      <c r="U126" s="229">
        <v>1.21E-2</v>
      </c>
      <c r="V126" s="228">
        <v>314.5</v>
      </c>
      <c r="W126" s="228">
        <v>309.95</v>
      </c>
      <c r="X126" s="228">
        <v>4.55</v>
      </c>
      <c r="Y126" s="229">
        <v>1.47E-2</v>
      </c>
      <c r="Z126" s="228">
        <v>1.65</v>
      </c>
      <c r="AA126" s="228">
        <v>1.6</v>
      </c>
      <c r="AB126" s="228">
        <v>0.05</v>
      </c>
      <c r="AC126" s="229">
        <v>5.3E-3</v>
      </c>
      <c r="AD126" s="228">
        <v>1.65</v>
      </c>
      <c r="AE126" s="228">
        <v>1.6</v>
      </c>
      <c r="AF126" s="228">
        <v>0.05</v>
      </c>
      <c r="AG126" s="229">
        <v>5.3E-3</v>
      </c>
      <c r="AH126" s="228">
        <v>2.8</v>
      </c>
      <c r="AI126" s="228">
        <v>1.75</v>
      </c>
      <c r="AJ126" s="228">
        <v>1.05</v>
      </c>
      <c r="AK126" s="229">
        <v>8.9999999999999993E-3</v>
      </c>
      <c r="AL126" s="228">
        <v>4.55</v>
      </c>
      <c r="AM126" s="228">
        <v>2.7</v>
      </c>
      <c r="AN126" s="228">
        <v>1.85</v>
      </c>
      <c r="AO126" s="229">
        <v>1.47E-2</v>
      </c>
      <c r="AP126" s="228">
        <v>310.7</v>
      </c>
      <c r="AQ126" s="228">
        <v>311.64999999999998</v>
      </c>
      <c r="AR126" s="228">
        <v>0</v>
      </c>
      <c r="AS126" s="228">
        <v>285</v>
      </c>
      <c r="AT126" s="228">
        <v>887</v>
      </c>
      <c r="AU126" s="228">
        <v>-602</v>
      </c>
      <c r="AV126" s="229">
        <v>-0.67849999999999999</v>
      </c>
      <c r="AW126" s="228">
        <v>278</v>
      </c>
      <c r="AX126" s="228">
        <v>871</v>
      </c>
      <c r="AY126" s="228">
        <v>-593</v>
      </c>
      <c r="AZ126" s="229">
        <v>-0.68110000000000004</v>
      </c>
      <c r="BA126" s="228">
        <v>6</v>
      </c>
      <c r="BB126" s="228">
        <v>14</v>
      </c>
      <c r="BC126" s="228">
        <v>-8</v>
      </c>
      <c r="BD126" s="229">
        <v>-0.57520000000000004</v>
      </c>
      <c r="BE126" s="228">
        <v>1</v>
      </c>
      <c r="BF126" s="228">
        <v>2</v>
      </c>
      <c r="BG126" s="228">
        <v>-1</v>
      </c>
      <c r="BH126" s="229">
        <v>-0.28570000000000001</v>
      </c>
      <c r="BI126" s="228">
        <v>558</v>
      </c>
      <c r="BJ126" s="230">
        <v>1782</v>
      </c>
      <c r="BK126" s="230">
        <v>-1224</v>
      </c>
      <c r="BL126" s="229">
        <v>-0.68659999999999999</v>
      </c>
      <c r="BM126" s="228">
        <v>322</v>
      </c>
      <c r="BN126" s="230">
        <v>1023</v>
      </c>
      <c r="BO126" s="228">
        <v>-701</v>
      </c>
      <c r="BP126" s="229">
        <v>-0.68559999999999999</v>
      </c>
      <c r="BQ126" s="230">
        <v>1165</v>
      </c>
      <c r="BR126" s="230">
        <v>3692</v>
      </c>
      <c r="BS126" s="230">
        <v>-2527</v>
      </c>
      <c r="BT126" s="229">
        <v>-0.68440000000000001</v>
      </c>
      <c r="BU126" s="230">
        <v>5126690</v>
      </c>
      <c r="BV126" s="230">
        <v>11763961</v>
      </c>
      <c r="BW126" s="230">
        <v>-6637271</v>
      </c>
      <c r="BX126" s="229">
        <v>-0.56420000000000003</v>
      </c>
      <c r="BY126" s="230">
        <v>1542</v>
      </c>
      <c r="BZ126" s="230">
        <v>1582</v>
      </c>
      <c r="CA126" s="228">
        <v>-40</v>
      </c>
      <c r="CB126" s="229">
        <v>-2.53E-2</v>
      </c>
      <c r="CC126" s="230">
        <v>1529</v>
      </c>
      <c r="CD126" s="230">
        <v>1570</v>
      </c>
      <c r="CE126" s="228">
        <v>-41</v>
      </c>
      <c r="CF126" s="229">
        <v>-2.6100000000000002E-2</v>
      </c>
      <c r="CG126" s="228">
        <v>12</v>
      </c>
      <c r="CH126" s="228">
        <v>12</v>
      </c>
      <c r="CI126" s="228">
        <v>1</v>
      </c>
      <c r="CJ126" s="229">
        <v>4.8000000000000001E-2</v>
      </c>
      <c r="CK126" s="228">
        <v>1</v>
      </c>
      <c r="CL126" s="228">
        <v>1</v>
      </c>
      <c r="CM126" s="228">
        <v>0</v>
      </c>
      <c r="CN126" s="229">
        <v>0.45450000000000002</v>
      </c>
      <c r="CO126" s="228">
        <v>380</v>
      </c>
      <c r="CP126" s="228">
        <v>392</v>
      </c>
      <c r="CQ126" s="228">
        <v>-12</v>
      </c>
      <c r="CR126" s="229">
        <v>-3.0700000000000002E-2</v>
      </c>
      <c r="CS126" s="228">
        <v>275</v>
      </c>
      <c r="CT126" s="228">
        <v>265</v>
      </c>
      <c r="CU126" s="228">
        <v>9</v>
      </c>
      <c r="CV126" s="229">
        <v>3.4200000000000001E-2</v>
      </c>
      <c r="CW126" s="230">
        <v>2197</v>
      </c>
      <c r="CX126" s="230">
        <v>2240</v>
      </c>
      <c r="CY126" s="228">
        <v>-43</v>
      </c>
      <c r="CZ126" s="229">
        <v>-1.9199999999999998E-2</v>
      </c>
      <c r="DA126" s="228">
        <v>34.82</v>
      </c>
      <c r="DB126" s="228">
        <v>37.07</v>
      </c>
      <c r="DC126" s="228">
        <v>-2.25</v>
      </c>
      <c r="DD126" s="228">
        <v>-2.25</v>
      </c>
      <c r="DE126" s="228">
        <v>42.64</v>
      </c>
      <c r="DF126" s="228">
        <v>42.73</v>
      </c>
      <c r="DG126" s="228">
        <v>-7.82</v>
      </c>
      <c r="DH126" s="228">
        <v>-0.09</v>
      </c>
      <c r="DI126" s="228">
        <v>34.49</v>
      </c>
      <c r="DJ126" s="228">
        <v>36.25</v>
      </c>
      <c r="DK126" s="228">
        <v>-1.76</v>
      </c>
      <c r="DL126" s="228">
        <v>-1.76</v>
      </c>
      <c r="DM126" s="228">
        <v>35.4</v>
      </c>
      <c r="DN126" s="228">
        <v>38.51</v>
      </c>
      <c r="DO126" s="228">
        <v>-3.11</v>
      </c>
      <c r="DP126" s="228">
        <v>-3.11</v>
      </c>
      <c r="DQ126" s="228">
        <v>0.72</v>
      </c>
      <c r="DR126" s="228">
        <v>0.68</v>
      </c>
      <c r="DS126" s="228">
        <v>0.04</v>
      </c>
      <c r="DT126" s="229">
        <v>5.8799999999999998E-2</v>
      </c>
      <c r="DU126" s="228">
        <v>340</v>
      </c>
      <c r="DV126" s="228">
        <v>300</v>
      </c>
      <c r="DW126" s="228">
        <v>0.57999999999999996</v>
      </c>
      <c r="DX126" s="228">
        <v>0.56999999999999995</v>
      </c>
      <c r="DY126" s="228">
        <v>0.01</v>
      </c>
      <c r="DZ126" s="229">
        <v>1.7500000000000002E-2</v>
      </c>
      <c r="EA126" s="229">
        <v>8.8999999999999999E-3</v>
      </c>
      <c r="EB126" s="230">
        <v>408000</v>
      </c>
      <c r="EC126" s="229">
        <v>3.7000000000000002E-3</v>
      </c>
      <c r="ED126" s="229">
        <v>8.8999999999999999E-3</v>
      </c>
      <c r="EE126" s="228">
        <v>0.95</v>
      </c>
      <c r="EF126" s="229">
        <v>3.0999999999999999E-3</v>
      </c>
      <c r="EG126" s="230">
        <v>2187491</v>
      </c>
      <c r="EH126" s="230">
        <v>1840163</v>
      </c>
      <c r="EI126" s="229">
        <v>0.18870000000000001</v>
      </c>
      <c r="EJ126" s="229">
        <v>0.42670000000000002</v>
      </c>
      <c r="EK126" s="228">
        <v>585.77</v>
      </c>
      <c r="EL126" s="228">
        <v>312.76</v>
      </c>
      <c r="EM126" s="228">
        <v>284.51</v>
      </c>
      <c r="EN126" s="228">
        <v>53.31</v>
      </c>
      <c r="EO126" s="231">
        <v>1183.04</v>
      </c>
      <c r="EP126" s="231">
        <v>3695.63</v>
      </c>
      <c r="EQ126" s="231">
        <v>-2512.58</v>
      </c>
      <c r="ER126" s="229">
        <v>-0.67989999999999995</v>
      </c>
      <c r="ES126" s="228">
        <v>374.5</v>
      </c>
      <c r="ET126" s="228">
        <v>252.69</v>
      </c>
      <c r="EU126" s="231">
        <v>1542.48</v>
      </c>
      <c r="EV126" s="231">
        <v>82205057</v>
      </c>
      <c r="EW126" s="231">
        <v>2169.67</v>
      </c>
      <c r="EX126" s="231">
        <v>2196.8200000000002</v>
      </c>
      <c r="EY126" s="228">
        <v>-27.15</v>
      </c>
      <c r="EZ126" s="229">
        <v>-1.24E-2</v>
      </c>
      <c r="FA126" s="229">
        <v>0.85780000000000001</v>
      </c>
      <c r="FB126" s="227" t="s">
        <v>691</v>
      </c>
      <c r="FC126">
        <f t="shared" si="1"/>
        <v>13</v>
      </c>
    </row>
    <row r="127" spans="1:159" ht="17.25" thickBot="1" x14ac:dyDescent="0.3">
      <c r="A127" s="226">
        <v>46148</v>
      </c>
      <c r="B127" s="227" t="s">
        <v>170</v>
      </c>
      <c r="C127" s="227" t="s">
        <v>669</v>
      </c>
      <c r="D127" s="228">
        <v>225</v>
      </c>
      <c r="E127" s="228">
        <v>20</v>
      </c>
      <c r="F127" s="231">
        <v>2366.6</v>
      </c>
      <c r="G127" s="231">
        <v>2329.9</v>
      </c>
      <c r="H127" s="228">
        <v>36.700000000000003</v>
      </c>
      <c r="I127" s="229">
        <v>1.5800000000000002E-2</v>
      </c>
      <c r="J127" s="231">
        <v>2361</v>
      </c>
      <c r="K127" s="231">
        <v>2319.5</v>
      </c>
      <c r="L127" s="228">
        <v>41.5</v>
      </c>
      <c r="M127" s="229">
        <v>1.7899999999999999E-2</v>
      </c>
      <c r="N127" s="231">
        <v>2366.6</v>
      </c>
      <c r="O127" s="231">
        <v>2329.9</v>
      </c>
      <c r="P127" s="228">
        <v>36.700000000000003</v>
      </c>
      <c r="Q127" s="229">
        <v>1.5800000000000002E-2</v>
      </c>
      <c r="R127" s="231">
        <v>2367.1999999999998</v>
      </c>
      <c r="S127" s="231">
        <v>2335</v>
      </c>
      <c r="T127" s="228">
        <v>32.200000000000003</v>
      </c>
      <c r="U127" s="229">
        <v>1.38E-2</v>
      </c>
      <c r="V127" s="231">
        <v>2377.6</v>
      </c>
      <c r="W127" s="228">
        <v>0</v>
      </c>
      <c r="X127" s="231">
        <v>2377.6</v>
      </c>
      <c r="Y127" s="229">
        <v>0</v>
      </c>
      <c r="Z127" s="228">
        <v>5.6</v>
      </c>
      <c r="AA127" s="228">
        <v>10.4</v>
      </c>
      <c r="AB127" s="228">
        <v>-4.8</v>
      </c>
      <c r="AC127" s="229">
        <v>2.3999999999999998E-3</v>
      </c>
      <c r="AD127" s="228">
        <v>5.6</v>
      </c>
      <c r="AE127" s="228">
        <v>10.4</v>
      </c>
      <c r="AF127" s="228">
        <v>-4.8</v>
      </c>
      <c r="AG127" s="229">
        <v>2.3999999999999998E-3</v>
      </c>
      <c r="AH127" s="228">
        <v>6.2</v>
      </c>
      <c r="AI127" s="228">
        <v>15.5</v>
      </c>
      <c r="AJ127" s="228">
        <v>-9.3000000000000007</v>
      </c>
      <c r="AK127" s="229">
        <v>2.5999999999999999E-3</v>
      </c>
      <c r="AL127" s="228">
        <v>16.600000000000001</v>
      </c>
      <c r="AM127" s="228">
        <v>0</v>
      </c>
      <c r="AN127" s="228">
        <v>16.600000000000001</v>
      </c>
      <c r="AO127" s="229">
        <v>7.0000000000000001E-3</v>
      </c>
      <c r="AP127" s="231">
        <v>2349.25</v>
      </c>
      <c r="AQ127" s="231">
        <v>2352.2600000000002</v>
      </c>
      <c r="AR127" s="228">
        <v>0</v>
      </c>
      <c r="AS127" s="228">
        <v>247</v>
      </c>
      <c r="AT127" s="228">
        <v>151</v>
      </c>
      <c r="AU127" s="228">
        <v>95</v>
      </c>
      <c r="AV127" s="229">
        <v>0.62860000000000005</v>
      </c>
      <c r="AW127" s="228">
        <v>236</v>
      </c>
      <c r="AX127" s="228">
        <v>146</v>
      </c>
      <c r="AY127" s="228">
        <v>90</v>
      </c>
      <c r="AZ127" s="229">
        <v>0.61670000000000003</v>
      </c>
      <c r="BA127" s="228">
        <v>10</v>
      </c>
      <c r="BB127" s="228">
        <v>5</v>
      </c>
      <c r="BC127" s="228">
        <v>5</v>
      </c>
      <c r="BD127" s="229">
        <v>0.89580000000000004</v>
      </c>
      <c r="BE127" s="228">
        <v>0</v>
      </c>
      <c r="BF127" s="228">
        <v>0</v>
      </c>
      <c r="BG127" s="228">
        <v>0</v>
      </c>
      <c r="BH127" s="229">
        <v>0</v>
      </c>
      <c r="BI127" s="230">
        <v>1117</v>
      </c>
      <c r="BJ127" s="228">
        <v>857</v>
      </c>
      <c r="BK127" s="228">
        <v>261</v>
      </c>
      <c r="BL127" s="229">
        <v>0.30420000000000003</v>
      </c>
      <c r="BM127" s="228">
        <v>158</v>
      </c>
      <c r="BN127" s="228">
        <v>172</v>
      </c>
      <c r="BO127" s="228">
        <v>-15</v>
      </c>
      <c r="BP127" s="229">
        <v>-8.4900000000000003E-2</v>
      </c>
      <c r="BQ127" s="230">
        <v>1522</v>
      </c>
      <c r="BR127" s="230">
        <v>1181</v>
      </c>
      <c r="BS127" s="228">
        <v>341</v>
      </c>
      <c r="BT127" s="229">
        <v>0.28889999999999999</v>
      </c>
      <c r="BU127" s="230">
        <v>926174</v>
      </c>
      <c r="BV127" s="230">
        <v>435157</v>
      </c>
      <c r="BW127" s="230">
        <v>491017</v>
      </c>
      <c r="BX127" s="229">
        <v>1.1284000000000001</v>
      </c>
      <c r="BY127" s="228">
        <v>925</v>
      </c>
      <c r="BZ127" s="228">
        <v>888</v>
      </c>
      <c r="CA127" s="228">
        <v>37</v>
      </c>
      <c r="CB127" s="229">
        <v>4.1799999999999997E-2</v>
      </c>
      <c r="CC127" s="228">
        <v>915</v>
      </c>
      <c r="CD127" s="228">
        <v>880</v>
      </c>
      <c r="CE127" s="228">
        <v>34</v>
      </c>
      <c r="CF127" s="229">
        <v>3.9100000000000003E-2</v>
      </c>
      <c r="CG127" s="228">
        <v>10</v>
      </c>
      <c r="CH127" s="228">
        <v>8</v>
      </c>
      <c r="CI127" s="228">
        <v>2</v>
      </c>
      <c r="CJ127" s="229">
        <v>0.3125</v>
      </c>
      <c r="CK127" s="228">
        <v>0</v>
      </c>
      <c r="CL127" s="228">
        <v>0</v>
      </c>
      <c r="CM127" s="228">
        <v>0</v>
      </c>
      <c r="CN127" s="229">
        <v>0</v>
      </c>
      <c r="CO127" s="228">
        <v>250</v>
      </c>
      <c r="CP127" s="228">
        <v>260</v>
      </c>
      <c r="CQ127" s="228">
        <v>-10</v>
      </c>
      <c r="CR127" s="229">
        <v>-3.9899999999999998E-2</v>
      </c>
      <c r="CS127" s="228">
        <v>183</v>
      </c>
      <c r="CT127" s="228">
        <v>163</v>
      </c>
      <c r="CU127" s="228">
        <v>21</v>
      </c>
      <c r="CV127" s="229">
        <v>0.12640000000000001</v>
      </c>
      <c r="CW127" s="230">
        <v>1358</v>
      </c>
      <c r="CX127" s="230">
        <v>1311</v>
      </c>
      <c r="CY127" s="228">
        <v>47</v>
      </c>
      <c r="CZ127" s="229">
        <v>3.61E-2</v>
      </c>
      <c r="DA127" s="228">
        <v>36.729999999999997</v>
      </c>
      <c r="DB127" s="228">
        <v>38.950000000000003</v>
      </c>
      <c r="DC127" s="228">
        <v>-2.2200000000000002</v>
      </c>
      <c r="DD127" s="228">
        <v>-2.2200000000000002</v>
      </c>
      <c r="DE127" s="228">
        <v>33.56</v>
      </c>
      <c r="DF127" s="228">
        <v>33.56</v>
      </c>
      <c r="DG127" s="228">
        <v>3.17</v>
      </c>
      <c r="DH127" s="228">
        <v>0</v>
      </c>
      <c r="DI127" s="228">
        <v>36.68</v>
      </c>
      <c r="DJ127" s="228">
        <v>39.049999999999997</v>
      </c>
      <c r="DK127" s="228">
        <v>-2.37</v>
      </c>
      <c r="DL127" s="228">
        <v>-2.37</v>
      </c>
      <c r="DM127" s="228">
        <v>37.06</v>
      </c>
      <c r="DN127" s="228">
        <v>38.479999999999997</v>
      </c>
      <c r="DO127" s="228">
        <v>-1.42</v>
      </c>
      <c r="DP127" s="228">
        <v>-1.42</v>
      </c>
      <c r="DQ127" s="228">
        <v>0.73</v>
      </c>
      <c r="DR127" s="228">
        <v>0.62</v>
      </c>
      <c r="DS127" s="228">
        <v>0.11</v>
      </c>
      <c r="DT127" s="229">
        <v>0.1774</v>
      </c>
      <c r="DU127" s="231">
        <v>2400</v>
      </c>
      <c r="DV127" s="231">
        <v>2300</v>
      </c>
      <c r="DW127" s="228">
        <v>0.14000000000000001</v>
      </c>
      <c r="DX127" s="228">
        <v>0.2</v>
      </c>
      <c r="DY127" s="228">
        <v>-0.06</v>
      </c>
      <c r="DZ127" s="229">
        <v>-0.3</v>
      </c>
      <c r="EA127" s="229">
        <v>1.1299999999999999E-2</v>
      </c>
      <c r="EB127" s="230">
        <v>32400</v>
      </c>
      <c r="EC127" s="229">
        <v>2.9999999999999997E-4</v>
      </c>
      <c r="ED127" s="229">
        <v>1.1299999999999999E-2</v>
      </c>
      <c r="EE127" s="228">
        <v>3.01</v>
      </c>
      <c r="EF127" s="229">
        <v>1.2999999999999999E-3</v>
      </c>
      <c r="EG127" s="230">
        <v>422216</v>
      </c>
      <c r="EH127" s="230">
        <v>189792</v>
      </c>
      <c r="EI127" s="229">
        <v>1.2245999999999999</v>
      </c>
      <c r="EJ127" s="229">
        <v>0.45590000000000003</v>
      </c>
      <c r="EK127" s="231">
        <v>1166.55</v>
      </c>
      <c r="EL127" s="228">
        <v>154.34</v>
      </c>
      <c r="EM127" s="228">
        <v>244.79</v>
      </c>
      <c r="EN127" s="228">
        <v>15.34</v>
      </c>
      <c r="EO127" s="231">
        <v>1565.68</v>
      </c>
      <c r="EP127" s="231">
        <v>1200.8800000000001</v>
      </c>
      <c r="EQ127" s="228">
        <v>364.8</v>
      </c>
      <c r="ER127" s="229">
        <v>0.30380000000000001</v>
      </c>
      <c r="ES127" s="228">
        <v>253.64</v>
      </c>
      <c r="ET127" s="228">
        <v>172.93</v>
      </c>
      <c r="EU127" s="228">
        <v>925.18</v>
      </c>
      <c r="EV127" s="231">
        <v>16926669</v>
      </c>
      <c r="EW127" s="231">
        <v>1351.75</v>
      </c>
      <c r="EX127" s="231">
        <v>1289.9000000000001</v>
      </c>
      <c r="EY127" s="228">
        <v>61.85</v>
      </c>
      <c r="EZ127" s="229">
        <v>4.7899999999999998E-2</v>
      </c>
      <c r="FA127" s="229">
        <v>0.33910000000000001</v>
      </c>
      <c r="FB127" s="227" t="s">
        <v>555</v>
      </c>
      <c r="FC127">
        <f t="shared" si="1"/>
        <v>10</v>
      </c>
    </row>
    <row r="128" spans="1:159" ht="17.25" thickBot="1" x14ac:dyDescent="0.3">
      <c r="A128" s="226">
        <v>46148</v>
      </c>
      <c r="B128" s="227" t="s">
        <v>168</v>
      </c>
      <c r="C128" s="227" t="s">
        <v>254</v>
      </c>
      <c r="D128" s="228">
        <v>1200</v>
      </c>
      <c r="E128" s="228">
        <v>20</v>
      </c>
      <c r="F128" s="228">
        <v>819.4</v>
      </c>
      <c r="G128" s="228">
        <v>810.2</v>
      </c>
      <c r="H128" s="228">
        <v>9.1999999999999993</v>
      </c>
      <c r="I128" s="229">
        <v>1.14E-2</v>
      </c>
      <c r="J128" s="228">
        <v>814.8</v>
      </c>
      <c r="K128" s="228">
        <v>807.2</v>
      </c>
      <c r="L128" s="228">
        <v>7.6</v>
      </c>
      <c r="M128" s="229">
        <v>9.4000000000000004E-3</v>
      </c>
      <c r="N128" s="228">
        <v>819.4</v>
      </c>
      <c r="O128" s="228">
        <v>810.2</v>
      </c>
      <c r="P128" s="228">
        <v>9.1999999999999993</v>
      </c>
      <c r="Q128" s="229">
        <v>1.14E-2</v>
      </c>
      <c r="R128" s="228">
        <v>821.85</v>
      </c>
      <c r="S128" s="228">
        <v>813.4</v>
      </c>
      <c r="T128" s="228">
        <v>8.4499999999999993</v>
      </c>
      <c r="U128" s="229">
        <v>1.04E-2</v>
      </c>
      <c r="V128" s="228">
        <v>825</v>
      </c>
      <c r="W128" s="228">
        <v>815.05</v>
      </c>
      <c r="X128" s="228">
        <v>9.9499999999999993</v>
      </c>
      <c r="Y128" s="229">
        <v>1.2200000000000001E-2</v>
      </c>
      <c r="Z128" s="228">
        <v>4.5999999999999996</v>
      </c>
      <c r="AA128" s="228">
        <v>3</v>
      </c>
      <c r="AB128" s="228">
        <v>1.6</v>
      </c>
      <c r="AC128" s="229">
        <v>5.5999999999999999E-3</v>
      </c>
      <c r="AD128" s="228">
        <v>4.5999999999999996</v>
      </c>
      <c r="AE128" s="228">
        <v>3</v>
      </c>
      <c r="AF128" s="228">
        <v>1.6</v>
      </c>
      <c r="AG128" s="229">
        <v>5.5999999999999999E-3</v>
      </c>
      <c r="AH128" s="228">
        <v>7.05</v>
      </c>
      <c r="AI128" s="228">
        <v>6.2</v>
      </c>
      <c r="AJ128" s="228">
        <v>0.85</v>
      </c>
      <c r="AK128" s="229">
        <v>8.6999999999999994E-3</v>
      </c>
      <c r="AL128" s="228">
        <v>10.199999999999999</v>
      </c>
      <c r="AM128" s="228">
        <v>7.85</v>
      </c>
      <c r="AN128" s="228">
        <v>2.35</v>
      </c>
      <c r="AO128" s="229">
        <v>1.2500000000000001E-2</v>
      </c>
      <c r="AP128" s="228">
        <v>829.47</v>
      </c>
      <c r="AQ128" s="228">
        <v>831.4</v>
      </c>
      <c r="AR128" s="228">
        <v>0</v>
      </c>
      <c r="AS128" s="228">
        <v>671</v>
      </c>
      <c r="AT128" s="230">
        <v>1179</v>
      </c>
      <c r="AU128" s="228">
        <v>-508</v>
      </c>
      <c r="AV128" s="229">
        <v>-0.43120000000000003</v>
      </c>
      <c r="AW128" s="228">
        <v>657</v>
      </c>
      <c r="AX128" s="230">
        <v>1164</v>
      </c>
      <c r="AY128" s="228">
        <v>-507</v>
      </c>
      <c r="AZ128" s="229">
        <v>-0.43569999999999998</v>
      </c>
      <c r="BA128" s="228">
        <v>13</v>
      </c>
      <c r="BB128" s="228">
        <v>15</v>
      </c>
      <c r="BC128" s="228">
        <v>-2</v>
      </c>
      <c r="BD128" s="229">
        <v>-0.13159999999999999</v>
      </c>
      <c r="BE128" s="228">
        <v>1</v>
      </c>
      <c r="BF128" s="228">
        <v>0</v>
      </c>
      <c r="BG128" s="228">
        <v>0</v>
      </c>
      <c r="BH128" s="229">
        <v>1.25</v>
      </c>
      <c r="BI128" s="230">
        <v>3261</v>
      </c>
      <c r="BJ128" s="230">
        <v>5766</v>
      </c>
      <c r="BK128" s="230">
        <v>-2505</v>
      </c>
      <c r="BL128" s="229">
        <v>-0.43440000000000001</v>
      </c>
      <c r="BM128" s="230">
        <v>2101</v>
      </c>
      <c r="BN128" s="230">
        <v>2292</v>
      </c>
      <c r="BO128" s="228">
        <v>-190</v>
      </c>
      <c r="BP128" s="229">
        <v>-8.3099999999999993E-2</v>
      </c>
      <c r="BQ128" s="230">
        <v>6033</v>
      </c>
      <c r="BR128" s="230">
        <v>9237</v>
      </c>
      <c r="BS128" s="230">
        <v>-3204</v>
      </c>
      <c r="BT128" s="229">
        <v>-0.34689999999999999</v>
      </c>
      <c r="BU128" s="230">
        <v>5467981</v>
      </c>
      <c r="BV128" s="230">
        <v>5558382</v>
      </c>
      <c r="BW128" s="230">
        <v>-90401</v>
      </c>
      <c r="BX128" s="229">
        <v>-1.6299999999999999E-2</v>
      </c>
      <c r="BY128" s="230">
        <v>1758</v>
      </c>
      <c r="BZ128" s="230">
        <v>1853</v>
      </c>
      <c r="CA128" s="228">
        <v>-95</v>
      </c>
      <c r="CB128" s="229">
        <v>-5.1299999999999998E-2</v>
      </c>
      <c r="CC128" s="230">
        <v>1651</v>
      </c>
      <c r="CD128" s="230">
        <v>1749</v>
      </c>
      <c r="CE128" s="228">
        <v>-97</v>
      </c>
      <c r="CF128" s="229">
        <v>-5.57E-2</v>
      </c>
      <c r="CG128" s="228">
        <v>106</v>
      </c>
      <c r="CH128" s="228">
        <v>104</v>
      </c>
      <c r="CI128" s="228">
        <v>2</v>
      </c>
      <c r="CJ128" s="229">
        <v>1.89E-2</v>
      </c>
      <c r="CK128" s="228">
        <v>1</v>
      </c>
      <c r="CL128" s="228">
        <v>0</v>
      </c>
      <c r="CM128" s="228">
        <v>0</v>
      </c>
      <c r="CN128" s="229">
        <v>1.25</v>
      </c>
      <c r="CO128" s="228">
        <v>660</v>
      </c>
      <c r="CP128" s="228">
        <v>559</v>
      </c>
      <c r="CQ128" s="228">
        <v>101</v>
      </c>
      <c r="CR128" s="229">
        <v>0.18029999999999999</v>
      </c>
      <c r="CS128" s="228">
        <v>470</v>
      </c>
      <c r="CT128" s="228">
        <v>414</v>
      </c>
      <c r="CU128" s="228">
        <v>56</v>
      </c>
      <c r="CV128" s="229">
        <v>0.13619999999999999</v>
      </c>
      <c r="CW128" s="230">
        <v>2889</v>
      </c>
      <c r="CX128" s="230">
        <v>2826</v>
      </c>
      <c r="CY128" s="228">
        <v>62</v>
      </c>
      <c r="CZ128" s="229">
        <v>2.1999999999999999E-2</v>
      </c>
      <c r="DA128" s="228">
        <v>21.71</v>
      </c>
      <c r="DB128" s="228">
        <v>24.52</v>
      </c>
      <c r="DC128" s="228">
        <v>-2.81</v>
      </c>
      <c r="DD128" s="228">
        <v>-2.81</v>
      </c>
      <c r="DE128" s="228">
        <v>24.6</v>
      </c>
      <c r="DF128" s="228">
        <v>24.63</v>
      </c>
      <c r="DG128" s="228">
        <v>-2.89</v>
      </c>
      <c r="DH128" s="228">
        <v>-0.03</v>
      </c>
      <c r="DI128" s="228">
        <v>21.86</v>
      </c>
      <c r="DJ128" s="228">
        <v>24.26</v>
      </c>
      <c r="DK128" s="228">
        <v>-2.4</v>
      </c>
      <c r="DL128" s="228">
        <v>-2.4</v>
      </c>
      <c r="DM128" s="228">
        <v>21.47</v>
      </c>
      <c r="DN128" s="228">
        <v>25.18</v>
      </c>
      <c r="DO128" s="228">
        <v>-3.71</v>
      </c>
      <c r="DP128" s="228">
        <v>-3.71</v>
      </c>
      <c r="DQ128" s="228">
        <v>0.71</v>
      </c>
      <c r="DR128" s="228">
        <v>0.74</v>
      </c>
      <c r="DS128" s="228">
        <v>-0.03</v>
      </c>
      <c r="DT128" s="229">
        <v>-4.0500000000000001E-2</v>
      </c>
      <c r="DU128" s="228">
        <v>830</v>
      </c>
      <c r="DV128" s="228">
        <v>790</v>
      </c>
      <c r="DW128" s="228">
        <v>0.64</v>
      </c>
      <c r="DX128" s="228">
        <v>0.4</v>
      </c>
      <c r="DY128" s="228">
        <v>0.24</v>
      </c>
      <c r="DZ128" s="229">
        <v>0.6</v>
      </c>
      <c r="EA128" s="229">
        <v>6.08E-2</v>
      </c>
      <c r="EB128" s="230">
        <v>1274400</v>
      </c>
      <c r="EC128" s="229">
        <v>3.0000000000000001E-3</v>
      </c>
      <c r="ED128" s="229">
        <v>6.08E-2</v>
      </c>
      <c r="EE128" s="228">
        <v>1.93</v>
      </c>
      <c r="EF128" s="229">
        <v>2.3E-3</v>
      </c>
      <c r="EG128" s="230">
        <v>2428024</v>
      </c>
      <c r="EH128" s="230">
        <v>1675592</v>
      </c>
      <c r="EI128" s="229">
        <v>0.4491</v>
      </c>
      <c r="EJ128" s="229">
        <v>0.44400000000000001</v>
      </c>
      <c r="EK128" s="231">
        <v>3419.58</v>
      </c>
      <c r="EL128" s="231">
        <v>2072.27</v>
      </c>
      <c r="EM128" s="228">
        <v>678.87</v>
      </c>
      <c r="EN128" s="228">
        <v>41.49</v>
      </c>
      <c r="EO128" s="231">
        <v>6170.72</v>
      </c>
      <c r="EP128" s="231">
        <v>9145.01</v>
      </c>
      <c r="EQ128" s="231">
        <v>-2974.29</v>
      </c>
      <c r="ER128" s="229">
        <v>-0.32519999999999999</v>
      </c>
      <c r="ES128" s="228">
        <v>677.95</v>
      </c>
      <c r="ET128" s="228">
        <v>448.72</v>
      </c>
      <c r="EU128" s="231">
        <v>1758.43</v>
      </c>
      <c r="EV128" s="231">
        <v>77572761</v>
      </c>
      <c r="EW128" s="231">
        <v>2885.1</v>
      </c>
      <c r="EX128" s="231">
        <v>2785.02</v>
      </c>
      <c r="EY128" s="228">
        <v>100.08</v>
      </c>
      <c r="EZ128" s="229">
        <v>3.5900000000000001E-2</v>
      </c>
      <c r="FA128" s="229">
        <v>0.45440000000000003</v>
      </c>
      <c r="FB128" s="227" t="s">
        <v>691</v>
      </c>
      <c r="FC128">
        <f t="shared" si="1"/>
        <v>107</v>
      </c>
    </row>
    <row r="129" spans="1:159" ht="17.25" thickBot="1" x14ac:dyDescent="0.3">
      <c r="A129" s="226">
        <v>46148</v>
      </c>
      <c r="B129" s="227" t="s">
        <v>162</v>
      </c>
      <c r="C129" s="227" t="s">
        <v>255</v>
      </c>
      <c r="D129" s="228">
        <v>50</v>
      </c>
      <c r="E129" s="228">
        <v>20</v>
      </c>
      <c r="F129" s="231">
        <v>13804</v>
      </c>
      <c r="G129" s="231">
        <v>13452</v>
      </c>
      <c r="H129" s="228">
        <v>352</v>
      </c>
      <c r="I129" s="229">
        <v>2.6200000000000001E-2</v>
      </c>
      <c r="J129" s="231">
        <v>13722</v>
      </c>
      <c r="K129" s="231">
        <v>13426</v>
      </c>
      <c r="L129" s="228">
        <v>296</v>
      </c>
      <c r="M129" s="229">
        <v>2.1999999999999999E-2</v>
      </c>
      <c r="N129" s="231">
        <v>13804</v>
      </c>
      <c r="O129" s="231">
        <v>13452</v>
      </c>
      <c r="P129" s="228">
        <v>352</v>
      </c>
      <c r="Q129" s="229">
        <v>2.6200000000000001E-2</v>
      </c>
      <c r="R129" s="231">
        <v>13888</v>
      </c>
      <c r="S129" s="231">
        <v>13551</v>
      </c>
      <c r="T129" s="228">
        <v>337</v>
      </c>
      <c r="U129" s="229">
        <v>2.4899999999999999E-2</v>
      </c>
      <c r="V129" s="231">
        <v>13972</v>
      </c>
      <c r="W129" s="231">
        <v>13632</v>
      </c>
      <c r="X129" s="228">
        <v>340</v>
      </c>
      <c r="Y129" s="229">
        <v>2.4899999999999999E-2</v>
      </c>
      <c r="Z129" s="228">
        <v>82</v>
      </c>
      <c r="AA129" s="228">
        <v>26</v>
      </c>
      <c r="AB129" s="228">
        <v>56</v>
      </c>
      <c r="AC129" s="229">
        <v>6.0000000000000001E-3</v>
      </c>
      <c r="AD129" s="228">
        <v>82</v>
      </c>
      <c r="AE129" s="228">
        <v>26</v>
      </c>
      <c r="AF129" s="228">
        <v>56</v>
      </c>
      <c r="AG129" s="229">
        <v>6.0000000000000001E-3</v>
      </c>
      <c r="AH129" s="228">
        <v>166</v>
      </c>
      <c r="AI129" s="228">
        <v>125</v>
      </c>
      <c r="AJ129" s="228">
        <v>41</v>
      </c>
      <c r="AK129" s="229">
        <v>1.21E-2</v>
      </c>
      <c r="AL129" s="228">
        <v>250</v>
      </c>
      <c r="AM129" s="228">
        <v>206</v>
      </c>
      <c r="AN129" s="228">
        <v>44</v>
      </c>
      <c r="AO129" s="229">
        <v>1.8200000000000001E-2</v>
      </c>
      <c r="AP129" s="231">
        <v>13674.27</v>
      </c>
      <c r="AQ129" s="231">
        <v>13730</v>
      </c>
      <c r="AR129" s="228">
        <v>0</v>
      </c>
      <c r="AS129" s="228">
        <v>642</v>
      </c>
      <c r="AT129" s="228">
        <v>602</v>
      </c>
      <c r="AU129" s="228">
        <v>40</v>
      </c>
      <c r="AV129" s="229">
        <v>6.6299999999999998E-2</v>
      </c>
      <c r="AW129" s="228">
        <v>592</v>
      </c>
      <c r="AX129" s="228">
        <v>575</v>
      </c>
      <c r="AY129" s="228">
        <v>17</v>
      </c>
      <c r="AZ129" s="229">
        <v>2.8799999999999999E-2</v>
      </c>
      <c r="BA129" s="228">
        <v>45</v>
      </c>
      <c r="BB129" s="228">
        <v>24</v>
      </c>
      <c r="BC129" s="228">
        <v>21</v>
      </c>
      <c r="BD129" s="229">
        <v>0.88990000000000002</v>
      </c>
      <c r="BE129" s="228">
        <v>5</v>
      </c>
      <c r="BF129" s="228">
        <v>3</v>
      </c>
      <c r="BG129" s="228">
        <v>2</v>
      </c>
      <c r="BH129" s="229">
        <v>0.81579999999999997</v>
      </c>
      <c r="BI129" s="230">
        <v>5024</v>
      </c>
      <c r="BJ129" s="230">
        <v>3588</v>
      </c>
      <c r="BK129" s="230">
        <v>1436</v>
      </c>
      <c r="BL129" s="229">
        <v>0.40029999999999999</v>
      </c>
      <c r="BM129" s="230">
        <v>2308</v>
      </c>
      <c r="BN129" s="230">
        <v>1908</v>
      </c>
      <c r="BO129" s="228">
        <v>400</v>
      </c>
      <c r="BP129" s="229">
        <v>0.20949999999999999</v>
      </c>
      <c r="BQ129" s="230">
        <v>7974</v>
      </c>
      <c r="BR129" s="230">
        <v>6098</v>
      </c>
      <c r="BS129" s="230">
        <v>1876</v>
      </c>
      <c r="BT129" s="229">
        <v>0.30759999999999998</v>
      </c>
      <c r="BU129" s="230">
        <v>460671</v>
      </c>
      <c r="BV129" s="230">
        <v>440715</v>
      </c>
      <c r="BW129" s="230">
        <v>19956</v>
      </c>
      <c r="BX129" s="229">
        <v>4.53E-2</v>
      </c>
      <c r="BY129" s="230">
        <v>4349</v>
      </c>
      <c r="BZ129" s="230">
        <v>4305</v>
      </c>
      <c r="CA129" s="228">
        <v>45</v>
      </c>
      <c r="CB129" s="229">
        <v>1.04E-2</v>
      </c>
      <c r="CC129" s="230">
        <v>3488</v>
      </c>
      <c r="CD129" s="230">
        <v>3448</v>
      </c>
      <c r="CE129" s="228">
        <v>40</v>
      </c>
      <c r="CF129" s="229">
        <v>1.1599999999999999E-2</v>
      </c>
      <c r="CG129" s="228">
        <v>852</v>
      </c>
      <c r="CH129" s="228">
        <v>849</v>
      </c>
      <c r="CI129" s="228">
        <v>4</v>
      </c>
      <c r="CJ129" s="229">
        <v>4.1000000000000003E-3</v>
      </c>
      <c r="CK129" s="228">
        <v>9</v>
      </c>
      <c r="CL129" s="228">
        <v>8</v>
      </c>
      <c r="CM129" s="228">
        <v>1</v>
      </c>
      <c r="CN129" s="229">
        <v>0.14549999999999999</v>
      </c>
      <c r="CO129" s="230">
        <v>2830</v>
      </c>
      <c r="CP129" s="230">
        <v>3130</v>
      </c>
      <c r="CQ129" s="228">
        <v>-299</v>
      </c>
      <c r="CR129" s="229">
        <v>-9.5699999999999993E-2</v>
      </c>
      <c r="CS129" s="230">
        <v>1372</v>
      </c>
      <c r="CT129" s="230">
        <v>1264</v>
      </c>
      <c r="CU129" s="228">
        <v>108</v>
      </c>
      <c r="CV129" s="229">
        <v>8.5400000000000004E-2</v>
      </c>
      <c r="CW129" s="230">
        <v>8552</v>
      </c>
      <c r="CX129" s="230">
        <v>8699</v>
      </c>
      <c r="CY129" s="228">
        <v>-147</v>
      </c>
      <c r="CZ129" s="229">
        <v>-1.6899999999999998E-2</v>
      </c>
      <c r="DA129" s="228">
        <v>25.49</v>
      </c>
      <c r="DB129" s="228">
        <v>26.51</v>
      </c>
      <c r="DC129" s="228">
        <v>-1.02</v>
      </c>
      <c r="DD129" s="228">
        <v>-1.02</v>
      </c>
      <c r="DE129" s="228">
        <v>29.05</v>
      </c>
      <c r="DF129" s="228">
        <v>28.97</v>
      </c>
      <c r="DG129" s="228">
        <v>-3.56</v>
      </c>
      <c r="DH129" s="228">
        <v>0.08</v>
      </c>
      <c r="DI129" s="228">
        <v>24.38</v>
      </c>
      <c r="DJ129" s="228">
        <v>26.08</v>
      </c>
      <c r="DK129" s="228">
        <v>-1.7</v>
      </c>
      <c r="DL129" s="228">
        <v>-1.7</v>
      </c>
      <c r="DM129" s="228">
        <v>27.9</v>
      </c>
      <c r="DN129" s="228">
        <v>27.34</v>
      </c>
      <c r="DO129" s="228">
        <v>0.56000000000000005</v>
      </c>
      <c r="DP129" s="228">
        <v>0.56000000000000005</v>
      </c>
      <c r="DQ129" s="228">
        <v>0.48</v>
      </c>
      <c r="DR129" s="228">
        <v>0.4</v>
      </c>
      <c r="DS129" s="228">
        <v>0.08</v>
      </c>
      <c r="DT129" s="229">
        <v>0.2</v>
      </c>
      <c r="DU129" s="231">
        <v>14000</v>
      </c>
      <c r="DV129" s="231">
        <v>12500</v>
      </c>
      <c r="DW129" s="228">
        <v>0.46</v>
      </c>
      <c r="DX129" s="228">
        <v>0.53</v>
      </c>
      <c r="DY129" s="228">
        <v>-7.0000000000000007E-2</v>
      </c>
      <c r="DZ129" s="229">
        <v>-0.1321</v>
      </c>
      <c r="EA129" s="229">
        <v>0.19789999999999999</v>
      </c>
      <c r="EB129" s="230">
        <v>620250</v>
      </c>
      <c r="EC129" s="229">
        <v>6.1000000000000004E-3</v>
      </c>
      <c r="ED129" s="229">
        <v>0.19789999999999999</v>
      </c>
      <c r="EE129" s="228">
        <v>55.73</v>
      </c>
      <c r="EF129" s="229">
        <v>4.1000000000000003E-3</v>
      </c>
      <c r="EG129" s="230">
        <v>199664</v>
      </c>
      <c r="EH129" s="230">
        <v>222260</v>
      </c>
      <c r="EI129" s="229">
        <v>-0.1017</v>
      </c>
      <c r="EJ129" s="229">
        <v>0.43340000000000001</v>
      </c>
      <c r="EK129" s="231">
        <v>5206.12</v>
      </c>
      <c r="EL129" s="231">
        <v>2196.84</v>
      </c>
      <c r="EM129" s="228">
        <v>635.88</v>
      </c>
      <c r="EN129" s="228">
        <v>142.12</v>
      </c>
      <c r="EO129" s="231">
        <v>8038.84</v>
      </c>
      <c r="EP129" s="231">
        <v>6115.95</v>
      </c>
      <c r="EQ129" s="231">
        <v>1922.89</v>
      </c>
      <c r="ER129" s="229">
        <v>0.31440000000000001</v>
      </c>
      <c r="ES129" s="231">
        <v>2893.27</v>
      </c>
      <c r="ET129" s="231">
        <v>1280.03</v>
      </c>
      <c r="EU129" s="231">
        <v>4354.38</v>
      </c>
      <c r="EV129" s="231">
        <v>19673414</v>
      </c>
      <c r="EW129" s="231">
        <v>8527.68</v>
      </c>
      <c r="EX129" s="231">
        <v>8576.18</v>
      </c>
      <c r="EY129" s="228">
        <v>-48.5</v>
      </c>
      <c r="EZ129" s="229">
        <v>-5.7000000000000002E-3</v>
      </c>
      <c r="FA129" s="229">
        <v>0.31490000000000001</v>
      </c>
      <c r="FB129" s="227" t="s">
        <v>555</v>
      </c>
      <c r="FC129">
        <f t="shared" si="1"/>
        <v>861</v>
      </c>
    </row>
    <row r="130" spans="1:159" ht="17.25" thickBot="1" x14ac:dyDescent="0.3">
      <c r="A130" s="226">
        <v>46148</v>
      </c>
      <c r="B130" s="227" t="s">
        <v>170</v>
      </c>
      <c r="C130" s="227" t="s">
        <v>602</v>
      </c>
      <c r="D130" s="228">
        <v>525</v>
      </c>
      <c r="E130" s="228">
        <v>20</v>
      </c>
      <c r="F130" s="231">
        <v>1022.25</v>
      </c>
      <c r="G130" s="231">
        <v>1005.75</v>
      </c>
      <c r="H130" s="228">
        <v>16.5</v>
      </c>
      <c r="I130" s="229">
        <v>1.6400000000000001E-2</v>
      </c>
      <c r="J130" s="231">
        <v>1015.9</v>
      </c>
      <c r="K130" s="231">
        <v>1000.45</v>
      </c>
      <c r="L130" s="228">
        <v>15.45</v>
      </c>
      <c r="M130" s="229">
        <v>1.54E-2</v>
      </c>
      <c r="N130" s="231">
        <v>1022.25</v>
      </c>
      <c r="O130" s="231">
        <v>1005.75</v>
      </c>
      <c r="P130" s="228">
        <v>16.5</v>
      </c>
      <c r="Q130" s="229">
        <v>1.6400000000000001E-2</v>
      </c>
      <c r="R130" s="231">
        <v>1029.3499999999999</v>
      </c>
      <c r="S130" s="231">
        <v>1013.25</v>
      </c>
      <c r="T130" s="228">
        <v>16.100000000000001</v>
      </c>
      <c r="U130" s="229">
        <v>1.5900000000000001E-2</v>
      </c>
      <c r="V130" s="231">
        <v>1035</v>
      </c>
      <c r="W130" s="231">
        <v>1017</v>
      </c>
      <c r="X130" s="228">
        <v>18</v>
      </c>
      <c r="Y130" s="229">
        <v>1.77E-2</v>
      </c>
      <c r="Z130" s="228">
        <v>6.35</v>
      </c>
      <c r="AA130" s="228">
        <v>5.3</v>
      </c>
      <c r="AB130" s="228">
        <v>1.05</v>
      </c>
      <c r="AC130" s="229">
        <v>6.3E-3</v>
      </c>
      <c r="AD130" s="228">
        <v>6.35</v>
      </c>
      <c r="AE130" s="228">
        <v>5.3</v>
      </c>
      <c r="AF130" s="228">
        <v>1.05</v>
      </c>
      <c r="AG130" s="229">
        <v>6.3E-3</v>
      </c>
      <c r="AH130" s="228">
        <v>13.45</v>
      </c>
      <c r="AI130" s="228">
        <v>12.8</v>
      </c>
      <c r="AJ130" s="228">
        <v>0.65</v>
      </c>
      <c r="AK130" s="229">
        <v>1.32E-2</v>
      </c>
      <c r="AL130" s="228">
        <v>19.100000000000001</v>
      </c>
      <c r="AM130" s="228">
        <v>16.55</v>
      </c>
      <c r="AN130" s="228">
        <v>2.5499999999999998</v>
      </c>
      <c r="AO130" s="229">
        <v>1.8800000000000001E-2</v>
      </c>
      <c r="AP130" s="231">
        <v>1020.73</v>
      </c>
      <c r="AQ130" s="231">
        <v>1025.77</v>
      </c>
      <c r="AR130" s="228">
        <v>0</v>
      </c>
      <c r="AS130" s="228">
        <v>115</v>
      </c>
      <c r="AT130" s="228">
        <v>106</v>
      </c>
      <c r="AU130" s="228">
        <v>9</v>
      </c>
      <c r="AV130" s="229">
        <v>8.1500000000000003E-2</v>
      </c>
      <c r="AW130" s="228">
        <v>106</v>
      </c>
      <c r="AX130" s="228">
        <v>97</v>
      </c>
      <c r="AY130" s="228">
        <v>10</v>
      </c>
      <c r="AZ130" s="229">
        <v>0.1012</v>
      </c>
      <c r="BA130" s="228">
        <v>8</v>
      </c>
      <c r="BB130" s="228">
        <v>9</v>
      </c>
      <c r="BC130" s="228">
        <v>-2</v>
      </c>
      <c r="BD130" s="229">
        <v>-0.16569999999999999</v>
      </c>
      <c r="BE130" s="228">
        <v>0</v>
      </c>
      <c r="BF130" s="228">
        <v>0</v>
      </c>
      <c r="BG130" s="228">
        <v>0</v>
      </c>
      <c r="BH130" s="229">
        <v>8</v>
      </c>
      <c r="BI130" s="228">
        <v>205</v>
      </c>
      <c r="BJ130" s="228">
        <v>113</v>
      </c>
      <c r="BK130" s="228">
        <v>92</v>
      </c>
      <c r="BL130" s="229">
        <v>0.81169999999999998</v>
      </c>
      <c r="BM130" s="228">
        <v>91</v>
      </c>
      <c r="BN130" s="228">
        <v>82</v>
      </c>
      <c r="BO130" s="228">
        <v>9</v>
      </c>
      <c r="BP130" s="229">
        <v>0.1153</v>
      </c>
      <c r="BQ130" s="228">
        <v>411</v>
      </c>
      <c r="BR130" s="228">
        <v>301</v>
      </c>
      <c r="BS130" s="228">
        <v>110</v>
      </c>
      <c r="BT130" s="229">
        <v>0.36509999999999998</v>
      </c>
      <c r="BU130" s="230">
        <v>1356559</v>
      </c>
      <c r="BV130" s="230">
        <v>990491</v>
      </c>
      <c r="BW130" s="230">
        <v>366068</v>
      </c>
      <c r="BX130" s="229">
        <v>0.36959999999999998</v>
      </c>
      <c r="BY130" s="230">
        <v>1362</v>
      </c>
      <c r="BZ130" s="230">
        <v>1369</v>
      </c>
      <c r="CA130" s="228">
        <v>-7</v>
      </c>
      <c r="CB130" s="229">
        <v>-5.0000000000000001E-3</v>
      </c>
      <c r="CC130" s="230">
        <v>1232</v>
      </c>
      <c r="CD130" s="230">
        <v>1241</v>
      </c>
      <c r="CE130" s="228">
        <v>-10</v>
      </c>
      <c r="CF130" s="229">
        <v>-7.9000000000000008E-3</v>
      </c>
      <c r="CG130" s="228">
        <v>128</v>
      </c>
      <c r="CH130" s="228">
        <v>126</v>
      </c>
      <c r="CI130" s="228">
        <v>3</v>
      </c>
      <c r="CJ130" s="229">
        <v>0.02</v>
      </c>
      <c r="CK130" s="228">
        <v>2</v>
      </c>
      <c r="CL130" s="228">
        <v>1</v>
      </c>
      <c r="CM130" s="228">
        <v>0</v>
      </c>
      <c r="CN130" s="229">
        <v>0.28000000000000003</v>
      </c>
      <c r="CO130" s="228">
        <v>256</v>
      </c>
      <c r="CP130" s="228">
        <v>229</v>
      </c>
      <c r="CQ130" s="228">
        <v>27</v>
      </c>
      <c r="CR130" s="229">
        <v>0.11840000000000001</v>
      </c>
      <c r="CS130" s="228">
        <v>131</v>
      </c>
      <c r="CT130" s="228">
        <v>134</v>
      </c>
      <c r="CU130" s="228">
        <v>-4</v>
      </c>
      <c r="CV130" s="229">
        <v>-2.64E-2</v>
      </c>
      <c r="CW130" s="230">
        <v>1749</v>
      </c>
      <c r="CX130" s="230">
        <v>1732</v>
      </c>
      <c r="CY130" s="228">
        <v>17</v>
      </c>
      <c r="CZ130" s="229">
        <v>9.5999999999999992E-3</v>
      </c>
      <c r="DA130" s="228">
        <v>29.34</v>
      </c>
      <c r="DB130" s="228">
        <v>30.72</v>
      </c>
      <c r="DC130" s="228">
        <v>-1.38</v>
      </c>
      <c r="DD130" s="228">
        <v>-1.38</v>
      </c>
      <c r="DE130" s="228">
        <v>35.58</v>
      </c>
      <c r="DF130" s="228">
        <v>35.61</v>
      </c>
      <c r="DG130" s="228">
        <v>-6.24</v>
      </c>
      <c r="DH130" s="228">
        <v>-0.03</v>
      </c>
      <c r="DI130" s="228">
        <v>29.52</v>
      </c>
      <c r="DJ130" s="228">
        <v>30.93</v>
      </c>
      <c r="DK130" s="228">
        <v>-1.41</v>
      </c>
      <c r="DL130" s="228">
        <v>-1.41</v>
      </c>
      <c r="DM130" s="228">
        <v>28.92</v>
      </c>
      <c r="DN130" s="228">
        <v>30.43</v>
      </c>
      <c r="DO130" s="228">
        <v>-1.51</v>
      </c>
      <c r="DP130" s="228">
        <v>-1.51</v>
      </c>
      <c r="DQ130" s="228">
        <v>0.51</v>
      </c>
      <c r="DR130" s="228">
        <v>0.59</v>
      </c>
      <c r="DS130" s="228">
        <v>-0.08</v>
      </c>
      <c r="DT130" s="229">
        <v>-0.1356</v>
      </c>
      <c r="DU130" s="231">
        <v>1100</v>
      </c>
      <c r="DV130" s="231">
        <v>1000</v>
      </c>
      <c r="DW130" s="228">
        <v>0.45</v>
      </c>
      <c r="DX130" s="228">
        <v>0.72</v>
      </c>
      <c r="DY130" s="228">
        <v>-0.27</v>
      </c>
      <c r="DZ130" s="229">
        <v>-0.375</v>
      </c>
      <c r="EA130" s="229">
        <v>9.5600000000000004E-2</v>
      </c>
      <c r="EB130" s="230">
        <v>1245300</v>
      </c>
      <c r="EC130" s="229">
        <v>6.8999999999999999E-3</v>
      </c>
      <c r="ED130" s="229">
        <v>9.5600000000000004E-2</v>
      </c>
      <c r="EE130" s="228">
        <v>5.04</v>
      </c>
      <c r="EF130" s="229">
        <v>4.8999999999999998E-3</v>
      </c>
      <c r="EG130" s="230">
        <v>885346</v>
      </c>
      <c r="EH130" s="230">
        <v>429677</v>
      </c>
      <c r="EI130" s="229">
        <v>1.0605</v>
      </c>
      <c r="EJ130" s="229">
        <v>0.65259999999999996</v>
      </c>
      <c r="EK130" s="228">
        <v>214.49</v>
      </c>
      <c r="EL130" s="228">
        <v>90.97</v>
      </c>
      <c r="EM130" s="228">
        <v>114.51</v>
      </c>
      <c r="EN130" s="228">
        <v>28.13</v>
      </c>
      <c r="EO130" s="228">
        <v>419.96</v>
      </c>
      <c r="EP130" s="228">
        <v>304.19</v>
      </c>
      <c r="EQ130" s="228">
        <v>115.77</v>
      </c>
      <c r="ER130" s="229">
        <v>0.38059999999999999</v>
      </c>
      <c r="ES130" s="228">
        <v>265.58</v>
      </c>
      <c r="ET130" s="228">
        <v>127.59</v>
      </c>
      <c r="EU130" s="231">
        <v>1362.8</v>
      </c>
      <c r="EV130" s="231">
        <v>111298748</v>
      </c>
      <c r="EW130" s="231">
        <v>1755.96</v>
      </c>
      <c r="EX130" s="231">
        <v>1715.03</v>
      </c>
      <c r="EY130" s="228">
        <v>40.93</v>
      </c>
      <c r="EZ130" s="229">
        <v>2.3900000000000001E-2</v>
      </c>
      <c r="FA130" s="229">
        <v>0.1537</v>
      </c>
      <c r="FB130" s="227" t="s">
        <v>691</v>
      </c>
      <c r="FC130">
        <f t="shared" si="1"/>
        <v>130</v>
      </c>
    </row>
    <row r="131" spans="1:159" ht="17.25" thickBot="1" x14ac:dyDescent="0.3">
      <c r="A131" s="226">
        <v>46148</v>
      </c>
      <c r="B131" s="227" t="s">
        <v>215</v>
      </c>
      <c r="C131" s="227" t="s">
        <v>670</v>
      </c>
      <c r="D131" s="228">
        <v>200</v>
      </c>
      <c r="E131" s="228">
        <v>20</v>
      </c>
      <c r="F131" s="231">
        <v>2658.7</v>
      </c>
      <c r="G131" s="231">
        <v>2644.5</v>
      </c>
      <c r="H131" s="228">
        <v>14.2</v>
      </c>
      <c r="I131" s="229">
        <v>5.4000000000000003E-3</v>
      </c>
      <c r="J131" s="231">
        <v>2644.5</v>
      </c>
      <c r="K131" s="231">
        <v>2633.4</v>
      </c>
      <c r="L131" s="228">
        <v>11.1</v>
      </c>
      <c r="M131" s="229">
        <v>4.1999999999999997E-3</v>
      </c>
      <c r="N131" s="231">
        <v>2658.7</v>
      </c>
      <c r="O131" s="231">
        <v>2644.5</v>
      </c>
      <c r="P131" s="228">
        <v>14.2</v>
      </c>
      <c r="Q131" s="229">
        <v>5.4000000000000003E-3</v>
      </c>
      <c r="R131" s="231">
        <v>2670.5</v>
      </c>
      <c r="S131" s="231">
        <v>2660.6</v>
      </c>
      <c r="T131" s="228">
        <v>9.9</v>
      </c>
      <c r="U131" s="229">
        <v>3.7000000000000002E-3</v>
      </c>
      <c r="V131" s="231">
        <v>2683.2</v>
      </c>
      <c r="W131" s="231">
        <v>2675.1</v>
      </c>
      <c r="X131" s="228">
        <v>8.1</v>
      </c>
      <c r="Y131" s="229">
        <v>3.0000000000000001E-3</v>
      </c>
      <c r="Z131" s="228">
        <v>14.2</v>
      </c>
      <c r="AA131" s="228">
        <v>11.1</v>
      </c>
      <c r="AB131" s="228">
        <v>3.1</v>
      </c>
      <c r="AC131" s="229">
        <v>5.4000000000000003E-3</v>
      </c>
      <c r="AD131" s="228">
        <v>14.2</v>
      </c>
      <c r="AE131" s="228">
        <v>11.1</v>
      </c>
      <c r="AF131" s="228">
        <v>3.1</v>
      </c>
      <c r="AG131" s="229">
        <v>5.4000000000000003E-3</v>
      </c>
      <c r="AH131" s="228">
        <v>26</v>
      </c>
      <c r="AI131" s="228">
        <v>27.2</v>
      </c>
      <c r="AJ131" s="228">
        <v>-1.2</v>
      </c>
      <c r="AK131" s="229">
        <v>9.7999999999999997E-3</v>
      </c>
      <c r="AL131" s="228">
        <v>38.700000000000003</v>
      </c>
      <c r="AM131" s="228">
        <v>41.7</v>
      </c>
      <c r="AN131" s="228">
        <v>-3</v>
      </c>
      <c r="AO131" s="229">
        <v>1.46E-2</v>
      </c>
      <c r="AP131" s="231">
        <v>2657.58</v>
      </c>
      <c r="AQ131" s="231">
        <v>2667.45</v>
      </c>
      <c r="AR131" s="228">
        <v>0</v>
      </c>
      <c r="AS131" s="228">
        <v>192</v>
      </c>
      <c r="AT131" s="228">
        <v>269</v>
      </c>
      <c r="AU131" s="228">
        <v>-77</v>
      </c>
      <c r="AV131" s="229">
        <v>-0.28520000000000001</v>
      </c>
      <c r="AW131" s="228">
        <v>178</v>
      </c>
      <c r="AX131" s="228">
        <v>252</v>
      </c>
      <c r="AY131" s="228">
        <v>-73</v>
      </c>
      <c r="AZ131" s="229">
        <v>-0.29210000000000003</v>
      </c>
      <c r="BA131" s="228">
        <v>13</v>
      </c>
      <c r="BB131" s="228">
        <v>14</v>
      </c>
      <c r="BC131" s="228">
        <v>-1</v>
      </c>
      <c r="BD131" s="229">
        <v>-8.9200000000000002E-2</v>
      </c>
      <c r="BE131" s="228">
        <v>1</v>
      </c>
      <c r="BF131" s="228">
        <v>3</v>
      </c>
      <c r="BG131" s="228">
        <v>-2</v>
      </c>
      <c r="BH131" s="229">
        <v>-0.60319999999999996</v>
      </c>
      <c r="BI131" s="228">
        <v>831</v>
      </c>
      <c r="BJ131" s="228">
        <v>973</v>
      </c>
      <c r="BK131" s="228">
        <v>-141</v>
      </c>
      <c r="BL131" s="229">
        <v>-0.14530000000000001</v>
      </c>
      <c r="BM131" s="228">
        <v>244</v>
      </c>
      <c r="BN131" s="228">
        <v>300</v>
      </c>
      <c r="BO131" s="228">
        <v>-56</v>
      </c>
      <c r="BP131" s="229">
        <v>-0.18640000000000001</v>
      </c>
      <c r="BQ131" s="230">
        <v>1268</v>
      </c>
      <c r="BR131" s="230">
        <v>1542</v>
      </c>
      <c r="BS131" s="228">
        <v>-274</v>
      </c>
      <c r="BT131" s="229">
        <v>-0.1777</v>
      </c>
      <c r="BU131" s="230">
        <v>1182473</v>
      </c>
      <c r="BV131" s="230">
        <v>1886697</v>
      </c>
      <c r="BW131" s="230">
        <v>-704224</v>
      </c>
      <c r="BX131" s="229">
        <v>-0.37330000000000002</v>
      </c>
      <c r="BY131" s="230">
        <v>1293</v>
      </c>
      <c r="BZ131" s="230">
        <v>1292</v>
      </c>
      <c r="CA131" s="228">
        <v>1</v>
      </c>
      <c r="CB131" s="229">
        <v>1.1000000000000001E-3</v>
      </c>
      <c r="CC131" s="230">
        <v>1230</v>
      </c>
      <c r="CD131" s="230">
        <v>1227</v>
      </c>
      <c r="CE131" s="228">
        <v>2</v>
      </c>
      <c r="CF131" s="229">
        <v>1.9E-3</v>
      </c>
      <c r="CG131" s="228">
        <v>47</v>
      </c>
      <c r="CH131" s="228">
        <v>48</v>
      </c>
      <c r="CI131" s="228">
        <v>0</v>
      </c>
      <c r="CJ131" s="229">
        <v>-8.8999999999999999E-3</v>
      </c>
      <c r="CK131" s="228">
        <v>16</v>
      </c>
      <c r="CL131" s="228">
        <v>17</v>
      </c>
      <c r="CM131" s="228">
        <v>0</v>
      </c>
      <c r="CN131" s="229">
        <v>-2.87E-2</v>
      </c>
      <c r="CO131" s="230">
        <v>1177</v>
      </c>
      <c r="CP131" s="230">
        <v>1174</v>
      </c>
      <c r="CQ131" s="228">
        <v>3</v>
      </c>
      <c r="CR131" s="229">
        <v>2.3E-3</v>
      </c>
      <c r="CS131" s="228">
        <v>493</v>
      </c>
      <c r="CT131" s="228">
        <v>487</v>
      </c>
      <c r="CU131" s="228">
        <v>6</v>
      </c>
      <c r="CV131" s="229">
        <v>1.15E-2</v>
      </c>
      <c r="CW131" s="230">
        <v>2963</v>
      </c>
      <c r="CX131" s="230">
        <v>2953</v>
      </c>
      <c r="CY131" s="228">
        <v>10</v>
      </c>
      <c r="CZ131" s="229">
        <v>3.3E-3</v>
      </c>
      <c r="DA131" s="228">
        <v>39.04</v>
      </c>
      <c r="DB131" s="228">
        <v>41.18</v>
      </c>
      <c r="DC131" s="228">
        <v>-2.14</v>
      </c>
      <c r="DD131" s="228">
        <v>-2.14</v>
      </c>
      <c r="DE131" s="228">
        <v>55.09</v>
      </c>
      <c r="DF131" s="228">
        <v>55.22</v>
      </c>
      <c r="DG131" s="228">
        <v>-16.05</v>
      </c>
      <c r="DH131" s="228">
        <v>-0.13</v>
      </c>
      <c r="DI131" s="228">
        <v>39.369999999999997</v>
      </c>
      <c r="DJ131" s="228">
        <v>41.25</v>
      </c>
      <c r="DK131" s="228">
        <v>-1.88</v>
      </c>
      <c r="DL131" s="228">
        <v>-1.88</v>
      </c>
      <c r="DM131" s="228">
        <v>37.93</v>
      </c>
      <c r="DN131" s="228">
        <v>40.97</v>
      </c>
      <c r="DO131" s="228">
        <v>-3.04</v>
      </c>
      <c r="DP131" s="228">
        <v>-3.04</v>
      </c>
      <c r="DQ131" s="228">
        <v>0.42</v>
      </c>
      <c r="DR131" s="228">
        <v>0.41</v>
      </c>
      <c r="DS131" s="228">
        <v>0.01</v>
      </c>
      <c r="DT131" s="229">
        <v>2.4400000000000002E-2</v>
      </c>
      <c r="DU131" s="231">
        <v>2800</v>
      </c>
      <c r="DV131" s="231">
        <v>2600</v>
      </c>
      <c r="DW131" s="228">
        <v>0.28999999999999998</v>
      </c>
      <c r="DX131" s="228">
        <v>0.31</v>
      </c>
      <c r="DY131" s="228">
        <v>-0.02</v>
      </c>
      <c r="DZ131" s="229">
        <v>-6.4500000000000002E-2</v>
      </c>
      <c r="EA131" s="229">
        <v>4.9099999999999998E-2</v>
      </c>
      <c r="EB131" s="230">
        <v>242175</v>
      </c>
      <c r="EC131" s="229">
        <v>4.4000000000000003E-3</v>
      </c>
      <c r="ED131" s="229">
        <v>4.9099999999999998E-2</v>
      </c>
      <c r="EE131" s="228">
        <v>9.8699999999999992</v>
      </c>
      <c r="EF131" s="229">
        <v>3.7000000000000002E-3</v>
      </c>
      <c r="EG131" s="230">
        <v>321724</v>
      </c>
      <c r="EH131" s="230">
        <v>418660</v>
      </c>
      <c r="EI131" s="229">
        <v>-0.23150000000000001</v>
      </c>
      <c r="EJ131" s="229">
        <v>0.27210000000000001</v>
      </c>
      <c r="EK131" s="228">
        <v>886.11</v>
      </c>
      <c r="EL131" s="228">
        <v>241.92</v>
      </c>
      <c r="EM131" s="228">
        <v>192.64</v>
      </c>
      <c r="EN131" s="228">
        <v>95.77</v>
      </c>
      <c r="EO131" s="231">
        <v>1320.67</v>
      </c>
      <c r="EP131" s="231">
        <v>1594.12</v>
      </c>
      <c r="EQ131" s="228">
        <v>-273.45</v>
      </c>
      <c r="ER131" s="229">
        <v>-0.17150000000000001</v>
      </c>
      <c r="ES131" s="231">
        <v>1240.25</v>
      </c>
      <c r="ET131" s="228">
        <v>477.99</v>
      </c>
      <c r="EU131" s="231">
        <v>1293.5999999999999</v>
      </c>
      <c r="EV131" s="231">
        <v>11364224</v>
      </c>
      <c r="EW131" s="231">
        <v>3011.83</v>
      </c>
      <c r="EX131" s="231">
        <v>2994.43</v>
      </c>
      <c r="EY131" s="228">
        <v>17.399999999999999</v>
      </c>
      <c r="EZ131" s="229">
        <v>5.7999999999999996E-3</v>
      </c>
      <c r="FA131" s="229">
        <v>0.98060000000000003</v>
      </c>
      <c r="FB131" s="227" t="s">
        <v>555</v>
      </c>
      <c r="FC131">
        <f t="shared" ref="FC131:FC147" si="2">BY131-CC131</f>
        <v>63</v>
      </c>
    </row>
    <row r="132" spans="1:159" ht="17.25" thickBot="1" x14ac:dyDescent="0.3">
      <c r="A132" s="226">
        <v>46148</v>
      </c>
      <c r="B132" s="227" t="s">
        <v>175</v>
      </c>
      <c r="C132" s="227" t="s">
        <v>517</v>
      </c>
      <c r="D132" s="228">
        <v>625</v>
      </c>
      <c r="E132" s="228">
        <v>20</v>
      </c>
      <c r="F132" s="231">
        <v>2987.3</v>
      </c>
      <c r="G132" s="231">
        <v>2918.4</v>
      </c>
      <c r="H132" s="228">
        <v>68.900000000000006</v>
      </c>
      <c r="I132" s="229">
        <v>2.3599999999999999E-2</v>
      </c>
      <c r="J132" s="231">
        <v>2973.2</v>
      </c>
      <c r="K132" s="231">
        <v>2902.5</v>
      </c>
      <c r="L132" s="228">
        <v>70.7</v>
      </c>
      <c r="M132" s="229">
        <v>2.4400000000000002E-2</v>
      </c>
      <c r="N132" s="231">
        <v>2987.3</v>
      </c>
      <c r="O132" s="231">
        <v>2918.4</v>
      </c>
      <c r="P132" s="228">
        <v>68.900000000000006</v>
      </c>
      <c r="Q132" s="229">
        <v>2.3599999999999999E-2</v>
      </c>
      <c r="R132" s="231">
        <v>3001.3</v>
      </c>
      <c r="S132" s="231">
        <v>2937.2</v>
      </c>
      <c r="T132" s="228">
        <v>64.099999999999994</v>
      </c>
      <c r="U132" s="229">
        <v>2.18E-2</v>
      </c>
      <c r="V132" s="231">
        <v>3021.2</v>
      </c>
      <c r="W132" s="231">
        <v>2952.1</v>
      </c>
      <c r="X132" s="228">
        <v>69.099999999999994</v>
      </c>
      <c r="Y132" s="229">
        <v>2.3400000000000001E-2</v>
      </c>
      <c r="Z132" s="228">
        <v>14.1</v>
      </c>
      <c r="AA132" s="228">
        <v>15.9</v>
      </c>
      <c r="AB132" s="228">
        <v>-1.8</v>
      </c>
      <c r="AC132" s="229">
        <v>4.7000000000000002E-3</v>
      </c>
      <c r="AD132" s="228">
        <v>14.1</v>
      </c>
      <c r="AE132" s="228">
        <v>15.9</v>
      </c>
      <c r="AF132" s="228">
        <v>-1.8</v>
      </c>
      <c r="AG132" s="229">
        <v>4.7000000000000002E-3</v>
      </c>
      <c r="AH132" s="228">
        <v>28.1</v>
      </c>
      <c r="AI132" s="228">
        <v>34.700000000000003</v>
      </c>
      <c r="AJ132" s="228">
        <v>-6.6</v>
      </c>
      <c r="AK132" s="229">
        <v>9.4999999999999998E-3</v>
      </c>
      <c r="AL132" s="228">
        <v>48</v>
      </c>
      <c r="AM132" s="228">
        <v>49.6</v>
      </c>
      <c r="AN132" s="228">
        <v>-1.6</v>
      </c>
      <c r="AO132" s="229">
        <v>1.61E-2</v>
      </c>
      <c r="AP132" s="231">
        <v>2972.23</v>
      </c>
      <c r="AQ132" s="231">
        <v>2989.3</v>
      </c>
      <c r="AR132" s="228">
        <v>0</v>
      </c>
      <c r="AS132" s="228">
        <v>841</v>
      </c>
      <c r="AT132" s="228">
        <v>647</v>
      </c>
      <c r="AU132" s="228">
        <v>194</v>
      </c>
      <c r="AV132" s="229">
        <v>0.3</v>
      </c>
      <c r="AW132" s="228">
        <v>763</v>
      </c>
      <c r="AX132" s="228">
        <v>571</v>
      </c>
      <c r="AY132" s="228">
        <v>192</v>
      </c>
      <c r="AZ132" s="229">
        <v>0.3357</v>
      </c>
      <c r="BA132" s="228">
        <v>59</v>
      </c>
      <c r="BB132" s="228">
        <v>54</v>
      </c>
      <c r="BC132" s="228">
        <v>5</v>
      </c>
      <c r="BD132" s="229">
        <v>9.4100000000000003E-2</v>
      </c>
      <c r="BE132" s="228">
        <v>20</v>
      </c>
      <c r="BF132" s="228">
        <v>23</v>
      </c>
      <c r="BG132" s="228">
        <v>-3</v>
      </c>
      <c r="BH132" s="229">
        <v>-0.1157</v>
      </c>
      <c r="BI132" s="230">
        <v>2305</v>
      </c>
      <c r="BJ132" s="230">
        <v>1827</v>
      </c>
      <c r="BK132" s="228">
        <v>478</v>
      </c>
      <c r="BL132" s="229">
        <v>0.26150000000000001</v>
      </c>
      <c r="BM132" s="230">
        <v>1452</v>
      </c>
      <c r="BN132" s="230">
        <v>1163</v>
      </c>
      <c r="BO132" s="228">
        <v>289</v>
      </c>
      <c r="BP132" s="229">
        <v>0.2485</v>
      </c>
      <c r="BQ132" s="230">
        <v>4598</v>
      </c>
      <c r="BR132" s="230">
        <v>3637</v>
      </c>
      <c r="BS132" s="228">
        <v>961</v>
      </c>
      <c r="BT132" s="229">
        <v>0.26419999999999999</v>
      </c>
      <c r="BU132" s="230">
        <v>2104774</v>
      </c>
      <c r="BV132" s="230">
        <v>1825137</v>
      </c>
      <c r="BW132" s="230">
        <v>279637</v>
      </c>
      <c r="BX132" s="229">
        <v>0.1532</v>
      </c>
      <c r="BY132" s="230">
        <v>3787</v>
      </c>
      <c r="BZ132" s="230">
        <v>3875</v>
      </c>
      <c r="CA132" s="228">
        <v>-88</v>
      </c>
      <c r="CB132" s="229">
        <v>-2.2800000000000001E-2</v>
      </c>
      <c r="CC132" s="230">
        <v>3644</v>
      </c>
      <c r="CD132" s="230">
        <v>3726</v>
      </c>
      <c r="CE132" s="228">
        <v>-83</v>
      </c>
      <c r="CF132" s="229">
        <v>-2.2200000000000001E-2</v>
      </c>
      <c r="CG132" s="228">
        <v>126</v>
      </c>
      <c r="CH132" s="228">
        <v>131</v>
      </c>
      <c r="CI132" s="228">
        <v>-5</v>
      </c>
      <c r="CJ132" s="229">
        <v>-3.56E-2</v>
      </c>
      <c r="CK132" s="228">
        <v>17</v>
      </c>
      <c r="CL132" s="228">
        <v>17</v>
      </c>
      <c r="CM132" s="228">
        <v>-1</v>
      </c>
      <c r="CN132" s="229">
        <v>-4.6300000000000001E-2</v>
      </c>
      <c r="CO132" s="230">
        <v>1438</v>
      </c>
      <c r="CP132" s="230">
        <v>1470</v>
      </c>
      <c r="CQ132" s="228">
        <v>-32</v>
      </c>
      <c r="CR132" s="229">
        <v>-2.1700000000000001E-2</v>
      </c>
      <c r="CS132" s="230">
        <v>1117</v>
      </c>
      <c r="CT132" s="230">
        <v>1012</v>
      </c>
      <c r="CU132" s="228">
        <v>105</v>
      </c>
      <c r="CV132" s="229">
        <v>0.1037</v>
      </c>
      <c r="CW132" s="230">
        <v>6341</v>
      </c>
      <c r="CX132" s="230">
        <v>6356</v>
      </c>
      <c r="CY132" s="228">
        <v>-15</v>
      </c>
      <c r="CZ132" s="229">
        <v>-2.3999999999999998E-3</v>
      </c>
      <c r="DA132" s="228">
        <v>44.13</v>
      </c>
      <c r="DB132" s="228">
        <v>45.64</v>
      </c>
      <c r="DC132" s="228">
        <v>-1.51</v>
      </c>
      <c r="DD132" s="228">
        <v>-1.51</v>
      </c>
      <c r="DE132" s="228">
        <v>49.04</v>
      </c>
      <c r="DF132" s="228">
        <v>49.06</v>
      </c>
      <c r="DG132" s="228">
        <v>-4.91</v>
      </c>
      <c r="DH132" s="228">
        <v>-0.02</v>
      </c>
      <c r="DI132" s="228">
        <v>42.81</v>
      </c>
      <c r="DJ132" s="228">
        <v>45.11</v>
      </c>
      <c r="DK132" s="228">
        <v>-2.2999999999999998</v>
      </c>
      <c r="DL132" s="228">
        <v>-2.2999999999999998</v>
      </c>
      <c r="DM132" s="228">
        <v>46.22</v>
      </c>
      <c r="DN132" s="228">
        <v>46.46</v>
      </c>
      <c r="DO132" s="228">
        <v>-0.24</v>
      </c>
      <c r="DP132" s="228">
        <v>-0.24</v>
      </c>
      <c r="DQ132" s="228">
        <v>0.78</v>
      </c>
      <c r="DR132" s="228">
        <v>0.69</v>
      </c>
      <c r="DS132" s="228">
        <v>0.09</v>
      </c>
      <c r="DT132" s="229">
        <v>0.13039999999999999</v>
      </c>
      <c r="DU132" s="231">
        <v>3000</v>
      </c>
      <c r="DV132" s="231">
        <v>2800</v>
      </c>
      <c r="DW132" s="228">
        <v>0.63</v>
      </c>
      <c r="DX132" s="228">
        <v>0.64</v>
      </c>
      <c r="DY132" s="228">
        <v>-0.01</v>
      </c>
      <c r="DZ132" s="229">
        <v>-1.5599999999999999E-2</v>
      </c>
      <c r="EA132" s="229">
        <v>3.78E-2</v>
      </c>
      <c r="EB132" s="230">
        <v>497025</v>
      </c>
      <c r="EC132" s="229">
        <v>4.7000000000000002E-3</v>
      </c>
      <c r="ED132" s="229">
        <v>3.78E-2</v>
      </c>
      <c r="EE132" s="228">
        <v>17.07</v>
      </c>
      <c r="EF132" s="229">
        <v>5.7000000000000002E-3</v>
      </c>
      <c r="EG132" s="230">
        <v>901735</v>
      </c>
      <c r="EH132" s="230">
        <v>662747</v>
      </c>
      <c r="EI132" s="229">
        <v>0.36059999999999998</v>
      </c>
      <c r="EJ132" s="229">
        <v>0.4284</v>
      </c>
      <c r="EK132" s="231">
        <v>2446.54</v>
      </c>
      <c r="EL132" s="231">
        <v>1379.04</v>
      </c>
      <c r="EM132" s="228">
        <v>824.93</v>
      </c>
      <c r="EN132" s="228">
        <v>51.3</v>
      </c>
      <c r="EO132" s="231">
        <v>4650.5</v>
      </c>
      <c r="EP132" s="231">
        <v>3641.05</v>
      </c>
      <c r="EQ132" s="231">
        <v>1009.46</v>
      </c>
      <c r="ER132" s="229">
        <v>0.2772</v>
      </c>
      <c r="ES132" s="231">
        <v>1468.39</v>
      </c>
      <c r="ET132" s="231">
        <v>1019.38</v>
      </c>
      <c r="EU132" s="231">
        <v>3787.54</v>
      </c>
      <c r="EV132" s="231">
        <v>38177113</v>
      </c>
      <c r="EW132" s="231">
        <v>6275.32</v>
      </c>
      <c r="EX132" s="231">
        <v>6198.09</v>
      </c>
      <c r="EY132" s="228">
        <v>77.23</v>
      </c>
      <c r="EZ132" s="229">
        <v>1.2500000000000001E-2</v>
      </c>
      <c r="FA132" s="229">
        <v>0.55600000000000005</v>
      </c>
      <c r="FB132" s="227" t="s">
        <v>691</v>
      </c>
      <c r="FC132">
        <f t="shared" si="2"/>
        <v>143</v>
      </c>
    </row>
    <row r="133" spans="1:159" ht="17.25" thickBot="1" x14ac:dyDescent="0.3">
      <c r="A133" s="226">
        <v>46148</v>
      </c>
      <c r="B133" s="227" t="s">
        <v>175</v>
      </c>
      <c r="C133" s="227" t="s">
        <v>257</v>
      </c>
      <c r="D133" s="228">
        <v>400</v>
      </c>
      <c r="E133" s="228">
        <v>20</v>
      </c>
      <c r="F133" s="231">
        <v>1663.9</v>
      </c>
      <c r="G133" s="231">
        <v>1605.5</v>
      </c>
      <c r="H133" s="228">
        <v>58.4</v>
      </c>
      <c r="I133" s="229">
        <v>3.6400000000000002E-2</v>
      </c>
      <c r="J133" s="231">
        <v>1652.8</v>
      </c>
      <c r="K133" s="231">
        <v>1596.2</v>
      </c>
      <c r="L133" s="228">
        <v>56.6</v>
      </c>
      <c r="M133" s="229">
        <v>3.5499999999999997E-2</v>
      </c>
      <c r="N133" s="231">
        <v>1663.9</v>
      </c>
      <c r="O133" s="231">
        <v>1605.5</v>
      </c>
      <c r="P133" s="228">
        <v>58.4</v>
      </c>
      <c r="Q133" s="229">
        <v>3.6400000000000002E-2</v>
      </c>
      <c r="R133" s="231">
        <v>1675.4</v>
      </c>
      <c r="S133" s="231">
        <v>1616.5</v>
      </c>
      <c r="T133" s="228">
        <v>58.9</v>
      </c>
      <c r="U133" s="229">
        <v>3.6400000000000002E-2</v>
      </c>
      <c r="V133" s="231">
        <v>1679</v>
      </c>
      <c r="W133" s="231">
        <v>1600</v>
      </c>
      <c r="X133" s="228">
        <v>79</v>
      </c>
      <c r="Y133" s="229">
        <v>4.9399999999999999E-2</v>
      </c>
      <c r="Z133" s="228">
        <v>11.1</v>
      </c>
      <c r="AA133" s="228">
        <v>9.3000000000000007</v>
      </c>
      <c r="AB133" s="228">
        <v>1.8</v>
      </c>
      <c r="AC133" s="229">
        <v>6.7000000000000002E-3</v>
      </c>
      <c r="AD133" s="228">
        <v>11.1</v>
      </c>
      <c r="AE133" s="228">
        <v>9.3000000000000007</v>
      </c>
      <c r="AF133" s="228">
        <v>1.8</v>
      </c>
      <c r="AG133" s="229">
        <v>6.7000000000000002E-3</v>
      </c>
      <c r="AH133" s="228">
        <v>22.6</v>
      </c>
      <c r="AI133" s="228">
        <v>20.3</v>
      </c>
      <c r="AJ133" s="228">
        <v>2.2999999999999998</v>
      </c>
      <c r="AK133" s="229">
        <v>1.37E-2</v>
      </c>
      <c r="AL133" s="228">
        <v>26.2</v>
      </c>
      <c r="AM133" s="228">
        <v>3.8</v>
      </c>
      <c r="AN133" s="228">
        <v>22.4</v>
      </c>
      <c r="AO133" s="229">
        <v>1.5900000000000001E-2</v>
      </c>
      <c r="AP133" s="231">
        <v>1648.67</v>
      </c>
      <c r="AQ133" s="231">
        <v>1652.4</v>
      </c>
      <c r="AR133" s="228">
        <v>0</v>
      </c>
      <c r="AS133" s="228">
        <v>139</v>
      </c>
      <c r="AT133" s="228">
        <v>99</v>
      </c>
      <c r="AU133" s="228">
        <v>40</v>
      </c>
      <c r="AV133" s="229">
        <v>0.40849999999999997</v>
      </c>
      <c r="AW133" s="228">
        <v>135</v>
      </c>
      <c r="AX133" s="228">
        <v>97</v>
      </c>
      <c r="AY133" s="228">
        <v>38</v>
      </c>
      <c r="AZ133" s="229">
        <v>0.39079999999999998</v>
      </c>
      <c r="BA133" s="228">
        <v>3</v>
      </c>
      <c r="BB133" s="228">
        <v>1</v>
      </c>
      <c r="BC133" s="228">
        <v>2</v>
      </c>
      <c r="BD133" s="229">
        <v>1.55</v>
      </c>
      <c r="BE133" s="228">
        <v>0</v>
      </c>
      <c r="BF133" s="228">
        <v>0</v>
      </c>
      <c r="BG133" s="228">
        <v>0</v>
      </c>
      <c r="BH133" s="229">
        <v>0</v>
      </c>
      <c r="BI133" s="228">
        <v>221</v>
      </c>
      <c r="BJ133" s="228">
        <v>69</v>
      </c>
      <c r="BK133" s="228">
        <v>152</v>
      </c>
      <c r="BL133" s="229">
        <v>2.2141000000000002</v>
      </c>
      <c r="BM133" s="228">
        <v>55</v>
      </c>
      <c r="BN133" s="228">
        <v>25</v>
      </c>
      <c r="BO133" s="228">
        <v>30</v>
      </c>
      <c r="BP133" s="229">
        <v>1.2070000000000001</v>
      </c>
      <c r="BQ133" s="228">
        <v>414</v>
      </c>
      <c r="BR133" s="228">
        <v>192</v>
      </c>
      <c r="BS133" s="228">
        <v>222</v>
      </c>
      <c r="BT133" s="229">
        <v>1.1574</v>
      </c>
      <c r="BU133" s="230">
        <v>641761</v>
      </c>
      <c r="BV133" s="230">
        <v>425334</v>
      </c>
      <c r="BW133" s="230">
        <v>216427</v>
      </c>
      <c r="BX133" s="229">
        <v>0.50880000000000003</v>
      </c>
      <c r="BY133" s="230">
        <v>1568</v>
      </c>
      <c r="BZ133" s="230">
        <v>1549</v>
      </c>
      <c r="CA133" s="228">
        <v>19</v>
      </c>
      <c r="CB133" s="229">
        <v>1.24E-2</v>
      </c>
      <c r="CC133" s="230">
        <v>1563</v>
      </c>
      <c r="CD133" s="230">
        <v>1544</v>
      </c>
      <c r="CE133" s="228">
        <v>19</v>
      </c>
      <c r="CF133" s="229">
        <v>1.2200000000000001E-2</v>
      </c>
      <c r="CG133" s="228">
        <v>5</v>
      </c>
      <c r="CH133" s="228">
        <v>5</v>
      </c>
      <c r="CI133" s="228">
        <v>0</v>
      </c>
      <c r="CJ133" s="229">
        <v>5.7099999999999998E-2</v>
      </c>
      <c r="CK133" s="228">
        <v>0</v>
      </c>
      <c r="CL133" s="228">
        <v>0</v>
      </c>
      <c r="CM133" s="228">
        <v>0</v>
      </c>
      <c r="CN133" s="229">
        <v>0.25</v>
      </c>
      <c r="CO133" s="228">
        <v>127</v>
      </c>
      <c r="CP133" s="228">
        <v>81</v>
      </c>
      <c r="CQ133" s="228">
        <v>46</v>
      </c>
      <c r="CR133" s="229">
        <v>0.57179999999999997</v>
      </c>
      <c r="CS133" s="228">
        <v>65</v>
      </c>
      <c r="CT133" s="228">
        <v>54</v>
      </c>
      <c r="CU133" s="228">
        <v>11</v>
      </c>
      <c r="CV133" s="229">
        <v>0.20250000000000001</v>
      </c>
      <c r="CW133" s="230">
        <v>1760</v>
      </c>
      <c r="CX133" s="230">
        <v>1684</v>
      </c>
      <c r="CY133" s="228">
        <v>76</v>
      </c>
      <c r="CZ133" s="229">
        <v>4.53E-2</v>
      </c>
      <c r="DA133" s="228">
        <v>33.72</v>
      </c>
      <c r="DB133" s="228">
        <v>32.840000000000003</v>
      </c>
      <c r="DC133" s="228">
        <v>0.88</v>
      </c>
      <c r="DD133" s="228">
        <v>0.88</v>
      </c>
      <c r="DE133" s="228">
        <v>31.84</v>
      </c>
      <c r="DF133" s="228">
        <v>31.57</v>
      </c>
      <c r="DG133" s="228">
        <v>1.88</v>
      </c>
      <c r="DH133" s="228">
        <v>0.27</v>
      </c>
      <c r="DI133" s="228">
        <v>33.47</v>
      </c>
      <c r="DJ133" s="228">
        <v>32.5</v>
      </c>
      <c r="DK133" s="228">
        <v>0.97</v>
      </c>
      <c r="DL133" s="228">
        <v>0.97</v>
      </c>
      <c r="DM133" s="228">
        <v>34.71</v>
      </c>
      <c r="DN133" s="228">
        <v>33.770000000000003</v>
      </c>
      <c r="DO133" s="228">
        <v>0.94</v>
      </c>
      <c r="DP133" s="228">
        <v>0.94</v>
      </c>
      <c r="DQ133" s="228">
        <v>0.51</v>
      </c>
      <c r="DR133" s="228">
        <v>0.67</v>
      </c>
      <c r="DS133" s="228">
        <v>-0.16</v>
      </c>
      <c r="DT133" s="229">
        <v>-0.23880000000000001</v>
      </c>
      <c r="DU133" s="231">
        <v>1800</v>
      </c>
      <c r="DV133" s="231">
        <v>1600</v>
      </c>
      <c r="DW133" s="228">
        <v>0.25</v>
      </c>
      <c r="DX133" s="228">
        <v>0.36</v>
      </c>
      <c r="DY133" s="228">
        <v>-0.11</v>
      </c>
      <c r="DZ133" s="229">
        <v>-0.30559999999999998</v>
      </c>
      <c r="EA133" s="229">
        <v>3.3999999999999998E-3</v>
      </c>
      <c r="EB133" s="230">
        <v>29600</v>
      </c>
      <c r="EC133" s="229">
        <v>6.8999999999999999E-3</v>
      </c>
      <c r="ED133" s="229">
        <v>3.3999999999999998E-3</v>
      </c>
      <c r="EE133" s="228">
        <v>3.73</v>
      </c>
      <c r="EF133" s="229">
        <v>2.3E-3</v>
      </c>
      <c r="EG133" s="230">
        <v>316303</v>
      </c>
      <c r="EH133" s="230">
        <v>207289</v>
      </c>
      <c r="EI133" s="229">
        <v>0.52590000000000003</v>
      </c>
      <c r="EJ133" s="229">
        <v>0.4929</v>
      </c>
      <c r="EK133" s="228">
        <v>229.61</v>
      </c>
      <c r="EL133" s="228">
        <v>52.98</v>
      </c>
      <c r="EM133" s="228">
        <v>137.57</v>
      </c>
      <c r="EN133" s="228">
        <v>10.79</v>
      </c>
      <c r="EO133" s="228">
        <v>420.16</v>
      </c>
      <c r="EP133" s="228">
        <v>188.81</v>
      </c>
      <c r="EQ133" s="228">
        <v>231.35</v>
      </c>
      <c r="ER133" s="229">
        <v>1.2253000000000001</v>
      </c>
      <c r="ES133" s="228">
        <v>130.13999999999999</v>
      </c>
      <c r="ET133" s="228">
        <v>61.65</v>
      </c>
      <c r="EU133" s="231">
        <v>1568.3</v>
      </c>
      <c r="EV133" s="231">
        <v>35051266</v>
      </c>
      <c r="EW133" s="231">
        <v>1760.09</v>
      </c>
      <c r="EX133" s="231">
        <v>1627.89</v>
      </c>
      <c r="EY133" s="228">
        <v>132.19999999999999</v>
      </c>
      <c r="EZ133" s="229">
        <v>8.1199999999999994E-2</v>
      </c>
      <c r="FA133" s="229">
        <v>0.30180000000000001</v>
      </c>
      <c r="FB133" s="227" t="s">
        <v>555</v>
      </c>
      <c r="FC133">
        <f t="shared" si="2"/>
        <v>5</v>
      </c>
    </row>
    <row r="134" spans="1:159" ht="17.25" thickBot="1" x14ac:dyDescent="0.3">
      <c r="A134" s="226">
        <v>46148</v>
      </c>
      <c r="B134" s="227" t="s">
        <v>181</v>
      </c>
      <c r="C134" s="227" t="s">
        <v>562</v>
      </c>
      <c r="D134" s="228">
        <v>120</v>
      </c>
      <c r="E134" s="228">
        <v>20</v>
      </c>
      <c r="F134" s="231">
        <v>14400.6</v>
      </c>
      <c r="G134" s="231">
        <v>14000.85</v>
      </c>
      <c r="H134" s="228">
        <v>399.75</v>
      </c>
      <c r="I134" s="229">
        <v>2.86E-2</v>
      </c>
      <c r="J134" s="231">
        <v>14312.9</v>
      </c>
      <c r="K134" s="231">
        <v>13950.25</v>
      </c>
      <c r="L134" s="228">
        <v>362.65</v>
      </c>
      <c r="M134" s="229">
        <v>2.5999999999999999E-2</v>
      </c>
      <c r="N134" s="231">
        <v>14400.6</v>
      </c>
      <c r="O134" s="231">
        <v>14000.85</v>
      </c>
      <c r="P134" s="228">
        <v>399.75</v>
      </c>
      <c r="Q134" s="229">
        <v>2.86E-2</v>
      </c>
      <c r="R134" s="231">
        <v>14440.15</v>
      </c>
      <c r="S134" s="231">
        <v>14047.75</v>
      </c>
      <c r="T134" s="228">
        <v>392.4</v>
      </c>
      <c r="U134" s="229">
        <v>2.7900000000000001E-2</v>
      </c>
      <c r="V134" s="231">
        <v>14470.4</v>
      </c>
      <c r="W134" s="231">
        <v>14095.55</v>
      </c>
      <c r="X134" s="228">
        <v>374.85</v>
      </c>
      <c r="Y134" s="229">
        <v>2.6599999999999999E-2</v>
      </c>
      <c r="Z134" s="228">
        <v>87.7</v>
      </c>
      <c r="AA134" s="228">
        <v>50.6</v>
      </c>
      <c r="AB134" s="228">
        <v>37.1</v>
      </c>
      <c r="AC134" s="229">
        <v>6.1000000000000004E-3</v>
      </c>
      <c r="AD134" s="228">
        <v>87.7</v>
      </c>
      <c r="AE134" s="228">
        <v>50.6</v>
      </c>
      <c r="AF134" s="228">
        <v>37.1</v>
      </c>
      <c r="AG134" s="229">
        <v>6.1000000000000004E-3</v>
      </c>
      <c r="AH134" s="228">
        <v>127.25</v>
      </c>
      <c r="AI134" s="228">
        <v>97.5</v>
      </c>
      <c r="AJ134" s="228">
        <v>29.75</v>
      </c>
      <c r="AK134" s="229">
        <v>8.8999999999999999E-3</v>
      </c>
      <c r="AL134" s="228">
        <v>157.5</v>
      </c>
      <c r="AM134" s="228">
        <v>145.30000000000001</v>
      </c>
      <c r="AN134" s="228">
        <v>12.2</v>
      </c>
      <c r="AO134" s="229">
        <v>1.0999999999999999E-2</v>
      </c>
      <c r="AP134" s="231">
        <v>14279.9</v>
      </c>
      <c r="AQ134" s="231">
        <v>14297.42</v>
      </c>
      <c r="AR134" s="228">
        <v>0</v>
      </c>
      <c r="AS134" s="230">
        <v>1224</v>
      </c>
      <c r="AT134" s="228">
        <v>417</v>
      </c>
      <c r="AU134" s="228">
        <v>808</v>
      </c>
      <c r="AV134" s="229">
        <v>1.9381999999999999</v>
      </c>
      <c r="AW134" s="230">
        <v>1144</v>
      </c>
      <c r="AX134" s="228">
        <v>399</v>
      </c>
      <c r="AY134" s="228">
        <v>745</v>
      </c>
      <c r="AZ134" s="229">
        <v>1.8687</v>
      </c>
      <c r="BA134" s="228">
        <v>69</v>
      </c>
      <c r="BB134" s="228">
        <v>17</v>
      </c>
      <c r="BC134" s="228">
        <v>52</v>
      </c>
      <c r="BD134" s="229">
        <v>3.0815999999999999</v>
      </c>
      <c r="BE134" s="228">
        <v>11</v>
      </c>
      <c r="BF134" s="228">
        <v>1</v>
      </c>
      <c r="BG134" s="228">
        <v>10</v>
      </c>
      <c r="BH134" s="229">
        <v>10</v>
      </c>
      <c r="BI134" s="230">
        <v>15845</v>
      </c>
      <c r="BJ134" s="230">
        <v>8291</v>
      </c>
      <c r="BK134" s="230">
        <v>7555</v>
      </c>
      <c r="BL134" s="229">
        <v>0.91120000000000001</v>
      </c>
      <c r="BM134" s="230">
        <v>21346</v>
      </c>
      <c r="BN134" s="230">
        <v>7732</v>
      </c>
      <c r="BO134" s="230">
        <v>13614</v>
      </c>
      <c r="BP134" s="229">
        <v>1.7605999999999999</v>
      </c>
      <c r="BQ134" s="230">
        <v>38416</v>
      </c>
      <c r="BR134" s="230">
        <v>16440</v>
      </c>
      <c r="BS134" s="230">
        <v>21976</v>
      </c>
      <c r="BT134" s="229">
        <v>1.3368</v>
      </c>
      <c r="BU134" s="228">
        <v>0</v>
      </c>
      <c r="BV134" s="228">
        <v>0</v>
      </c>
      <c r="BW134" s="228">
        <v>0</v>
      </c>
      <c r="BX134" s="229">
        <v>0</v>
      </c>
      <c r="BY134" s="230">
        <v>3387</v>
      </c>
      <c r="BZ134" s="230">
        <v>3247</v>
      </c>
      <c r="CA134" s="228">
        <v>140</v>
      </c>
      <c r="CB134" s="229">
        <v>4.3099999999999999E-2</v>
      </c>
      <c r="CC134" s="230">
        <v>3295</v>
      </c>
      <c r="CD134" s="230">
        <v>3173</v>
      </c>
      <c r="CE134" s="228">
        <v>122</v>
      </c>
      <c r="CF134" s="229">
        <v>3.85E-2</v>
      </c>
      <c r="CG134" s="228">
        <v>84</v>
      </c>
      <c r="CH134" s="228">
        <v>71</v>
      </c>
      <c r="CI134" s="228">
        <v>13</v>
      </c>
      <c r="CJ134" s="229">
        <v>0.18290000000000001</v>
      </c>
      <c r="CK134" s="228">
        <v>8</v>
      </c>
      <c r="CL134" s="228">
        <v>3</v>
      </c>
      <c r="CM134" s="228">
        <v>5</v>
      </c>
      <c r="CN134" s="229">
        <v>1.5556000000000001</v>
      </c>
      <c r="CO134" s="230">
        <v>6040</v>
      </c>
      <c r="CP134" s="230">
        <v>5246</v>
      </c>
      <c r="CQ134" s="228">
        <v>794</v>
      </c>
      <c r="CR134" s="229">
        <v>0.15129999999999999</v>
      </c>
      <c r="CS134" s="230">
        <v>7801</v>
      </c>
      <c r="CT134" s="230">
        <v>5998</v>
      </c>
      <c r="CU134" s="230">
        <v>1803</v>
      </c>
      <c r="CV134" s="229">
        <v>0.30070000000000002</v>
      </c>
      <c r="CW134" s="230">
        <v>17227</v>
      </c>
      <c r="CX134" s="230">
        <v>14491</v>
      </c>
      <c r="CY134" s="230">
        <v>2737</v>
      </c>
      <c r="CZ134" s="229">
        <v>0.18890000000000001</v>
      </c>
      <c r="DA134" s="228">
        <v>21.06</v>
      </c>
      <c r="DB134" s="228">
        <v>22.26</v>
      </c>
      <c r="DC134" s="228">
        <v>-1.2</v>
      </c>
      <c r="DD134" s="228">
        <v>-1.2</v>
      </c>
      <c r="DE134" s="228">
        <v>25.01</v>
      </c>
      <c r="DF134" s="228">
        <v>24.78</v>
      </c>
      <c r="DG134" s="228">
        <v>-3.95</v>
      </c>
      <c r="DH134" s="228">
        <v>0.23</v>
      </c>
      <c r="DI134" s="228">
        <v>18.29</v>
      </c>
      <c r="DJ134" s="228">
        <v>20.68</v>
      </c>
      <c r="DK134" s="228">
        <v>-2.39</v>
      </c>
      <c r="DL134" s="228">
        <v>-2.39</v>
      </c>
      <c r="DM134" s="228">
        <v>23.11</v>
      </c>
      <c r="DN134" s="228">
        <v>23.95</v>
      </c>
      <c r="DO134" s="228">
        <v>-0.84</v>
      </c>
      <c r="DP134" s="228">
        <v>-0.84</v>
      </c>
      <c r="DQ134" s="228">
        <v>1.29</v>
      </c>
      <c r="DR134" s="228">
        <v>1.1399999999999999</v>
      </c>
      <c r="DS134" s="228">
        <v>0.15</v>
      </c>
      <c r="DT134" s="229">
        <v>0.13159999999999999</v>
      </c>
      <c r="DU134" s="231">
        <v>15000</v>
      </c>
      <c r="DV134" s="231">
        <v>13000</v>
      </c>
      <c r="DW134" s="228">
        <v>1.35</v>
      </c>
      <c r="DX134" s="228">
        <v>0.93</v>
      </c>
      <c r="DY134" s="228">
        <v>0.42</v>
      </c>
      <c r="DZ134" s="229">
        <v>0.4516</v>
      </c>
      <c r="EA134" s="229">
        <v>2.7099999999999999E-2</v>
      </c>
      <c r="EB134" s="230">
        <v>51360</v>
      </c>
      <c r="EC134" s="229">
        <v>2.7000000000000001E-3</v>
      </c>
      <c r="ED134" s="229">
        <v>2.7099999999999999E-2</v>
      </c>
      <c r="EE134" s="228">
        <v>17.52</v>
      </c>
      <c r="EF134" s="229">
        <v>1.1999999999999999E-3</v>
      </c>
      <c r="EG134" s="228">
        <v>0</v>
      </c>
      <c r="EH134" s="228">
        <v>0</v>
      </c>
      <c r="EI134" s="229">
        <v>0</v>
      </c>
      <c r="EJ134" s="229">
        <v>0</v>
      </c>
      <c r="EK134" s="231">
        <v>16207.49</v>
      </c>
      <c r="EL134" s="231">
        <v>20259.5</v>
      </c>
      <c r="EM134" s="231">
        <v>1214.07</v>
      </c>
      <c r="EN134" s="228">
        <v>0</v>
      </c>
      <c r="EO134" s="231">
        <v>37681.050000000003</v>
      </c>
      <c r="EP134" s="231">
        <v>16029.94</v>
      </c>
      <c r="EQ134" s="231">
        <v>21651.11</v>
      </c>
      <c r="ER134" s="229">
        <v>1.3507</v>
      </c>
      <c r="ES134" s="231">
        <v>6132.18</v>
      </c>
      <c r="ET134" s="231">
        <v>7209.46</v>
      </c>
      <c r="EU134" s="231">
        <v>3386.94</v>
      </c>
      <c r="EV134" s="228">
        <v>0</v>
      </c>
      <c r="EW134" s="231">
        <v>16728.59</v>
      </c>
      <c r="EX134" s="231">
        <v>13887.42</v>
      </c>
      <c r="EY134" s="231">
        <v>2841.17</v>
      </c>
      <c r="EZ134" s="229">
        <v>0.2046</v>
      </c>
      <c r="FA134" s="229">
        <v>0</v>
      </c>
      <c r="FB134" s="227" t="s">
        <v>555</v>
      </c>
      <c r="FC134">
        <f t="shared" si="2"/>
        <v>92</v>
      </c>
    </row>
    <row r="135" spans="1:159" ht="17.25" thickBot="1" x14ac:dyDescent="0.3">
      <c r="A135" s="226">
        <v>46148</v>
      </c>
      <c r="B135" s="227" t="s">
        <v>162</v>
      </c>
      <c r="C135" s="227" t="s">
        <v>558</v>
      </c>
      <c r="D135" s="228">
        <v>6150</v>
      </c>
      <c r="E135" s="228">
        <v>20</v>
      </c>
      <c r="F135" s="228">
        <v>128.32</v>
      </c>
      <c r="G135" s="228">
        <v>121.1</v>
      </c>
      <c r="H135" s="228">
        <v>7.22</v>
      </c>
      <c r="I135" s="229">
        <v>5.96E-2</v>
      </c>
      <c r="J135" s="228">
        <v>127.41</v>
      </c>
      <c r="K135" s="228">
        <v>120.24</v>
      </c>
      <c r="L135" s="228">
        <v>7.17</v>
      </c>
      <c r="M135" s="229">
        <v>5.96E-2</v>
      </c>
      <c r="N135" s="228">
        <v>128.32</v>
      </c>
      <c r="O135" s="228">
        <v>121.1</v>
      </c>
      <c r="P135" s="228">
        <v>7.22</v>
      </c>
      <c r="Q135" s="229">
        <v>5.96E-2</v>
      </c>
      <c r="R135" s="228">
        <v>129.01</v>
      </c>
      <c r="S135" s="228">
        <v>122.07</v>
      </c>
      <c r="T135" s="228">
        <v>6.94</v>
      </c>
      <c r="U135" s="229">
        <v>5.6899999999999999E-2</v>
      </c>
      <c r="V135" s="228">
        <v>129.79</v>
      </c>
      <c r="W135" s="228">
        <v>122.15</v>
      </c>
      <c r="X135" s="228">
        <v>7.64</v>
      </c>
      <c r="Y135" s="229">
        <v>6.25E-2</v>
      </c>
      <c r="Z135" s="228">
        <v>0.91</v>
      </c>
      <c r="AA135" s="228">
        <v>0.86</v>
      </c>
      <c r="AB135" s="228">
        <v>0.05</v>
      </c>
      <c r="AC135" s="229">
        <v>7.1000000000000004E-3</v>
      </c>
      <c r="AD135" s="228">
        <v>0.91</v>
      </c>
      <c r="AE135" s="228">
        <v>0.86</v>
      </c>
      <c r="AF135" s="228">
        <v>0.05</v>
      </c>
      <c r="AG135" s="229">
        <v>7.1000000000000004E-3</v>
      </c>
      <c r="AH135" s="228">
        <v>1.6</v>
      </c>
      <c r="AI135" s="228">
        <v>1.83</v>
      </c>
      <c r="AJ135" s="228">
        <v>-0.23</v>
      </c>
      <c r="AK135" s="229">
        <v>1.26E-2</v>
      </c>
      <c r="AL135" s="228">
        <v>2.38</v>
      </c>
      <c r="AM135" s="228">
        <v>1.91</v>
      </c>
      <c r="AN135" s="228">
        <v>0.47</v>
      </c>
      <c r="AO135" s="229">
        <v>1.8700000000000001E-2</v>
      </c>
      <c r="AP135" s="228">
        <v>126.38</v>
      </c>
      <c r="AQ135" s="228">
        <v>127.16</v>
      </c>
      <c r="AR135" s="228">
        <v>0</v>
      </c>
      <c r="AS135" s="228">
        <v>517</v>
      </c>
      <c r="AT135" s="228">
        <v>170</v>
      </c>
      <c r="AU135" s="228">
        <v>346</v>
      </c>
      <c r="AV135" s="229">
        <v>2.0329000000000002</v>
      </c>
      <c r="AW135" s="228">
        <v>491</v>
      </c>
      <c r="AX135" s="228">
        <v>165</v>
      </c>
      <c r="AY135" s="228">
        <v>326</v>
      </c>
      <c r="AZ135" s="229">
        <v>1.9818</v>
      </c>
      <c r="BA135" s="228">
        <v>20</v>
      </c>
      <c r="BB135" s="228">
        <v>5</v>
      </c>
      <c r="BC135" s="228">
        <v>15</v>
      </c>
      <c r="BD135" s="229">
        <v>3.1802999999999999</v>
      </c>
      <c r="BE135" s="228">
        <v>6</v>
      </c>
      <c r="BF135" s="228">
        <v>1</v>
      </c>
      <c r="BG135" s="228">
        <v>5</v>
      </c>
      <c r="BH135" s="229">
        <v>5.0833000000000004</v>
      </c>
      <c r="BI135" s="228">
        <v>666</v>
      </c>
      <c r="BJ135" s="228">
        <v>192</v>
      </c>
      <c r="BK135" s="228">
        <v>473</v>
      </c>
      <c r="BL135" s="229">
        <v>2.4626000000000001</v>
      </c>
      <c r="BM135" s="228">
        <v>228</v>
      </c>
      <c r="BN135" s="228">
        <v>106</v>
      </c>
      <c r="BO135" s="228">
        <v>122</v>
      </c>
      <c r="BP135" s="229">
        <v>1.1477999999999999</v>
      </c>
      <c r="BQ135" s="230">
        <v>1411</v>
      </c>
      <c r="BR135" s="228">
        <v>469</v>
      </c>
      <c r="BS135" s="228">
        <v>942</v>
      </c>
      <c r="BT135" s="229">
        <v>2.0085999999999999</v>
      </c>
      <c r="BU135" s="230">
        <v>25796479</v>
      </c>
      <c r="BV135" s="230">
        <v>10854173</v>
      </c>
      <c r="BW135" s="230">
        <v>14942306</v>
      </c>
      <c r="BX135" s="229">
        <v>1.3766</v>
      </c>
      <c r="BY135" s="230">
        <v>1792</v>
      </c>
      <c r="BZ135" s="230">
        <v>1738</v>
      </c>
      <c r="CA135" s="228">
        <v>54</v>
      </c>
      <c r="CB135" s="229">
        <v>3.1E-2</v>
      </c>
      <c r="CC135" s="230">
        <v>1656</v>
      </c>
      <c r="CD135" s="230">
        <v>1605</v>
      </c>
      <c r="CE135" s="228">
        <v>52</v>
      </c>
      <c r="CF135" s="229">
        <v>3.2199999999999999E-2</v>
      </c>
      <c r="CG135" s="228">
        <v>131</v>
      </c>
      <c r="CH135" s="228">
        <v>131</v>
      </c>
      <c r="CI135" s="228">
        <v>0</v>
      </c>
      <c r="CJ135" s="229">
        <v>-1.8E-3</v>
      </c>
      <c r="CK135" s="228">
        <v>4</v>
      </c>
      <c r="CL135" s="228">
        <v>2</v>
      </c>
      <c r="CM135" s="228">
        <v>2</v>
      </c>
      <c r="CN135" s="229">
        <v>1.2917000000000001</v>
      </c>
      <c r="CO135" s="228">
        <v>359</v>
      </c>
      <c r="CP135" s="228">
        <v>362</v>
      </c>
      <c r="CQ135" s="228">
        <v>-4</v>
      </c>
      <c r="CR135" s="229">
        <v>-1.0500000000000001E-2</v>
      </c>
      <c r="CS135" s="228">
        <v>283</v>
      </c>
      <c r="CT135" s="228">
        <v>261</v>
      </c>
      <c r="CU135" s="228">
        <v>21</v>
      </c>
      <c r="CV135" s="229">
        <v>8.1500000000000003E-2</v>
      </c>
      <c r="CW135" s="230">
        <v>2433</v>
      </c>
      <c r="CX135" s="230">
        <v>2362</v>
      </c>
      <c r="CY135" s="228">
        <v>71</v>
      </c>
      <c r="CZ135" s="229">
        <v>3.0200000000000001E-2</v>
      </c>
      <c r="DA135" s="228">
        <v>42.37</v>
      </c>
      <c r="DB135" s="228">
        <v>41.25</v>
      </c>
      <c r="DC135" s="228">
        <v>1.1200000000000001</v>
      </c>
      <c r="DD135" s="228">
        <v>1.1200000000000001</v>
      </c>
      <c r="DE135" s="228">
        <v>43.89</v>
      </c>
      <c r="DF135" s="228">
        <v>43.3</v>
      </c>
      <c r="DG135" s="228">
        <v>-1.52</v>
      </c>
      <c r="DH135" s="228">
        <v>0.59</v>
      </c>
      <c r="DI135" s="228">
        <v>41.87</v>
      </c>
      <c r="DJ135" s="228">
        <v>41.16</v>
      </c>
      <c r="DK135" s="228">
        <v>0.71</v>
      </c>
      <c r="DL135" s="228">
        <v>0.71</v>
      </c>
      <c r="DM135" s="228">
        <v>43.82</v>
      </c>
      <c r="DN135" s="228">
        <v>41.42</v>
      </c>
      <c r="DO135" s="228">
        <v>2.4</v>
      </c>
      <c r="DP135" s="228">
        <v>2.4</v>
      </c>
      <c r="DQ135" s="228">
        <v>0.79</v>
      </c>
      <c r="DR135" s="228">
        <v>0.72</v>
      </c>
      <c r="DS135" s="228">
        <v>7.0000000000000007E-2</v>
      </c>
      <c r="DT135" s="229">
        <v>9.7199999999999995E-2</v>
      </c>
      <c r="DU135" s="228">
        <v>130</v>
      </c>
      <c r="DV135" s="228">
        <v>120</v>
      </c>
      <c r="DW135" s="228">
        <v>0.34</v>
      </c>
      <c r="DX135" s="228">
        <v>0.55000000000000004</v>
      </c>
      <c r="DY135" s="228">
        <v>-0.21</v>
      </c>
      <c r="DZ135" s="229">
        <v>-0.38179999999999997</v>
      </c>
      <c r="EA135" s="229">
        <v>7.5600000000000001E-2</v>
      </c>
      <c r="EB135" s="230">
        <v>10387350</v>
      </c>
      <c r="EC135" s="229">
        <v>5.4000000000000003E-3</v>
      </c>
      <c r="ED135" s="229">
        <v>7.5600000000000001E-2</v>
      </c>
      <c r="EE135" s="228">
        <v>0.78</v>
      </c>
      <c r="EF135" s="229">
        <v>6.1999999999999998E-3</v>
      </c>
      <c r="EG135" s="230">
        <v>12144551</v>
      </c>
      <c r="EH135" s="230">
        <v>4614885</v>
      </c>
      <c r="EI135" s="229">
        <v>1.6315999999999999</v>
      </c>
      <c r="EJ135" s="229">
        <v>0.4708</v>
      </c>
      <c r="EK135" s="228">
        <v>693.19</v>
      </c>
      <c r="EL135" s="228">
        <v>216.45</v>
      </c>
      <c r="EM135" s="228">
        <v>509.08</v>
      </c>
      <c r="EN135" s="228">
        <v>26.14</v>
      </c>
      <c r="EO135" s="231">
        <v>1418.72</v>
      </c>
      <c r="EP135" s="228">
        <v>459.19</v>
      </c>
      <c r="EQ135" s="228">
        <v>959.53</v>
      </c>
      <c r="ER135" s="229">
        <v>2.0895999999999999</v>
      </c>
      <c r="ES135" s="228">
        <v>369.81</v>
      </c>
      <c r="ET135" s="228">
        <v>264.3</v>
      </c>
      <c r="EU135" s="231">
        <v>1792.56</v>
      </c>
      <c r="EV135" s="231">
        <v>588447385</v>
      </c>
      <c r="EW135" s="231">
        <v>2426.67</v>
      </c>
      <c r="EX135" s="231">
        <v>2256.83</v>
      </c>
      <c r="EY135" s="228">
        <v>169.84</v>
      </c>
      <c r="EZ135" s="229">
        <v>7.5300000000000006E-2</v>
      </c>
      <c r="FA135" s="229">
        <v>0.32219999999999999</v>
      </c>
      <c r="FB135" s="227" t="s">
        <v>555</v>
      </c>
      <c r="FC135">
        <f t="shared" si="2"/>
        <v>136</v>
      </c>
    </row>
    <row r="136" spans="1:159" ht="17.25" thickBot="1" x14ac:dyDescent="0.3">
      <c r="A136" s="226">
        <v>46148</v>
      </c>
      <c r="B136" s="227" t="s">
        <v>175</v>
      </c>
      <c r="C136" s="227" t="s">
        <v>696</v>
      </c>
      <c r="D136" s="228">
        <v>775</v>
      </c>
      <c r="E136" s="228">
        <v>20</v>
      </c>
      <c r="F136" s="228">
        <v>884.65</v>
      </c>
      <c r="G136" s="228">
        <v>848.05</v>
      </c>
      <c r="H136" s="228">
        <v>36.6</v>
      </c>
      <c r="I136" s="229">
        <v>4.3200000000000002E-2</v>
      </c>
      <c r="J136" s="228">
        <v>881.7</v>
      </c>
      <c r="K136" s="228">
        <v>843.7</v>
      </c>
      <c r="L136" s="228">
        <v>38</v>
      </c>
      <c r="M136" s="229">
        <v>4.4999999999999998E-2</v>
      </c>
      <c r="N136" s="228">
        <v>884.65</v>
      </c>
      <c r="O136" s="228">
        <v>848.05</v>
      </c>
      <c r="P136" s="228">
        <v>36.6</v>
      </c>
      <c r="Q136" s="229">
        <v>4.3200000000000002E-2</v>
      </c>
      <c r="R136" s="228">
        <v>888.75</v>
      </c>
      <c r="S136" s="228">
        <v>851.8</v>
      </c>
      <c r="T136" s="228">
        <v>36.950000000000003</v>
      </c>
      <c r="U136" s="229">
        <v>4.3400000000000001E-2</v>
      </c>
      <c r="V136" s="228">
        <v>889.25</v>
      </c>
      <c r="W136" s="228">
        <v>844</v>
      </c>
      <c r="X136" s="228">
        <v>45.25</v>
      </c>
      <c r="Y136" s="229">
        <v>5.3600000000000002E-2</v>
      </c>
      <c r="Z136" s="228">
        <v>2.95</v>
      </c>
      <c r="AA136" s="228">
        <v>4.3499999999999996</v>
      </c>
      <c r="AB136" s="228">
        <v>-1.4</v>
      </c>
      <c r="AC136" s="229">
        <v>3.3E-3</v>
      </c>
      <c r="AD136" s="228">
        <v>2.95</v>
      </c>
      <c r="AE136" s="228">
        <v>4.3499999999999996</v>
      </c>
      <c r="AF136" s="228">
        <v>-1.4</v>
      </c>
      <c r="AG136" s="229">
        <v>3.3E-3</v>
      </c>
      <c r="AH136" s="228">
        <v>7.05</v>
      </c>
      <c r="AI136" s="228">
        <v>8.1</v>
      </c>
      <c r="AJ136" s="228">
        <v>-1.05</v>
      </c>
      <c r="AK136" s="229">
        <v>8.0000000000000002E-3</v>
      </c>
      <c r="AL136" s="228">
        <v>7.55</v>
      </c>
      <c r="AM136" s="228">
        <v>0.3</v>
      </c>
      <c r="AN136" s="228">
        <v>7.25</v>
      </c>
      <c r="AO136" s="229">
        <v>8.6E-3</v>
      </c>
      <c r="AP136" s="228">
        <v>873.26</v>
      </c>
      <c r="AQ136" s="228">
        <v>874.43</v>
      </c>
      <c r="AR136" s="228">
        <v>0</v>
      </c>
      <c r="AS136" s="228">
        <v>124</v>
      </c>
      <c r="AT136" s="228">
        <v>90</v>
      </c>
      <c r="AU136" s="228">
        <v>33</v>
      </c>
      <c r="AV136" s="229">
        <v>0.36919999999999997</v>
      </c>
      <c r="AW136" s="228">
        <v>120</v>
      </c>
      <c r="AX136" s="228">
        <v>86</v>
      </c>
      <c r="AY136" s="228">
        <v>34</v>
      </c>
      <c r="AZ136" s="229">
        <v>0.39589999999999997</v>
      </c>
      <c r="BA136" s="228">
        <v>3</v>
      </c>
      <c r="BB136" s="228">
        <v>3</v>
      </c>
      <c r="BC136" s="228">
        <v>0</v>
      </c>
      <c r="BD136" s="229">
        <v>0</v>
      </c>
      <c r="BE136" s="228">
        <v>0</v>
      </c>
      <c r="BF136" s="228">
        <v>1</v>
      </c>
      <c r="BG136" s="228">
        <v>-1</v>
      </c>
      <c r="BH136" s="229">
        <v>-0.64710000000000001</v>
      </c>
      <c r="BI136" s="228">
        <v>264</v>
      </c>
      <c r="BJ136" s="228">
        <v>247</v>
      </c>
      <c r="BK136" s="228">
        <v>17</v>
      </c>
      <c r="BL136" s="229">
        <v>6.8500000000000005E-2</v>
      </c>
      <c r="BM136" s="228">
        <v>132</v>
      </c>
      <c r="BN136" s="228">
        <v>71</v>
      </c>
      <c r="BO136" s="228">
        <v>62</v>
      </c>
      <c r="BP136" s="229">
        <v>0.86850000000000005</v>
      </c>
      <c r="BQ136" s="228">
        <v>521</v>
      </c>
      <c r="BR136" s="228">
        <v>409</v>
      </c>
      <c r="BS136" s="228">
        <v>112</v>
      </c>
      <c r="BT136" s="229">
        <v>0.27379999999999999</v>
      </c>
      <c r="BU136" s="230">
        <v>2449452</v>
      </c>
      <c r="BV136" s="230">
        <v>1334404</v>
      </c>
      <c r="BW136" s="230">
        <v>1115048</v>
      </c>
      <c r="BX136" s="229">
        <v>0.83560000000000001</v>
      </c>
      <c r="BY136" s="228">
        <v>261</v>
      </c>
      <c r="BZ136" s="228">
        <v>276</v>
      </c>
      <c r="CA136" s="228">
        <v>-15</v>
      </c>
      <c r="CB136" s="229">
        <v>-5.4199999999999998E-2</v>
      </c>
      <c r="CC136" s="228">
        <v>255</v>
      </c>
      <c r="CD136" s="228">
        <v>270</v>
      </c>
      <c r="CE136" s="228">
        <v>-15</v>
      </c>
      <c r="CF136" s="229">
        <v>-5.74E-2</v>
      </c>
      <c r="CG136" s="228">
        <v>5</v>
      </c>
      <c r="CH136" s="228">
        <v>4</v>
      </c>
      <c r="CI136" s="228">
        <v>0</v>
      </c>
      <c r="CJ136" s="229">
        <v>0.1148</v>
      </c>
      <c r="CK136" s="228">
        <v>1</v>
      </c>
      <c r="CL136" s="228">
        <v>1</v>
      </c>
      <c r="CM136" s="228">
        <v>0</v>
      </c>
      <c r="CN136" s="229">
        <v>5.2600000000000001E-2</v>
      </c>
      <c r="CO136" s="228">
        <v>186</v>
      </c>
      <c r="CP136" s="228">
        <v>197</v>
      </c>
      <c r="CQ136" s="228">
        <v>-11</v>
      </c>
      <c r="CR136" s="229">
        <v>-5.4899999999999997E-2</v>
      </c>
      <c r="CS136" s="228">
        <v>120</v>
      </c>
      <c r="CT136" s="228">
        <v>128</v>
      </c>
      <c r="CU136" s="228">
        <v>-8</v>
      </c>
      <c r="CV136" s="229">
        <v>-6.5100000000000005E-2</v>
      </c>
      <c r="CW136" s="228">
        <v>567</v>
      </c>
      <c r="CX136" s="228">
        <v>601</v>
      </c>
      <c r="CY136" s="228">
        <v>-34</v>
      </c>
      <c r="CZ136" s="229">
        <v>-5.6800000000000003E-2</v>
      </c>
      <c r="DA136" s="228">
        <v>35.61</v>
      </c>
      <c r="DB136" s="228">
        <v>37.36</v>
      </c>
      <c r="DC136" s="228">
        <v>-1.75</v>
      </c>
      <c r="DD136" s="228">
        <v>-1.75</v>
      </c>
      <c r="DE136" s="228">
        <v>54.27</v>
      </c>
      <c r="DF136" s="228">
        <v>54.11</v>
      </c>
      <c r="DG136" s="228">
        <v>-18.66</v>
      </c>
      <c r="DH136" s="228">
        <v>0.16</v>
      </c>
      <c r="DI136" s="228">
        <v>33.76</v>
      </c>
      <c r="DJ136" s="228">
        <v>36.4</v>
      </c>
      <c r="DK136" s="228">
        <v>-2.64</v>
      </c>
      <c r="DL136" s="228">
        <v>-2.64</v>
      </c>
      <c r="DM136" s="228">
        <v>39.31</v>
      </c>
      <c r="DN136" s="228">
        <v>40.729999999999997</v>
      </c>
      <c r="DO136" s="228">
        <v>-1.42</v>
      </c>
      <c r="DP136" s="228">
        <v>-1.42</v>
      </c>
      <c r="DQ136" s="228">
        <v>0.64</v>
      </c>
      <c r="DR136" s="228">
        <v>0.65</v>
      </c>
      <c r="DS136" s="228">
        <v>-0.01</v>
      </c>
      <c r="DT136" s="229">
        <v>-1.54E-2</v>
      </c>
      <c r="DU136" s="228">
        <v>920</v>
      </c>
      <c r="DV136" s="228">
        <v>800</v>
      </c>
      <c r="DW136" s="228">
        <v>0.5</v>
      </c>
      <c r="DX136" s="228">
        <v>0.28999999999999998</v>
      </c>
      <c r="DY136" s="228">
        <v>0.21</v>
      </c>
      <c r="DZ136" s="229">
        <v>0.72409999999999997</v>
      </c>
      <c r="EA136" s="229">
        <v>2.3099999999999999E-2</v>
      </c>
      <c r="EB136" s="230">
        <v>62000</v>
      </c>
      <c r="EC136" s="229">
        <v>4.5999999999999999E-3</v>
      </c>
      <c r="ED136" s="229">
        <v>2.3099999999999999E-2</v>
      </c>
      <c r="EE136" s="228">
        <v>1.17</v>
      </c>
      <c r="EF136" s="229">
        <v>1.2999999999999999E-3</v>
      </c>
      <c r="EG136" s="230">
        <v>1064939</v>
      </c>
      <c r="EH136" s="230">
        <v>583707</v>
      </c>
      <c r="EI136" s="229">
        <v>0.82440000000000002</v>
      </c>
      <c r="EJ136" s="229">
        <v>0.43480000000000002</v>
      </c>
      <c r="EK136" s="228">
        <v>271.63</v>
      </c>
      <c r="EL136" s="228">
        <v>121.71</v>
      </c>
      <c r="EM136" s="228">
        <v>122.23</v>
      </c>
      <c r="EN136" s="228">
        <v>26.77</v>
      </c>
      <c r="EO136" s="228">
        <v>515.58000000000004</v>
      </c>
      <c r="EP136" s="228">
        <v>399.49</v>
      </c>
      <c r="EQ136" s="228">
        <v>116.08</v>
      </c>
      <c r="ER136" s="229">
        <v>0.29060000000000002</v>
      </c>
      <c r="ES136" s="228">
        <v>180.4</v>
      </c>
      <c r="ET136" s="228">
        <v>104.49</v>
      </c>
      <c r="EU136" s="228">
        <v>260.7</v>
      </c>
      <c r="EV136" s="231">
        <v>29196111</v>
      </c>
      <c r="EW136" s="228">
        <v>545.58000000000004</v>
      </c>
      <c r="EX136" s="228">
        <v>565.78</v>
      </c>
      <c r="EY136" s="228">
        <v>-20.2</v>
      </c>
      <c r="EZ136" s="229">
        <v>-3.5700000000000003E-2</v>
      </c>
      <c r="FA136" s="229">
        <v>0.21959999999999999</v>
      </c>
      <c r="FB136" s="227" t="s">
        <v>691</v>
      </c>
      <c r="FC136">
        <f t="shared" si="2"/>
        <v>6</v>
      </c>
    </row>
    <row r="137" spans="1:159" ht="17.25" thickBot="1" x14ac:dyDescent="0.3">
      <c r="A137" s="226">
        <v>46148</v>
      </c>
      <c r="B137" s="227" t="s">
        <v>221</v>
      </c>
      <c r="C137" s="227" t="s">
        <v>487</v>
      </c>
      <c r="D137" s="228">
        <v>275</v>
      </c>
      <c r="E137" s="228">
        <v>20</v>
      </c>
      <c r="F137" s="231">
        <v>2232.1999999999998</v>
      </c>
      <c r="G137" s="231">
        <v>2221.6</v>
      </c>
      <c r="H137" s="228">
        <v>10.6</v>
      </c>
      <c r="I137" s="229">
        <v>4.7999999999999996E-3</v>
      </c>
      <c r="J137" s="231">
        <v>2218.5</v>
      </c>
      <c r="K137" s="231">
        <v>2209.8000000000002</v>
      </c>
      <c r="L137" s="228">
        <v>8.6999999999999993</v>
      </c>
      <c r="M137" s="229">
        <v>3.8999999999999998E-3</v>
      </c>
      <c r="N137" s="231">
        <v>2232.1999999999998</v>
      </c>
      <c r="O137" s="231">
        <v>2221.6</v>
      </c>
      <c r="P137" s="228">
        <v>10.6</v>
      </c>
      <c r="Q137" s="229">
        <v>4.7999999999999996E-3</v>
      </c>
      <c r="R137" s="231">
        <v>2247.4</v>
      </c>
      <c r="S137" s="231">
        <v>2236.6</v>
      </c>
      <c r="T137" s="228">
        <v>10.8</v>
      </c>
      <c r="U137" s="229">
        <v>4.7999999999999996E-3</v>
      </c>
      <c r="V137" s="231">
        <v>2260</v>
      </c>
      <c r="W137" s="231">
        <v>2237.8000000000002</v>
      </c>
      <c r="X137" s="228">
        <v>22.2</v>
      </c>
      <c r="Y137" s="229">
        <v>9.9000000000000008E-3</v>
      </c>
      <c r="Z137" s="228">
        <v>13.7</v>
      </c>
      <c r="AA137" s="228">
        <v>11.8</v>
      </c>
      <c r="AB137" s="228">
        <v>1.9</v>
      </c>
      <c r="AC137" s="229">
        <v>6.1999999999999998E-3</v>
      </c>
      <c r="AD137" s="228">
        <v>13.7</v>
      </c>
      <c r="AE137" s="228">
        <v>11.8</v>
      </c>
      <c r="AF137" s="228">
        <v>1.9</v>
      </c>
      <c r="AG137" s="229">
        <v>6.1999999999999998E-3</v>
      </c>
      <c r="AH137" s="228">
        <v>28.9</v>
      </c>
      <c r="AI137" s="228">
        <v>26.8</v>
      </c>
      <c r="AJ137" s="228">
        <v>2.1</v>
      </c>
      <c r="AK137" s="229">
        <v>1.2999999999999999E-2</v>
      </c>
      <c r="AL137" s="228">
        <v>41.5</v>
      </c>
      <c r="AM137" s="228">
        <v>28</v>
      </c>
      <c r="AN137" s="228">
        <v>13.5</v>
      </c>
      <c r="AO137" s="229">
        <v>1.8700000000000001E-2</v>
      </c>
      <c r="AP137" s="231">
        <v>2238.37</v>
      </c>
      <c r="AQ137" s="231">
        <v>2255.9499999999998</v>
      </c>
      <c r="AR137" s="228">
        <v>0</v>
      </c>
      <c r="AS137" s="228">
        <v>254</v>
      </c>
      <c r="AT137" s="228">
        <v>229</v>
      </c>
      <c r="AU137" s="228">
        <v>25</v>
      </c>
      <c r="AV137" s="229">
        <v>0.10929999999999999</v>
      </c>
      <c r="AW137" s="228">
        <v>247</v>
      </c>
      <c r="AX137" s="228">
        <v>225</v>
      </c>
      <c r="AY137" s="228">
        <v>21</v>
      </c>
      <c r="AZ137" s="229">
        <v>9.4799999999999995E-2</v>
      </c>
      <c r="BA137" s="228">
        <v>7</v>
      </c>
      <c r="BB137" s="228">
        <v>3</v>
      </c>
      <c r="BC137" s="228">
        <v>4</v>
      </c>
      <c r="BD137" s="229">
        <v>1.2353000000000001</v>
      </c>
      <c r="BE137" s="228">
        <v>0</v>
      </c>
      <c r="BF137" s="228">
        <v>1</v>
      </c>
      <c r="BG137" s="228">
        <v>0</v>
      </c>
      <c r="BH137" s="229">
        <v>-0.3</v>
      </c>
      <c r="BI137" s="228">
        <v>628</v>
      </c>
      <c r="BJ137" s="228">
        <v>348</v>
      </c>
      <c r="BK137" s="228">
        <v>280</v>
      </c>
      <c r="BL137" s="229">
        <v>0.80379999999999996</v>
      </c>
      <c r="BM137" s="228">
        <v>181</v>
      </c>
      <c r="BN137" s="228">
        <v>167</v>
      </c>
      <c r="BO137" s="228">
        <v>13</v>
      </c>
      <c r="BP137" s="229">
        <v>7.9299999999999995E-2</v>
      </c>
      <c r="BQ137" s="230">
        <v>1063</v>
      </c>
      <c r="BR137" s="228">
        <v>745</v>
      </c>
      <c r="BS137" s="228">
        <v>318</v>
      </c>
      <c r="BT137" s="229">
        <v>0.4274</v>
      </c>
      <c r="BU137" s="230">
        <v>435769</v>
      </c>
      <c r="BV137" s="230">
        <v>584632</v>
      </c>
      <c r="BW137" s="230">
        <v>-148863</v>
      </c>
      <c r="BX137" s="229">
        <v>-0.25459999999999999</v>
      </c>
      <c r="BY137" s="230">
        <v>1064</v>
      </c>
      <c r="BZ137" s="230">
        <v>1042</v>
      </c>
      <c r="CA137" s="228">
        <v>22</v>
      </c>
      <c r="CB137" s="229">
        <v>2.12E-2</v>
      </c>
      <c r="CC137" s="230">
        <v>1053</v>
      </c>
      <c r="CD137" s="230">
        <v>1033</v>
      </c>
      <c r="CE137" s="228">
        <v>20</v>
      </c>
      <c r="CF137" s="229">
        <v>1.9E-2</v>
      </c>
      <c r="CG137" s="228">
        <v>10</v>
      </c>
      <c r="CH137" s="228">
        <v>8</v>
      </c>
      <c r="CI137" s="228">
        <v>2</v>
      </c>
      <c r="CJ137" s="229">
        <v>0.2782</v>
      </c>
      <c r="CK137" s="228">
        <v>1</v>
      </c>
      <c r="CL137" s="228">
        <v>1</v>
      </c>
      <c r="CM137" s="228">
        <v>0</v>
      </c>
      <c r="CN137" s="229">
        <v>0.26669999999999999</v>
      </c>
      <c r="CO137" s="228">
        <v>355</v>
      </c>
      <c r="CP137" s="228">
        <v>357</v>
      </c>
      <c r="CQ137" s="228">
        <v>-2</v>
      </c>
      <c r="CR137" s="229">
        <v>-6.7000000000000002E-3</v>
      </c>
      <c r="CS137" s="228">
        <v>211</v>
      </c>
      <c r="CT137" s="228">
        <v>213</v>
      </c>
      <c r="CU137" s="228">
        <v>-1</v>
      </c>
      <c r="CV137" s="229">
        <v>-5.4999999999999997E-3</v>
      </c>
      <c r="CW137" s="230">
        <v>1631</v>
      </c>
      <c r="CX137" s="230">
        <v>1612</v>
      </c>
      <c r="CY137" s="228">
        <v>19</v>
      </c>
      <c r="CZ137" s="229">
        <v>1.15E-2</v>
      </c>
      <c r="DA137" s="228">
        <v>35.25</v>
      </c>
      <c r="DB137" s="228">
        <v>36.369999999999997</v>
      </c>
      <c r="DC137" s="228">
        <v>-1.1200000000000001</v>
      </c>
      <c r="DD137" s="228">
        <v>-1.1200000000000001</v>
      </c>
      <c r="DE137" s="228">
        <v>37.090000000000003</v>
      </c>
      <c r="DF137" s="228">
        <v>37.18</v>
      </c>
      <c r="DG137" s="228">
        <v>-1.84</v>
      </c>
      <c r="DH137" s="228">
        <v>-0.09</v>
      </c>
      <c r="DI137" s="228">
        <v>35.1</v>
      </c>
      <c r="DJ137" s="228">
        <v>35.92</v>
      </c>
      <c r="DK137" s="228">
        <v>-0.82</v>
      </c>
      <c r="DL137" s="228">
        <v>-0.82</v>
      </c>
      <c r="DM137" s="228">
        <v>35.75</v>
      </c>
      <c r="DN137" s="228">
        <v>37.299999999999997</v>
      </c>
      <c r="DO137" s="228">
        <v>-1.55</v>
      </c>
      <c r="DP137" s="228">
        <v>-1.55</v>
      </c>
      <c r="DQ137" s="228">
        <v>0.6</v>
      </c>
      <c r="DR137" s="228">
        <v>0.6</v>
      </c>
      <c r="DS137" s="228">
        <v>0</v>
      </c>
      <c r="DT137" s="229">
        <v>0</v>
      </c>
      <c r="DU137" s="231">
        <v>2300</v>
      </c>
      <c r="DV137" s="231">
        <v>2200</v>
      </c>
      <c r="DW137" s="228">
        <v>0.28999999999999998</v>
      </c>
      <c r="DX137" s="228">
        <v>0.48</v>
      </c>
      <c r="DY137" s="228">
        <v>-0.19</v>
      </c>
      <c r="DZ137" s="229">
        <v>-0.39579999999999999</v>
      </c>
      <c r="EA137" s="229">
        <v>1.09E-2</v>
      </c>
      <c r="EB137" s="230">
        <v>40700</v>
      </c>
      <c r="EC137" s="229">
        <v>6.7999999999999996E-3</v>
      </c>
      <c r="ED137" s="229">
        <v>1.09E-2</v>
      </c>
      <c r="EE137" s="228">
        <v>17.579999999999998</v>
      </c>
      <c r="EF137" s="229">
        <v>7.9000000000000008E-3</v>
      </c>
      <c r="EG137" s="230">
        <v>108293</v>
      </c>
      <c r="EH137" s="230">
        <v>224493</v>
      </c>
      <c r="EI137" s="229">
        <v>-0.51759999999999995</v>
      </c>
      <c r="EJ137" s="229">
        <v>0.2485</v>
      </c>
      <c r="EK137" s="228">
        <v>669.86</v>
      </c>
      <c r="EL137" s="228">
        <v>179.74</v>
      </c>
      <c r="EM137" s="228">
        <v>254.9</v>
      </c>
      <c r="EN137" s="228">
        <v>58.15</v>
      </c>
      <c r="EO137" s="231">
        <v>1104.5</v>
      </c>
      <c r="EP137" s="228">
        <v>770.68</v>
      </c>
      <c r="EQ137" s="228">
        <v>333.82</v>
      </c>
      <c r="ER137" s="229">
        <v>0.43309999999999998</v>
      </c>
      <c r="ES137" s="228">
        <v>375.97</v>
      </c>
      <c r="ET137" s="228">
        <v>207.24</v>
      </c>
      <c r="EU137" s="231">
        <v>1064.57</v>
      </c>
      <c r="EV137" s="231">
        <v>19838356</v>
      </c>
      <c r="EW137" s="231">
        <v>1647.78</v>
      </c>
      <c r="EX137" s="231">
        <v>1623.66</v>
      </c>
      <c r="EY137" s="228">
        <v>24.12</v>
      </c>
      <c r="EZ137" s="229">
        <v>1.49E-2</v>
      </c>
      <c r="FA137" s="229">
        <v>0.36820000000000003</v>
      </c>
      <c r="FB137" s="227" t="s">
        <v>555</v>
      </c>
      <c r="FC137">
        <f t="shared" si="2"/>
        <v>11</v>
      </c>
    </row>
    <row r="138" spans="1:159" ht="17.25" thickBot="1" x14ac:dyDescent="0.3">
      <c r="A138" s="226">
        <v>46148</v>
      </c>
      <c r="B138" s="227" t="s">
        <v>175</v>
      </c>
      <c r="C138" s="227" t="s">
        <v>262</v>
      </c>
      <c r="D138" s="228">
        <v>275</v>
      </c>
      <c r="E138" s="228">
        <v>20</v>
      </c>
      <c r="F138" s="231">
        <v>3556.9</v>
      </c>
      <c r="G138" s="231">
        <v>3466.1</v>
      </c>
      <c r="H138" s="228">
        <v>90.8</v>
      </c>
      <c r="I138" s="229">
        <v>2.6200000000000001E-2</v>
      </c>
      <c r="J138" s="231">
        <v>3533.6</v>
      </c>
      <c r="K138" s="231">
        <v>3446.4</v>
      </c>
      <c r="L138" s="228">
        <v>87.2</v>
      </c>
      <c r="M138" s="229">
        <v>2.53E-2</v>
      </c>
      <c r="N138" s="231">
        <v>3556.9</v>
      </c>
      <c r="O138" s="231">
        <v>3466.1</v>
      </c>
      <c r="P138" s="228">
        <v>90.8</v>
      </c>
      <c r="Q138" s="229">
        <v>2.6200000000000001E-2</v>
      </c>
      <c r="R138" s="231">
        <v>3570.7</v>
      </c>
      <c r="S138" s="231">
        <v>3487.9</v>
      </c>
      <c r="T138" s="228">
        <v>82.8</v>
      </c>
      <c r="U138" s="229">
        <v>2.3699999999999999E-2</v>
      </c>
      <c r="V138" s="231">
        <v>3592.7</v>
      </c>
      <c r="W138" s="231">
        <v>3480</v>
      </c>
      <c r="X138" s="228">
        <v>112.7</v>
      </c>
      <c r="Y138" s="229">
        <v>3.2399999999999998E-2</v>
      </c>
      <c r="Z138" s="228">
        <v>23.3</v>
      </c>
      <c r="AA138" s="228">
        <v>19.7</v>
      </c>
      <c r="AB138" s="228">
        <v>3.6</v>
      </c>
      <c r="AC138" s="229">
        <v>6.6E-3</v>
      </c>
      <c r="AD138" s="228">
        <v>23.3</v>
      </c>
      <c r="AE138" s="228">
        <v>19.7</v>
      </c>
      <c r="AF138" s="228">
        <v>3.6</v>
      </c>
      <c r="AG138" s="229">
        <v>6.6E-3</v>
      </c>
      <c r="AH138" s="228">
        <v>37.1</v>
      </c>
      <c r="AI138" s="228">
        <v>41.5</v>
      </c>
      <c r="AJ138" s="228">
        <v>-4.4000000000000004</v>
      </c>
      <c r="AK138" s="229">
        <v>1.0500000000000001E-2</v>
      </c>
      <c r="AL138" s="228">
        <v>59.1</v>
      </c>
      <c r="AM138" s="228">
        <v>33.6</v>
      </c>
      <c r="AN138" s="228">
        <v>25.5</v>
      </c>
      <c r="AO138" s="229">
        <v>1.67E-2</v>
      </c>
      <c r="AP138" s="231">
        <v>3526.45</v>
      </c>
      <c r="AQ138" s="231">
        <v>3537.42</v>
      </c>
      <c r="AR138" s="228">
        <v>0</v>
      </c>
      <c r="AS138" s="228">
        <v>301</v>
      </c>
      <c r="AT138" s="228">
        <v>236</v>
      </c>
      <c r="AU138" s="228">
        <v>65</v>
      </c>
      <c r="AV138" s="229">
        <v>0.27660000000000001</v>
      </c>
      <c r="AW138" s="228">
        <v>289</v>
      </c>
      <c r="AX138" s="228">
        <v>225</v>
      </c>
      <c r="AY138" s="228">
        <v>64</v>
      </c>
      <c r="AZ138" s="229">
        <v>0.28270000000000001</v>
      </c>
      <c r="BA138" s="228">
        <v>11</v>
      </c>
      <c r="BB138" s="228">
        <v>9</v>
      </c>
      <c r="BC138" s="228">
        <v>2</v>
      </c>
      <c r="BD138" s="229">
        <v>0.23910000000000001</v>
      </c>
      <c r="BE138" s="228">
        <v>1</v>
      </c>
      <c r="BF138" s="228">
        <v>1</v>
      </c>
      <c r="BG138" s="228">
        <v>-1</v>
      </c>
      <c r="BH138" s="229">
        <v>-0.53849999999999998</v>
      </c>
      <c r="BI138" s="228">
        <v>503</v>
      </c>
      <c r="BJ138" s="228">
        <v>431</v>
      </c>
      <c r="BK138" s="228">
        <v>72</v>
      </c>
      <c r="BL138" s="229">
        <v>0.1666</v>
      </c>
      <c r="BM138" s="228">
        <v>255</v>
      </c>
      <c r="BN138" s="228">
        <v>258</v>
      </c>
      <c r="BO138" s="228">
        <v>-3</v>
      </c>
      <c r="BP138" s="229">
        <v>-1.29E-2</v>
      </c>
      <c r="BQ138" s="230">
        <v>1059</v>
      </c>
      <c r="BR138" s="228">
        <v>925</v>
      </c>
      <c r="BS138" s="228">
        <v>134</v>
      </c>
      <c r="BT138" s="229">
        <v>0.14449999999999999</v>
      </c>
      <c r="BU138" s="230">
        <v>815297</v>
      </c>
      <c r="BV138" s="230">
        <v>457621</v>
      </c>
      <c r="BW138" s="230">
        <v>357676</v>
      </c>
      <c r="BX138" s="229">
        <v>0.78159999999999996</v>
      </c>
      <c r="BY138" s="230">
        <v>1344</v>
      </c>
      <c r="BZ138" s="230">
        <v>1343</v>
      </c>
      <c r="CA138" s="228">
        <v>0</v>
      </c>
      <c r="CB138" s="229">
        <v>2.9999999999999997E-4</v>
      </c>
      <c r="CC138" s="230">
        <v>1321</v>
      </c>
      <c r="CD138" s="230">
        <v>1319</v>
      </c>
      <c r="CE138" s="228">
        <v>2</v>
      </c>
      <c r="CF138" s="229">
        <v>1.6000000000000001E-3</v>
      </c>
      <c r="CG138" s="228">
        <v>21</v>
      </c>
      <c r="CH138" s="228">
        <v>23</v>
      </c>
      <c r="CI138" s="228">
        <v>-2</v>
      </c>
      <c r="CJ138" s="229">
        <v>-7.6300000000000007E-2</v>
      </c>
      <c r="CK138" s="228">
        <v>1</v>
      </c>
      <c r="CL138" s="228">
        <v>1</v>
      </c>
      <c r="CM138" s="228">
        <v>0</v>
      </c>
      <c r="CN138" s="229">
        <v>0</v>
      </c>
      <c r="CO138" s="228">
        <v>454</v>
      </c>
      <c r="CP138" s="228">
        <v>383</v>
      </c>
      <c r="CQ138" s="228">
        <v>71</v>
      </c>
      <c r="CR138" s="229">
        <v>0.184</v>
      </c>
      <c r="CS138" s="228">
        <v>301</v>
      </c>
      <c r="CT138" s="228">
        <v>270</v>
      </c>
      <c r="CU138" s="228">
        <v>31</v>
      </c>
      <c r="CV138" s="229">
        <v>0.1149</v>
      </c>
      <c r="CW138" s="230">
        <v>2099</v>
      </c>
      <c r="CX138" s="230">
        <v>1997</v>
      </c>
      <c r="CY138" s="228">
        <v>102</v>
      </c>
      <c r="CZ138" s="229">
        <v>5.0999999999999997E-2</v>
      </c>
      <c r="DA138" s="228">
        <v>40.18</v>
      </c>
      <c r="DB138" s="228">
        <v>41.12</v>
      </c>
      <c r="DC138" s="228">
        <v>-0.94</v>
      </c>
      <c r="DD138" s="228">
        <v>-0.94</v>
      </c>
      <c r="DE138" s="228">
        <v>43.43</v>
      </c>
      <c r="DF138" s="228">
        <v>43.4</v>
      </c>
      <c r="DG138" s="228">
        <v>-3.25</v>
      </c>
      <c r="DH138" s="228">
        <v>0.03</v>
      </c>
      <c r="DI138" s="228">
        <v>39.549999999999997</v>
      </c>
      <c r="DJ138" s="228">
        <v>40.65</v>
      </c>
      <c r="DK138" s="228">
        <v>-1.1000000000000001</v>
      </c>
      <c r="DL138" s="228">
        <v>-1.1000000000000001</v>
      </c>
      <c r="DM138" s="228">
        <v>41.42</v>
      </c>
      <c r="DN138" s="228">
        <v>41.91</v>
      </c>
      <c r="DO138" s="228">
        <v>-0.49</v>
      </c>
      <c r="DP138" s="228">
        <v>-0.49</v>
      </c>
      <c r="DQ138" s="228">
        <v>0.66</v>
      </c>
      <c r="DR138" s="228">
        <v>0.7</v>
      </c>
      <c r="DS138" s="228">
        <v>-0.04</v>
      </c>
      <c r="DT138" s="229">
        <v>-5.7099999999999998E-2</v>
      </c>
      <c r="DU138" s="231">
        <v>4000</v>
      </c>
      <c r="DV138" s="231">
        <v>3500</v>
      </c>
      <c r="DW138" s="228">
        <v>0.51</v>
      </c>
      <c r="DX138" s="228">
        <v>0.6</v>
      </c>
      <c r="DY138" s="228">
        <v>-0.09</v>
      </c>
      <c r="DZ138" s="229">
        <v>-0.15</v>
      </c>
      <c r="EA138" s="229">
        <v>1.67E-2</v>
      </c>
      <c r="EB138" s="230">
        <v>68200</v>
      </c>
      <c r="EC138" s="229">
        <v>3.8999999999999998E-3</v>
      </c>
      <c r="ED138" s="229">
        <v>1.67E-2</v>
      </c>
      <c r="EE138" s="228">
        <v>10.97</v>
      </c>
      <c r="EF138" s="229">
        <v>3.0999999999999999E-3</v>
      </c>
      <c r="EG138" s="230">
        <v>493442</v>
      </c>
      <c r="EH138" s="230">
        <v>134922</v>
      </c>
      <c r="EI138" s="229">
        <v>2.6572</v>
      </c>
      <c r="EJ138" s="229">
        <v>0.60519999999999996</v>
      </c>
      <c r="EK138" s="228">
        <v>530.62</v>
      </c>
      <c r="EL138" s="228">
        <v>245.25</v>
      </c>
      <c r="EM138" s="228">
        <v>298.14999999999998</v>
      </c>
      <c r="EN138" s="228">
        <v>19.8</v>
      </c>
      <c r="EO138" s="231">
        <v>1074.02</v>
      </c>
      <c r="EP138" s="228">
        <v>923.54</v>
      </c>
      <c r="EQ138" s="228">
        <v>150.49</v>
      </c>
      <c r="ER138" s="229">
        <v>0.16289999999999999</v>
      </c>
      <c r="ES138" s="228">
        <v>467.94</v>
      </c>
      <c r="ET138" s="228">
        <v>285.91000000000003</v>
      </c>
      <c r="EU138" s="231">
        <v>1343.87</v>
      </c>
      <c r="EV138" s="231">
        <v>16050690</v>
      </c>
      <c r="EW138" s="231">
        <v>2097.7199999999998</v>
      </c>
      <c r="EX138" s="231">
        <v>1960.21</v>
      </c>
      <c r="EY138" s="228">
        <v>137.51</v>
      </c>
      <c r="EZ138" s="229">
        <v>7.0199999999999999E-2</v>
      </c>
      <c r="FA138" s="229">
        <v>0.36759999999999998</v>
      </c>
      <c r="FB138" s="227" t="s">
        <v>555</v>
      </c>
      <c r="FC138">
        <f t="shared" si="2"/>
        <v>23</v>
      </c>
    </row>
    <row r="139" spans="1:159" ht="17.25" thickBot="1" x14ac:dyDescent="0.3">
      <c r="A139" s="226">
        <v>46148</v>
      </c>
      <c r="B139" s="227" t="s">
        <v>175</v>
      </c>
      <c r="C139" s="227" t="s">
        <v>486</v>
      </c>
      <c r="D139" s="228">
        <v>625</v>
      </c>
      <c r="E139" s="228">
        <v>20</v>
      </c>
      <c r="F139" s="231">
        <v>1093.3</v>
      </c>
      <c r="G139" s="231">
        <v>1054.2</v>
      </c>
      <c r="H139" s="228">
        <v>39.1</v>
      </c>
      <c r="I139" s="229">
        <v>3.7100000000000001E-2</v>
      </c>
      <c r="J139" s="231">
        <v>1094.2</v>
      </c>
      <c r="K139" s="231">
        <v>1052.8</v>
      </c>
      <c r="L139" s="228">
        <v>41.4</v>
      </c>
      <c r="M139" s="229">
        <v>3.9300000000000002E-2</v>
      </c>
      <c r="N139" s="231">
        <v>1093.3</v>
      </c>
      <c r="O139" s="231">
        <v>1054.2</v>
      </c>
      <c r="P139" s="228">
        <v>39.1</v>
      </c>
      <c r="Q139" s="229">
        <v>3.7100000000000001E-2</v>
      </c>
      <c r="R139" s="231">
        <v>1080</v>
      </c>
      <c r="S139" s="231">
        <v>1039.5</v>
      </c>
      <c r="T139" s="228">
        <v>40.5</v>
      </c>
      <c r="U139" s="229">
        <v>3.9E-2</v>
      </c>
      <c r="V139" s="228">
        <v>995</v>
      </c>
      <c r="W139" s="228">
        <v>995</v>
      </c>
      <c r="X139" s="228">
        <v>0</v>
      </c>
      <c r="Y139" s="229">
        <v>0</v>
      </c>
      <c r="Z139" s="228">
        <v>-0.9</v>
      </c>
      <c r="AA139" s="228">
        <v>1.4</v>
      </c>
      <c r="AB139" s="228">
        <v>-2.2999999999999998</v>
      </c>
      <c r="AC139" s="229">
        <v>-8.0000000000000004E-4</v>
      </c>
      <c r="AD139" s="228">
        <v>-0.9</v>
      </c>
      <c r="AE139" s="228">
        <v>1.4</v>
      </c>
      <c r="AF139" s="228">
        <v>-2.2999999999999998</v>
      </c>
      <c r="AG139" s="229">
        <v>-8.0000000000000004E-4</v>
      </c>
      <c r="AH139" s="228">
        <v>-14.2</v>
      </c>
      <c r="AI139" s="228">
        <v>-13.3</v>
      </c>
      <c r="AJ139" s="228">
        <v>-0.9</v>
      </c>
      <c r="AK139" s="229">
        <v>-1.2999999999999999E-2</v>
      </c>
      <c r="AL139" s="228">
        <v>-99.2</v>
      </c>
      <c r="AM139" s="228">
        <v>-57.8</v>
      </c>
      <c r="AN139" s="228">
        <v>-41.4</v>
      </c>
      <c r="AO139" s="229">
        <v>-9.0700000000000003E-2</v>
      </c>
      <c r="AP139" s="231">
        <v>1082.6099999999999</v>
      </c>
      <c r="AQ139" s="231">
        <v>1067.8699999999999</v>
      </c>
      <c r="AR139" s="228">
        <v>0</v>
      </c>
      <c r="AS139" s="228">
        <v>178</v>
      </c>
      <c r="AT139" s="228">
        <v>121</v>
      </c>
      <c r="AU139" s="228">
        <v>57</v>
      </c>
      <c r="AV139" s="229">
        <v>0.46710000000000002</v>
      </c>
      <c r="AW139" s="228">
        <v>166</v>
      </c>
      <c r="AX139" s="228">
        <v>117</v>
      </c>
      <c r="AY139" s="228">
        <v>49</v>
      </c>
      <c r="AZ139" s="229">
        <v>0.41670000000000001</v>
      </c>
      <c r="BA139" s="228">
        <v>12</v>
      </c>
      <c r="BB139" s="228">
        <v>4</v>
      </c>
      <c r="BC139" s="228">
        <v>8</v>
      </c>
      <c r="BD139" s="229">
        <v>1.8852</v>
      </c>
      <c r="BE139" s="228">
        <v>0</v>
      </c>
      <c r="BF139" s="228">
        <v>0</v>
      </c>
      <c r="BG139" s="228">
        <v>0</v>
      </c>
      <c r="BH139" s="229">
        <v>0</v>
      </c>
      <c r="BI139" s="228">
        <v>508</v>
      </c>
      <c r="BJ139" s="228">
        <v>412</v>
      </c>
      <c r="BK139" s="228">
        <v>97</v>
      </c>
      <c r="BL139" s="229">
        <v>0.2351</v>
      </c>
      <c r="BM139" s="228">
        <v>98</v>
      </c>
      <c r="BN139" s="228">
        <v>65</v>
      </c>
      <c r="BO139" s="228">
        <v>33</v>
      </c>
      <c r="BP139" s="229">
        <v>0.51259999999999994</v>
      </c>
      <c r="BQ139" s="228">
        <v>785</v>
      </c>
      <c r="BR139" s="228">
        <v>598</v>
      </c>
      <c r="BS139" s="228">
        <v>187</v>
      </c>
      <c r="BT139" s="229">
        <v>0.31230000000000002</v>
      </c>
      <c r="BU139" s="230">
        <v>1691169</v>
      </c>
      <c r="BV139" s="230">
        <v>1240121</v>
      </c>
      <c r="BW139" s="230">
        <v>451048</v>
      </c>
      <c r="BX139" s="229">
        <v>0.36370000000000002</v>
      </c>
      <c r="BY139" s="228">
        <v>415</v>
      </c>
      <c r="BZ139" s="228">
        <v>372</v>
      </c>
      <c r="CA139" s="228">
        <v>43</v>
      </c>
      <c r="CB139" s="229">
        <v>0.1148</v>
      </c>
      <c r="CC139" s="228">
        <v>403</v>
      </c>
      <c r="CD139" s="228">
        <v>366</v>
      </c>
      <c r="CE139" s="228">
        <v>37</v>
      </c>
      <c r="CF139" s="229">
        <v>0.1021</v>
      </c>
      <c r="CG139" s="228">
        <v>12</v>
      </c>
      <c r="CH139" s="228">
        <v>6</v>
      </c>
      <c r="CI139" s="228">
        <v>5</v>
      </c>
      <c r="CJ139" s="229">
        <v>0.84040000000000004</v>
      </c>
      <c r="CK139" s="228">
        <v>0</v>
      </c>
      <c r="CL139" s="228">
        <v>0</v>
      </c>
      <c r="CM139" s="228">
        <v>0</v>
      </c>
      <c r="CN139" s="229">
        <v>0</v>
      </c>
      <c r="CO139" s="228">
        <v>147</v>
      </c>
      <c r="CP139" s="228">
        <v>155</v>
      </c>
      <c r="CQ139" s="228">
        <v>-8</v>
      </c>
      <c r="CR139" s="229">
        <v>-5.04E-2</v>
      </c>
      <c r="CS139" s="228">
        <v>59</v>
      </c>
      <c r="CT139" s="228">
        <v>60</v>
      </c>
      <c r="CU139" s="228">
        <v>-2</v>
      </c>
      <c r="CV139" s="229">
        <v>-2.7199999999999998E-2</v>
      </c>
      <c r="CW139" s="228">
        <v>620</v>
      </c>
      <c r="CX139" s="228">
        <v>587</v>
      </c>
      <c r="CY139" s="228">
        <v>33</v>
      </c>
      <c r="CZ139" s="229">
        <v>5.67E-2</v>
      </c>
      <c r="DA139" s="228">
        <v>36.76</v>
      </c>
      <c r="DB139" s="228">
        <v>39.33</v>
      </c>
      <c r="DC139" s="228">
        <v>-2.57</v>
      </c>
      <c r="DD139" s="228">
        <v>-2.57</v>
      </c>
      <c r="DE139" s="228">
        <v>50.38</v>
      </c>
      <c r="DF139" s="228">
        <v>50.23</v>
      </c>
      <c r="DG139" s="228">
        <v>-13.62</v>
      </c>
      <c r="DH139" s="228">
        <v>0.15</v>
      </c>
      <c r="DI139" s="228">
        <v>35.97</v>
      </c>
      <c r="DJ139" s="228">
        <v>39.06</v>
      </c>
      <c r="DK139" s="228">
        <v>-3.09</v>
      </c>
      <c r="DL139" s="228">
        <v>-3.09</v>
      </c>
      <c r="DM139" s="228">
        <v>40.880000000000003</v>
      </c>
      <c r="DN139" s="228">
        <v>41.08</v>
      </c>
      <c r="DO139" s="228">
        <v>-0.2</v>
      </c>
      <c r="DP139" s="228">
        <v>-0.2</v>
      </c>
      <c r="DQ139" s="228">
        <v>0.4</v>
      </c>
      <c r="DR139" s="228">
        <v>0.39</v>
      </c>
      <c r="DS139" s="228">
        <v>0.01</v>
      </c>
      <c r="DT139" s="229">
        <v>2.5600000000000001E-2</v>
      </c>
      <c r="DU139" s="231">
        <v>1200</v>
      </c>
      <c r="DV139" s="231">
        <v>1000</v>
      </c>
      <c r="DW139" s="228">
        <v>0.19</v>
      </c>
      <c r="DX139" s="228">
        <v>0.16</v>
      </c>
      <c r="DY139" s="228">
        <v>0.03</v>
      </c>
      <c r="DZ139" s="229">
        <v>0.1875</v>
      </c>
      <c r="EA139" s="229">
        <v>2.8799999999999999E-2</v>
      </c>
      <c r="EB139" s="230">
        <v>60000</v>
      </c>
      <c r="EC139" s="229">
        <v>-1.2200000000000001E-2</v>
      </c>
      <c r="ED139" s="229">
        <v>2.8799999999999999E-2</v>
      </c>
      <c r="EE139" s="228">
        <v>-14.74</v>
      </c>
      <c r="EF139" s="229">
        <v>-1.3599999999999999E-2</v>
      </c>
      <c r="EG139" s="230">
        <v>795599</v>
      </c>
      <c r="EH139" s="230">
        <v>457216</v>
      </c>
      <c r="EI139" s="229">
        <v>0.74009999999999998</v>
      </c>
      <c r="EJ139" s="229">
        <v>0.47039999999999998</v>
      </c>
      <c r="EK139" s="228">
        <v>532.27</v>
      </c>
      <c r="EL139" s="228">
        <v>90.53</v>
      </c>
      <c r="EM139" s="228">
        <v>176.24</v>
      </c>
      <c r="EN139" s="228">
        <v>12.66</v>
      </c>
      <c r="EO139" s="228">
        <v>799.03</v>
      </c>
      <c r="EP139" s="228">
        <v>604.14</v>
      </c>
      <c r="EQ139" s="228">
        <v>194.89</v>
      </c>
      <c r="ER139" s="229">
        <v>0.3226</v>
      </c>
      <c r="ES139" s="228">
        <v>151.19999999999999</v>
      </c>
      <c r="ET139" s="228">
        <v>52.45</v>
      </c>
      <c r="EU139" s="228">
        <v>414.68</v>
      </c>
      <c r="EV139" s="231">
        <v>26709548</v>
      </c>
      <c r="EW139" s="228">
        <v>618.34</v>
      </c>
      <c r="EX139" s="228">
        <v>569.21</v>
      </c>
      <c r="EY139" s="228">
        <v>49.13</v>
      </c>
      <c r="EZ139" s="229">
        <v>8.6300000000000002E-2</v>
      </c>
      <c r="FA139" s="229">
        <v>0.21240000000000001</v>
      </c>
      <c r="FB139" s="227" t="s">
        <v>555</v>
      </c>
      <c r="FC139">
        <f t="shared" si="2"/>
        <v>12</v>
      </c>
    </row>
    <row r="140" spans="1:159" ht="17.25" thickBot="1" x14ac:dyDescent="0.3">
      <c r="A140" s="226">
        <v>46148</v>
      </c>
      <c r="B140" s="227" t="s">
        <v>227</v>
      </c>
      <c r="C140" s="227" t="s">
        <v>263</v>
      </c>
      <c r="D140" s="228">
        <v>1875</v>
      </c>
      <c r="E140" s="228">
        <v>20</v>
      </c>
      <c r="F140" s="228">
        <v>407</v>
      </c>
      <c r="G140" s="228">
        <v>414.05</v>
      </c>
      <c r="H140" s="228">
        <v>-7.05</v>
      </c>
      <c r="I140" s="229">
        <v>-1.7000000000000001E-2</v>
      </c>
      <c r="J140" s="228">
        <v>406.55</v>
      </c>
      <c r="K140" s="228">
        <v>413.6</v>
      </c>
      <c r="L140" s="228">
        <v>-7.05</v>
      </c>
      <c r="M140" s="229">
        <v>-1.7000000000000001E-2</v>
      </c>
      <c r="N140" s="228">
        <v>407</v>
      </c>
      <c r="O140" s="228">
        <v>414.05</v>
      </c>
      <c r="P140" s="228">
        <v>-7.05</v>
      </c>
      <c r="Q140" s="229">
        <v>-1.7000000000000001E-2</v>
      </c>
      <c r="R140" s="228">
        <v>408.85</v>
      </c>
      <c r="S140" s="228">
        <v>416.05</v>
      </c>
      <c r="T140" s="228">
        <v>-7.2</v>
      </c>
      <c r="U140" s="229">
        <v>-1.7299999999999999E-2</v>
      </c>
      <c r="V140" s="228">
        <v>410.85</v>
      </c>
      <c r="W140" s="228">
        <v>417.35</v>
      </c>
      <c r="X140" s="228">
        <v>-6.5</v>
      </c>
      <c r="Y140" s="229">
        <v>-1.5599999999999999E-2</v>
      </c>
      <c r="Z140" s="228">
        <v>0.45</v>
      </c>
      <c r="AA140" s="228">
        <v>0.45</v>
      </c>
      <c r="AB140" s="228">
        <v>0</v>
      </c>
      <c r="AC140" s="229">
        <v>1.1000000000000001E-3</v>
      </c>
      <c r="AD140" s="228">
        <v>0.45</v>
      </c>
      <c r="AE140" s="228">
        <v>0.45</v>
      </c>
      <c r="AF140" s="228">
        <v>0</v>
      </c>
      <c r="AG140" s="229">
        <v>1.1000000000000001E-3</v>
      </c>
      <c r="AH140" s="228">
        <v>2.2999999999999998</v>
      </c>
      <c r="AI140" s="228">
        <v>2.4500000000000002</v>
      </c>
      <c r="AJ140" s="228">
        <v>-0.15</v>
      </c>
      <c r="AK140" s="229">
        <v>5.7000000000000002E-3</v>
      </c>
      <c r="AL140" s="228">
        <v>4.3</v>
      </c>
      <c r="AM140" s="228">
        <v>3.75</v>
      </c>
      <c r="AN140" s="228">
        <v>0.55000000000000004</v>
      </c>
      <c r="AO140" s="229">
        <v>1.06E-2</v>
      </c>
      <c r="AP140" s="228">
        <v>412.53</v>
      </c>
      <c r="AQ140" s="228">
        <v>413.36</v>
      </c>
      <c r="AR140" s="228">
        <v>0</v>
      </c>
      <c r="AS140" s="228">
        <v>585</v>
      </c>
      <c r="AT140" s="228">
        <v>473</v>
      </c>
      <c r="AU140" s="228">
        <v>111</v>
      </c>
      <c r="AV140" s="229">
        <v>0.23549999999999999</v>
      </c>
      <c r="AW140" s="228">
        <v>560</v>
      </c>
      <c r="AX140" s="228">
        <v>456</v>
      </c>
      <c r="AY140" s="228">
        <v>104</v>
      </c>
      <c r="AZ140" s="229">
        <v>0.22919999999999999</v>
      </c>
      <c r="BA140" s="228">
        <v>21</v>
      </c>
      <c r="BB140" s="228">
        <v>14</v>
      </c>
      <c r="BC140" s="228">
        <v>6</v>
      </c>
      <c r="BD140" s="229">
        <v>0.4521</v>
      </c>
      <c r="BE140" s="228">
        <v>3</v>
      </c>
      <c r="BF140" s="228">
        <v>3</v>
      </c>
      <c r="BG140" s="228">
        <v>0</v>
      </c>
      <c r="BH140" s="229">
        <v>0.15790000000000001</v>
      </c>
      <c r="BI140" s="230">
        <v>1281</v>
      </c>
      <c r="BJ140" s="230">
        <v>1390</v>
      </c>
      <c r="BK140" s="228">
        <v>-109</v>
      </c>
      <c r="BL140" s="229">
        <v>-7.8299999999999995E-2</v>
      </c>
      <c r="BM140" s="228">
        <v>651</v>
      </c>
      <c r="BN140" s="228">
        <v>605</v>
      </c>
      <c r="BO140" s="228">
        <v>46</v>
      </c>
      <c r="BP140" s="229">
        <v>7.6300000000000007E-2</v>
      </c>
      <c r="BQ140" s="230">
        <v>2517</v>
      </c>
      <c r="BR140" s="230">
        <v>2468</v>
      </c>
      <c r="BS140" s="228">
        <v>49</v>
      </c>
      <c r="BT140" s="229">
        <v>1.9800000000000002E-2</v>
      </c>
      <c r="BU140" s="230">
        <v>8584416</v>
      </c>
      <c r="BV140" s="230">
        <v>8242720</v>
      </c>
      <c r="BW140" s="230">
        <v>341696</v>
      </c>
      <c r="BX140" s="229">
        <v>4.1500000000000002E-2</v>
      </c>
      <c r="BY140" s="230">
        <v>2160</v>
      </c>
      <c r="BZ140" s="230">
        <v>2130</v>
      </c>
      <c r="CA140" s="228">
        <v>29</v>
      </c>
      <c r="CB140" s="229">
        <v>1.38E-2</v>
      </c>
      <c r="CC140" s="230">
        <v>2100</v>
      </c>
      <c r="CD140" s="230">
        <v>2078</v>
      </c>
      <c r="CE140" s="228">
        <v>22</v>
      </c>
      <c r="CF140" s="229">
        <v>1.0800000000000001E-2</v>
      </c>
      <c r="CG140" s="228">
        <v>52</v>
      </c>
      <c r="CH140" s="228">
        <v>46</v>
      </c>
      <c r="CI140" s="228">
        <v>6</v>
      </c>
      <c r="CJ140" s="229">
        <v>0.1231</v>
      </c>
      <c r="CK140" s="228">
        <v>8</v>
      </c>
      <c r="CL140" s="228">
        <v>7</v>
      </c>
      <c r="CM140" s="228">
        <v>1</v>
      </c>
      <c r="CN140" s="229">
        <v>0.186</v>
      </c>
      <c r="CO140" s="230">
        <v>1214</v>
      </c>
      <c r="CP140" s="230">
        <v>1165</v>
      </c>
      <c r="CQ140" s="228">
        <v>49</v>
      </c>
      <c r="CR140" s="229">
        <v>4.2200000000000001E-2</v>
      </c>
      <c r="CS140" s="228">
        <v>641</v>
      </c>
      <c r="CT140" s="228">
        <v>634</v>
      </c>
      <c r="CU140" s="228">
        <v>7</v>
      </c>
      <c r="CV140" s="229">
        <v>1.1599999999999999E-2</v>
      </c>
      <c r="CW140" s="230">
        <v>4015</v>
      </c>
      <c r="CX140" s="230">
        <v>3929</v>
      </c>
      <c r="CY140" s="228">
        <v>86</v>
      </c>
      <c r="CZ140" s="229">
        <v>2.18E-2</v>
      </c>
      <c r="DA140" s="228">
        <v>38.630000000000003</v>
      </c>
      <c r="DB140" s="228">
        <v>38.78</v>
      </c>
      <c r="DC140" s="228">
        <v>-0.15</v>
      </c>
      <c r="DD140" s="228">
        <v>-0.15</v>
      </c>
      <c r="DE140" s="228">
        <v>51.89</v>
      </c>
      <c r="DF140" s="228">
        <v>51.97</v>
      </c>
      <c r="DG140" s="228">
        <v>-13.26</v>
      </c>
      <c r="DH140" s="228">
        <v>-0.08</v>
      </c>
      <c r="DI140" s="228">
        <v>38.67</v>
      </c>
      <c r="DJ140" s="228">
        <v>38.57</v>
      </c>
      <c r="DK140" s="228">
        <v>0.1</v>
      </c>
      <c r="DL140" s="228">
        <v>0.1</v>
      </c>
      <c r="DM140" s="228">
        <v>38.54</v>
      </c>
      <c r="DN140" s="228">
        <v>39.270000000000003</v>
      </c>
      <c r="DO140" s="228">
        <v>-0.73</v>
      </c>
      <c r="DP140" s="228">
        <v>-0.73</v>
      </c>
      <c r="DQ140" s="228">
        <v>0.53</v>
      </c>
      <c r="DR140" s="228">
        <v>0.54</v>
      </c>
      <c r="DS140" s="228">
        <v>-0.01</v>
      </c>
      <c r="DT140" s="229">
        <v>-1.8499999999999999E-2</v>
      </c>
      <c r="DU140" s="228">
        <v>450</v>
      </c>
      <c r="DV140" s="228">
        <v>400</v>
      </c>
      <c r="DW140" s="228">
        <v>0.51</v>
      </c>
      <c r="DX140" s="228">
        <v>0.44</v>
      </c>
      <c r="DY140" s="228">
        <v>7.0000000000000007E-2</v>
      </c>
      <c r="DZ140" s="229">
        <v>0.15909999999999999</v>
      </c>
      <c r="EA140" s="229">
        <v>2.75E-2</v>
      </c>
      <c r="EB140" s="230">
        <v>1288125</v>
      </c>
      <c r="EC140" s="229">
        <v>4.4999999999999997E-3</v>
      </c>
      <c r="ED140" s="229">
        <v>2.75E-2</v>
      </c>
      <c r="EE140" s="228">
        <v>0.83</v>
      </c>
      <c r="EF140" s="229">
        <v>2E-3</v>
      </c>
      <c r="EG140" s="230">
        <v>3166164</v>
      </c>
      <c r="EH140" s="230">
        <v>2925192</v>
      </c>
      <c r="EI140" s="229">
        <v>8.2400000000000001E-2</v>
      </c>
      <c r="EJ140" s="229">
        <v>0.36880000000000002</v>
      </c>
      <c r="EK140" s="231">
        <v>1390.66</v>
      </c>
      <c r="EL140" s="228">
        <v>653.32000000000005</v>
      </c>
      <c r="EM140" s="228">
        <v>592.59</v>
      </c>
      <c r="EN140" s="228">
        <v>102.28</v>
      </c>
      <c r="EO140" s="231">
        <v>2636.56</v>
      </c>
      <c r="EP140" s="231">
        <v>2591.33</v>
      </c>
      <c r="EQ140" s="228">
        <v>45.23</v>
      </c>
      <c r="ER140" s="229">
        <v>1.7500000000000002E-2</v>
      </c>
      <c r="ES140" s="231">
        <v>1326.38</v>
      </c>
      <c r="ET140" s="228">
        <v>639.51</v>
      </c>
      <c r="EU140" s="231">
        <v>2159.88</v>
      </c>
      <c r="EV140" s="231">
        <v>134225816</v>
      </c>
      <c r="EW140" s="231">
        <v>4125.76</v>
      </c>
      <c r="EX140" s="231">
        <v>4075.1</v>
      </c>
      <c r="EY140" s="228">
        <v>50.66</v>
      </c>
      <c r="EZ140" s="229">
        <v>1.24E-2</v>
      </c>
      <c r="FA140" s="229">
        <v>0.73499999999999999</v>
      </c>
      <c r="FB140" s="227" t="s">
        <v>566</v>
      </c>
      <c r="FC140">
        <f t="shared" si="2"/>
        <v>60</v>
      </c>
    </row>
    <row r="141" spans="1:159" ht="17.25" thickBot="1" x14ac:dyDescent="0.3">
      <c r="A141" s="226">
        <v>46148</v>
      </c>
      <c r="B141" s="227" t="s">
        <v>614</v>
      </c>
      <c r="C141" s="227" t="s">
        <v>264</v>
      </c>
      <c r="D141" s="228">
        <v>375</v>
      </c>
      <c r="E141" s="228">
        <v>20</v>
      </c>
      <c r="F141" s="228">
        <v>988.7</v>
      </c>
      <c r="G141" s="228">
        <v>969.4</v>
      </c>
      <c r="H141" s="228">
        <v>19.3</v>
      </c>
      <c r="I141" s="229">
        <v>1.9900000000000001E-2</v>
      </c>
      <c r="J141" s="228">
        <v>981.4</v>
      </c>
      <c r="K141" s="228">
        <v>963.95</v>
      </c>
      <c r="L141" s="228">
        <v>17.45</v>
      </c>
      <c r="M141" s="229">
        <v>1.8100000000000002E-2</v>
      </c>
      <c r="N141" s="228">
        <v>988.7</v>
      </c>
      <c r="O141" s="228">
        <v>969.4</v>
      </c>
      <c r="P141" s="228">
        <v>19.3</v>
      </c>
      <c r="Q141" s="229">
        <v>1.9900000000000001E-2</v>
      </c>
      <c r="R141" s="228">
        <v>995.7</v>
      </c>
      <c r="S141" s="228">
        <v>974.45</v>
      </c>
      <c r="T141" s="228">
        <v>21.25</v>
      </c>
      <c r="U141" s="229">
        <v>2.18E-2</v>
      </c>
      <c r="V141" s="228">
        <v>996</v>
      </c>
      <c r="W141" s="228">
        <v>978</v>
      </c>
      <c r="X141" s="228">
        <v>18</v>
      </c>
      <c r="Y141" s="229">
        <v>1.84E-2</v>
      </c>
      <c r="Z141" s="228">
        <v>7.3</v>
      </c>
      <c r="AA141" s="228">
        <v>5.45</v>
      </c>
      <c r="AB141" s="228">
        <v>1.85</v>
      </c>
      <c r="AC141" s="229">
        <v>7.4000000000000003E-3</v>
      </c>
      <c r="AD141" s="228">
        <v>7.3</v>
      </c>
      <c r="AE141" s="228">
        <v>5.45</v>
      </c>
      <c r="AF141" s="228">
        <v>1.85</v>
      </c>
      <c r="AG141" s="229">
        <v>7.4000000000000003E-3</v>
      </c>
      <c r="AH141" s="228">
        <v>14.3</v>
      </c>
      <c r="AI141" s="228">
        <v>10.5</v>
      </c>
      <c r="AJ141" s="228">
        <v>3.8</v>
      </c>
      <c r="AK141" s="229">
        <v>1.46E-2</v>
      </c>
      <c r="AL141" s="228">
        <v>14.6</v>
      </c>
      <c r="AM141" s="228">
        <v>14.05</v>
      </c>
      <c r="AN141" s="228">
        <v>0.55000000000000004</v>
      </c>
      <c r="AO141" s="229">
        <v>1.49E-2</v>
      </c>
      <c r="AP141" s="228">
        <v>982.89</v>
      </c>
      <c r="AQ141" s="228">
        <v>988.13</v>
      </c>
      <c r="AR141" s="228">
        <v>0</v>
      </c>
      <c r="AS141" s="228">
        <v>188</v>
      </c>
      <c r="AT141" s="228">
        <v>128</v>
      </c>
      <c r="AU141" s="228">
        <v>60</v>
      </c>
      <c r="AV141" s="229">
        <v>0.4723</v>
      </c>
      <c r="AW141" s="228">
        <v>181</v>
      </c>
      <c r="AX141" s="228">
        <v>125</v>
      </c>
      <c r="AY141" s="228">
        <v>56</v>
      </c>
      <c r="AZ141" s="229">
        <v>0.44519999999999998</v>
      </c>
      <c r="BA141" s="228">
        <v>7</v>
      </c>
      <c r="BB141" s="228">
        <v>2</v>
      </c>
      <c r="BC141" s="228">
        <v>4</v>
      </c>
      <c r="BD141" s="229">
        <v>1.7656000000000001</v>
      </c>
      <c r="BE141" s="228">
        <v>0</v>
      </c>
      <c r="BF141" s="228">
        <v>0</v>
      </c>
      <c r="BG141" s="228">
        <v>0</v>
      </c>
      <c r="BH141" s="229">
        <v>3.3332999999999999</v>
      </c>
      <c r="BI141" s="228">
        <v>229</v>
      </c>
      <c r="BJ141" s="228">
        <v>224</v>
      </c>
      <c r="BK141" s="228">
        <v>5</v>
      </c>
      <c r="BL141" s="229">
        <v>2.1700000000000001E-2</v>
      </c>
      <c r="BM141" s="228">
        <v>77</v>
      </c>
      <c r="BN141" s="228">
        <v>83</v>
      </c>
      <c r="BO141" s="228">
        <v>-6</v>
      </c>
      <c r="BP141" s="229">
        <v>-7.6399999999999996E-2</v>
      </c>
      <c r="BQ141" s="228">
        <v>494</v>
      </c>
      <c r="BR141" s="228">
        <v>435</v>
      </c>
      <c r="BS141" s="228">
        <v>59</v>
      </c>
      <c r="BT141" s="229">
        <v>0.13500000000000001</v>
      </c>
      <c r="BU141" s="230">
        <v>2326500</v>
      </c>
      <c r="BV141" s="230">
        <v>1366818</v>
      </c>
      <c r="BW141" s="230">
        <v>959682</v>
      </c>
      <c r="BX141" s="229">
        <v>0.70209999999999995</v>
      </c>
      <c r="BY141" s="230">
        <v>1095</v>
      </c>
      <c r="BZ141" s="230">
        <v>1045</v>
      </c>
      <c r="CA141" s="228">
        <v>50</v>
      </c>
      <c r="CB141" s="229">
        <v>4.8000000000000001E-2</v>
      </c>
      <c r="CC141" s="230">
        <v>1080</v>
      </c>
      <c r="CD141" s="230">
        <v>1031</v>
      </c>
      <c r="CE141" s="228">
        <v>48</v>
      </c>
      <c r="CF141" s="229">
        <v>4.6699999999999998E-2</v>
      </c>
      <c r="CG141" s="228">
        <v>14</v>
      </c>
      <c r="CH141" s="228">
        <v>13</v>
      </c>
      <c r="CI141" s="228">
        <v>2</v>
      </c>
      <c r="CJ141" s="229">
        <v>0.1206</v>
      </c>
      <c r="CK141" s="228">
        <v>1</v>
      </c>
      <c r="CL141" s="228">
        <v>1</v>
      </c>
      <c r="CM141" s="228">
        <v>0</v>
      </c>
      <c r="CN141" s="229">
        <v>0.47060000000000002</v>
      </c>
      <c r="CO141" s="228">
        <v>281</v>
      </c>
      <c r="CP141" s="228">
        <v>258</v>
      </c>
      <c r="CQ141" s="228">
        <v>23</v>
      </c>
      <c r="CR141" s="229">
        <v>8.7400000000000005E-2</v>
      </c>
      <c r="CS141" s="228">
        <v>98</v>
      </c>
      <c r="CT141" s="228">
        <v>99</v>
      </c>
      <c r="CU141" s="228">
        <v>-1</v>
      </c>
      <c r="CV141" s="229">
        <v>-1.4999999999999999E-2</v>
      </c>
      <c r="CW141" s="230">
        <v>1474</v>
      </c>
      <c r="CX141" s="230">
        <v>1402</v>
      </c>
      <c r="CY141" s="228">
        <v>71</v>
      </c>
      <c r="CZ141" s="229">
        <v>5.0799999999999998E-2</v>
      </c>
      <c r="DA141" s="228">
        <v>33.99</v>
      </c>
      <c r="DB141" s="228">
        <v>34.520000000000003</v>
      </c>
      <c r="DC141" s="228">
        <v>-0.53</v>
      </c>
      <c r="DD141" s="228">
        <v>-0.53</v>
      </c>
      <c r="DE141" s="228">
        <v>36.56</v>
      </c>
      <c r="DF141" s="228">
        <v>36.56</v>
      </c>
      <c r="DG141" s="228">
        <v>-2.57</v>
      </c>
      <c r="DH141" s="228">
        <v>0</v>
      </c>
      <c r="DI141" s="228">
        <v>33.64</v>
      </c>
      <c r="DJ141" s="228">
        <v>34.39</v>
      </c>
      <c r="DK141" s="228">
        <v>-0.75</v>
      </c>
      <c r="DL141" s="228">
        <v>-0.75</v>
      </c>
      <c r="DM141" s="228">
        <v>35.049999999999997</v>
      </c>
      <c r="DN141" s="228">
        <v>34.89</v>
      </c>
      <c r="DO141" s="228">
        <v>0.16</v>
      </c>
      <c r="DP141" s="228">
        <v>0.16</v>
      </c>
      <c r="DQ141" s="228">
        <v>0.35</v>
      </c>
      <c r="DR141" s="228">
        <v>0.38</v>
      </c>
      <c r="DS141" s="228">
        <v>-0.03</v>
      </c>
      <c r="DT141" s="229">
        <v>-7.8899999999999998E-2</v>
      </c>
      <c r="DU141" s="231">
        <v>1000</v>
      </c>
      <c r="DV141" s="228">
        <v>900</v>
      </c>
      <c r="DW141" s="228">
        <v>0.34</v>
      </c>
      <c r="DX141" s="228">
        <v>0.37</v>
      </c>
      <c r="DY141" s="228">
        <v>-0.03</v>
      </c>
      <c r="DZ141" s="229">
        <v>-8.1100000000000005E-2</v>
      </c>
      <c r="EA141" s="229">
        <v>1.41E-2</v>
      </c>
      <c r="EB141" s="230">
        <v>136850</v>
      </c>
      <c r="EC141" s="229">
        <v>7.1000000000000004E-3</v>
      </c>
      <c r="ED141" s="229">
        <v>1.41E-2</v>
      </c>
      <c r="EE141" s="228">
        <v>5.24</v>
      </c>
      <c r="EF141" s="229">
        <v>5.3E-3</v>
      </c>
      <c r="EG141" s="230">
        <v>1601517</v>
      </c>
      <c r="EH141" s="230">
        <v>909588</v>
      </c>
      <c r="EI141" s="229">
        <v>0.76070000000000004</v>
      </c>
      <c r="EJ141" s="229">
        <v>0.68840000000000001</v>
      </c>
      <c r="EK141" s="228">
        <v>242.01</v>
      </c>
      <c r="EL141" s="228">
        <v>76.48</v>
      </c>
      <c r="EM141" s="228">
        <v>187.1</v>
      </c>
      <c r="EN141" s="228">
        <v>38.29</v>
      </c>
      <c r="EO141" s="228">
        <v>505.59</v>
      </c>
      <c r="EP141" s="228">
        <v>449.38</v>
      </c>
      <c r="EQ141" s="228">
        <v>56.21</v>
      </c>
      <c r="ER141" s="229">
        <v>0.12509999999999999</v>
      </c>
      <c r="ES141" s="228">
        <v>297.77999999999997</v>
      </c>
      <c r="ET141" s="228">
        <v>95</v>
      </c>
      <c r="EU141" s="231">
        <v>1095.1400000000001</v>
      </c>
      <c r="EV141" s="231">
        <v>60562281</v>
      </c>
      <c r="EW141" s="231">
        <v>1487.93</v>
      </c>
      <c r="EX141" s="231">
        <v>1394.27</v>
      </c>
      <c r="EY141" s="228">
        <v>93.66</v>
      </c>
      <c r="EZ141" s="229">
        <v>6.7199999999999996E-2</v>
      </c>
      <c r="FA141" s="229">
        <v>0.24610000000000001</v>
      </c>
      <c r="FB141" s="227" t="s">
        <v>555</v>
      </c>
      <c r="FC141">
        <f t="shared" si="2"/>
        <v>15</v>
      </c>
    </row>
    <row r="142" spans="1:159" ht="17.25" thickBot="1" x14ac:dyDescent="0.3">
      <c r="A142" s="226">
        <v>46148</v>
      </c>
      <c r="B142" s="227" t="s">
        <v>206</v>
      </c>
      <c r="C142" s="227" t="s">
        <v>550</v>
      </c>
      <c r="D142" s="228">
        <v>6500</v>
      </c>
      <c r="E142" s="228">
        <v>20</v>
      </c>
      <c r="F142" s="228">
        <v>95.59</v>
      </c>
      <c r="G142" s="228">
        <v>93.18</v>
      </c>
      <c r="H142" s="228">
        <v>2.41</v>
      </c>
      <c r="I142" s="229">
        <v>2.5899999999999999E-2</v>
      </c>
      <c r="J142" s="228">
        <v>94.94</v>
      </c>
      <c r="K142" s="228">
        <v>92.92</v>
      </c>
      <c r="L142" s="228">
        <v>2.02</v>
      </c>
      <c r="M142" s="229">
        <v>2.1700000000000001E-2</v>
      </c>
      <c r="N142" s="228">
        <v>95.59</v>
      </c>
      <c r="O142" s="228">
        <v>93.18</v>
      </c>
      <c r="P142" s="228">
        <v>2.41</v>
      </c>
      <c r="Q142" s="229">
        <v>2.5899999999999999E-2</v>
      </c>
      <c r="R142" s="228">
        <v>96.19</v>
      </c>
      <c r="S142" s="228">
        <v>93.69</v>
      </c>
      <c r="T142" s="228">
        <v>2.5</v>
      </c>
      <c r="U142" s="229">
        <v>2.6700000000000002E-2</v>
      </c>
      <c r="V142" s="228">
        <v>96.8</v>
      </c>
      <c r="W142" s="228">
        <v>95</v>
      </c>
      <c r="X142" s="228">
        <v>1.8</v>
      </c>
      <c r="Y142" s="229">
        <v>1.89E-2</v>
      </c>
      <c r="Z142" s="228">
        <v>0.65</v>
      </c>
      <c r="AA142" s="228">
        <v>0.26</v>
      </c>
      <c r="AB142" s="228">
        <v>0.39</v>
      </c>
      <c r="AC142" s="229">
        <v>6.7999999999999996E-3</v>
      </c>
      <c r="AD142" s="228">
        <v>0.65</v>
      </c>
      <c r="AE142" s="228">
        <v>0.26</v>
      </c>
      <c r="AF142" s="228">
        <v>0.39</v>
      </c>
      <c r="AG142" s="229">
        <v>6.7999999999999996E-3</v>
      </c>
      <c r="AH142" s="228">
        <v>1.25</v>
      </c>
      <c r="AI142" s="228">
        <v>0.77</v>
      </c>
      <c r="AJ142" s="228">
        <v>0.48</v>
      </c>
      <c r="AK142" s="229">
        <v>1.32E-2</v>
      </c>
      <c r="AL142" s="228">
        <v>1.86</v>
      </c>
      <c r="AM142" s="228">
        <v>2.08</v>
      </c>
      <c r="AN142" s="228">
        <v>-0.22</v>
      </c>
      <c r="AO142" s="229">
        <v>1.9599999999999999E-2</v>
      </c>
      <c r="AP142" s="228">
        <v>95.45</v>
      </c>
      <c r="AQ142" s="228">
        <v>95.99</v>
      </c>
      <c r="AR142" s="228">
        <v>0</v>
      </c>
      <c r="AS142" s="228">
        <v>161</v>
      </c>
      <c r="AT142" s="228">
        <v>41</v>
      </c>
      <c r="AU142" s="228">
        <v>120</v>
      </c>
      <c r="AV142" s="229">
        <v>2.8963999999999999</v>
      </c>
      <c r="AW142" s="228">
        <v>154</v>
      </c>
      <c r="AX142" s="228">
        <v>39</v>
      </c>
      <c r="AY142" s="228">
        <v>115</v>
      </c>
      <c r="AZ142" s="229">
        <v>2.9599000000000002</v>
      </c>
      <c r="BA142" s="228">
        <v>7</v>
      </c>
      <c r="BB142" s="228">
        <v>3</v>
      </c>
      <c r="BC142" s="228">
        <v>4</v>
      </c>
      <c r="BD142" s="229">
        <v>1.7142999999999999</v>
      </c>
      <c r="BE142" s="228">
        <v>1</v>
      </c>
      <c r="BF142" s="228">
        <v>0</v>
      </c>
      <c r="BG142" s="228">
        <v>1</v>
      </c>
      <c r="BH142" s="229">
        <v>0</v>
      </c>
      <c r="BI142" s="228">
        <v>280</v>
      </c>
      <c r="BJ142" s="228">
        <v>66</v>
      </c>
      <c r="BK142" s="228">
        <v>215</v>
      </c>
      <c r="BL142" s="229">
        <v>3.2574999999999998</v>
      </c>
      <c r="BM142" s="228">
        <v>100</v>
      </c>
      <c r="BN142" s="228">
        <v>33</v>
      </c>
      <c r="BO142" s="228">
        <v>66</v>
      </c>
      <c r="BP142" s="229">
        <v>1.9777</v>
      </c>
      <c r="BQ142" s="228">
        <v>541</v>
      </c>
      <c r="BR142" s="228">
        <v>141</v>
      </c>
      <c r="BS142" s="228">
        <v>401</v>
      </c>
      <c r="BT142" s="229">
        <v>2.8468</v>
      </c>
      <c r="BU142" s="230">
        <v>13964761</v>
      </c>
      <c r="BV142" s="230">
        <v>6407083</v>
      </c>
      <c r="BW142" s="230">
        <v>7557678</v>
      </c>
      <c r="BX142" s="229">
        <v>1.1796</v>
      </c>
      <c r="BY142" s="228">
        <v>730</v>
      </c>
      <c r="BZ142" s="228">
        <v>704</v>
      </c>
      <c r="CA142" s="228">
        <v>27</v>
      </c>
      <c r="CB142" s="229">
        <v>3.78E-2</v>
      </c>
      <c r="CC142" s="228">
        <v>712</v>
      </c>
      <c r="CD142" s="228">
        <v>687</v>
      </c>
      <c r="CE142" s="228">
        <v>25</v>
      </c>
      <c r="CF142" s="229">
        <v>3.6400000000000002E-2</v>
      </c>
      <c r="CG142" s="228">
        <v>18</v>
      </c>
      <c r="CH142" s="228">
        <v>16</v>
      </c>
      <c r="CI142" s="228">
        <v>1</v>
      </c>
      <c r="CJ142" s="229">
        <v>7.6300000000000007E-2</v>
      </c>
      <c r="CK142" s="228">
        <v>1</v>
      </c>
      <c r="CL142" s="228">
        <v>1</v>
      </c>
      <c r="CM142" s="228">
        <v>0</v>
      </c>
      <c r="CN142" s="229">
        <v>0.55559999999999998</v>
      </c>
      <c r="CO142" s="228">
        <v>157</v>
      </c>
      <c r="CP142" s="228">
        <v>146</v>
      </c>
      <c r="CQ142" s="228">
        <v>12</v>
      </c>
      <c r="CR142" s="229">
        <v>8.0699999999999994E-2</v>
      </c>
      <c r="CS142" s="228">
        <v>124</v>
      </c>
      <c r="CT142" s="228">
        <v>106</v>
      </c>
      <c r="CU142" s="228">
        <v>17</v>
      </c>
      <c r="CV142" s="229">
        <v>0.1623</v>
      </c>
      <c r="CW142" s="230">
        <v>1011</v>
      </c>
      <c r="CX142" s="228">
        <v>956</v>
      </c>
      <c r="CY142" s="228">
        <v>56</v>
      </c>
      <c r="CZ142" s="229">
        <v>5.8200000000000002E-2</v>
      </c>
      <c r="DA142" s="228">
        <v>39.700000000000003</v>
      </c>
      <c r="DB142" s="228">
        <v>40.31</v>
      </c>
      <c r="DC142" s="228">
        <v>-0.61</v>
      </c>
      <c r="DD142" s="228">
        <v>-0.61</v>
      </c>
      <c r="DE142" s="228">
        <v>50.7</v>
      </c>
      <c r="DF142" s="228">
        <v>50.71</v>
      </c>
      <c r="DG142" s="228">
        <v>-11</v>
      </c>
      <c r="DH142" s="228">
        <v>-0.01</v>
      </c>
      <c r="DI142" s="228">
        <v>39.72</v>
      </c>
      <c r="DJ142" s="228">
        <v>40.229999999999997</v>
      </c>
      <c r="DK142" s="228">
        <v>-0.51</v>
      </c>
      <c r="DL142" s="228">
        <v>-0.51</v>
      </c>
      <c r="DM142" s="228">
        <v>39.64</v>
      </c>
      <c r="DN142" s="228">
        <v>40.450000000000003</v>
      </c>
      <c r="DO142" s="228">
        <v>-0.81</v>
      </c>
      <c r="DP142" s="228">
        <v>-0.81</v>
      </c>
      <c r="DQ142" s="228">
        <v>0.79</v>
      </c>
      <c r="DR142" s="228">
        <v>0.73</v>
      </c>
      <c r="DS142" s="228">
        <v>0.06</v>
      </c>
      <c r="DT142" s="229">
        <v>8.2199999999999995E-2</v>
      </c>
      <c r="DU142" s="228">
        <v>100</v>
      </c>
      <c r="DV142" s="228">
        <v>90</v>
      </c>
      <c r="DW142" s="228">
        <v>0.36</v>
      </c>
      <c r="DX142" s="228">
        <v>0.51</v>
      </c>
      <c r="DY142" s="228">
        <v>-0.15</v>
      </c>
      <c r="DZ142" s="229">
        <v>-0.29409999999999997</v>
      </c>
      <c r="EA142" s="229">
        <v>2.52E-2</v>
      </c>
      <c r="EB142" s="230">
        <v>1761500</v>
      </c>
      <c r="EC142" s="229">
        <v>6.3E-3</v>
      </c>
      <c r="ED142" s="229">
        <v>2.52E-2</v>
      </c>
      <c r="EE142" s="228">
        <v>0.54</v>
      </c>
      <c r="EF142" s="229">
        <v>5.7000000000000002E-3</v>
      </c>
      <c r="EG142" s="230">
        <v>3562377</v>
      </c>
      <c r="EH142" s="230">
        <v>1581461</v>
      </c>
      <c r="EI142" s="229">
        <v>1.2525999999999999</v>
      </c>
      <c r="EJ142" s="229">
        <v>0.25509999999999999</v>
      </c>
      <c r="EK142" s="228">
        <v>297.04000000000002</v>
      </c>
      <c r="EL142" s="228">
        <v>96.79</v>
      </c>
      <c r="EM142" s="228">
        <v>161.05000000000001</v>
      </c>
      <c r="EN142" s="228">
        <v>10.53</v>
      </c>
      <c r="EO142" s="228">
        <v>554.88</v>
      </c>
      <c r="EP142" s="228">
        <v>139.51</v>
      </c>
      <c r="EQ142" s="228">
        <v>415.37</v>
      </c>
      <c r="ER142" s="229">
        <v>2.9771999999999998</v>
      </c>
      <c r="ES142" s="228">
        <v>161.43</v>
      </c>
      <c r="ET142" s="228">
        <v>119.68</v>
      </c>
      <c r="EU142" s="228">
        <v>730.56</v>
      </c>
      <c r="EV142" s="231">
        <v>154894704</v>
      </c>
      <c r="EW142" s="231">
        <v>1011.67</v>
      </c>
      <c r="EX142" s="228">
        <v>937.62</v>
      </c>
      <c r="EY142" s="228">
        <v>74.05</v>
      </c>
      <c r="EZ142" s="229">
        <v>7.9000000000000001E-2</v>
      </c>
      <c r="FA142" s="229">
        <v>0.68310000000000004</v>
      </c>
      <c r="FB142" s="227" t="s">
        <v>555</v>
      </c>
      <c r="FC142">
        <f t="shared" si="2"/>
        <v>18</v>
      </c>
    </row>
    <row r="143" spans="1:159" ht="17.25" thickBot="1" x14ac:dyDescent="0.3">
      <c r="A143" s="226">
        <v>46148</v>
      </c>
      <c r="B143" s="227" t="s">
        <v>168</v>
      </c>
      <c r="C143" s="227" t="s">
        <v>265</v>
      </c>
      <c r="D143" s="228">
        <v>500</v>
      </c>
      <c r="E143" s="228">
        <v>20</v>
      </c>
      <c r="F143" s="231">
        <v>1490.7</v>
      </c>
      <c r="G143" s="231">
        <v>1479.8</v>
      </c>
      <c r="H143" s="228">
        <v>10.9</v>
      </c>
      <c r="I143" s="229">
        <v>7.4000000000000003E-3</v>
      </c>
      <c r="J143" s="231">
        <v>1486.1</v>
      </c>
      <c r="K143" s="231">
        <v>1477.8</v>
      </c>
      <c r="L143" s="228">
        <v>8.3000000000000007</v>
      </c>
      <c r="M143" s="229">
        <v>5.5999999999999999E-3</v>
      </c>
      <c r="N143" s="231">
        <v>1490.7</v>
      </c>
      <c r="O143" s="231">
        <v>1479.8</v>
      </c>
      <c r="P143" s="228">
        <v>10.9</v>
      </c>
      <c r="Q143" s="229">
        <v>7.4000000000000003E-3</v>
      </c>
      <c r="R143" s="231">
        <v>1499.1</v>
      </c>
      <c r="S143" s="231">
        <v>1488.7</v>
      </c>
      <c r="T143" s="228">
        <v>10.4</v>
      </c>
      <c r="U143" s="229">
        <v>7.0000000000000001E-3</v>
      </c>
      <c r="V143" s="231">
        <v>1503.8</v>
      </c>
      <c r="W143" s="231">
        <v>1492.9</v>
      </c>
      <c r="X143" s="228">
        <v>10.9</v>
      </c>
      <c r="Y143" s="229">
        <v>7.3000000000000001E-3</v>
      </c>
      <c r="Z143" s="228">
        <v>4.5999999999999996</v>
      </c>
      <c r="AA143" s="228">
        <v>2</v>
      </c>
      <c r="AB143" s="228">
        <v>2.6</v>
      </c>
      <c r="AC143" s="229">
        <v>3.0999999999999999E-3</v>
      </c>
      <c r="AD143" s="228">
        <v>4.5999999999999996</v>
      </c>
      <c r="AE143" s="228">
        <v>2</v>
      </c>
      <c r="AF143" s="228">
        <v>2.6</v>
      </c>
      <c r="AG143" s="229">
        <v>3.0999999999999999E-3</v>
      </c>
      <c r="AH143" s="228">
        <v>13</v>
      </c>
      <c r="AI143" s="228">
        <v>10.9</v>
      </c>
      <c r="AJ143" s="228">
        <v>2.1</v>
      </c>
      <c r="AK143" s="229">
        <v>8.6999999999999994E-3</v>
      </c>
      <c r="AL143" s="228">
        <v>17.7</v>
      </c>
      <c r="AM143" s="228">
        <v>15.1</v>
      </c>
      <c r="AN143" s="228">
        <v>2.6</v>
      </c>
      <c r="AO143" s="229">
        <v>1.1900000000000001E-2</v>
      </c>
      <c r="AP143" s="231">
        <v>1484.3</v>
      </c>
      <c r="AQ143" s="231">
        <v>1492.74</v>
      </c>
      <c r="AR143" s="228">
        <v>0</v>
      </c>
      <c r="AS143" s="228">
        <v>335</v>
      </c>
      <c r="AT143" s="228">
        <v>340</v>
      </c>
      <c r="AU143" s="228">
        <v>-4</v>
      </c>
      <c r="AV143" s="229">
        <v>-1.32E-2</v>
      </c>
      <c r="AW143" s="228">
        <v>311</v>
      </c>
      <c r="AX143" s="228">
        <v>327</v>
      </c>
      <c r="AY143" s="228">
        <v>-15</v>
      </c>
      <c r="AZ143" s="229">
        <v>-4.7199999999999999E-2</v>
      </c>
      <c r="BA143" s="228">
        <v>12</v>
      </c>
      <c r="BB143" s="228">
        <v>12</v>
      </c>
      <c r="BC143" s="228">
        <v>0</v>
      </c>
      <c r="BD143" s="229">
        <v>-3.73E-2</v>
      </c>
      <c r="BE143" s="228">
        <v>13</v>
      </c>
      <c r="BF143" s="228">
        <v>1</v>
      </c>
      <c r="BG143" s="228">
        <v>11</v>
      </c>
      <c r="BH143" s="229">
        <v>9</v>
      </c>
      <c r="BI143" s="228">
        <v>739</v>
      </c>
      <c r="BJ143" s="228">
        <v>702</v>
      </c>
      <c r="BK143" s="228">
        <v>36</v>
      </c>
      <c r="BL143" s="229">
        <v>5.1499999999999997E-2</v>
      </c>
      <c r="BM143" s="228">
        <v>701</v>
      </c>
      <c r="BN143" s="228">
        <v>491</v>
      </c>
      <c r="BO143" s="228">
        <v>210</v>
      </c>
      <c r="BP143" s="229">
        <v>0.42649999999999999</v>
      </c>
      <c r="BQ143" s="230">
        <v>1775</v>
      </c>
      <c r="BR143" s="230">
        <v>1533</v>
      </c>
      <c r="BS143" s="228">
        <v>241</v>
      </c>
      <c r="BT143" s="229">
        <v>0.1573</v>
      </c>
      <c r="BU143" s="230">
        <v>2300779</v>
      </c>
      <c r="BV143" s="230">
        <v>2630637</v>
      </c>
      <c r="BW143" s="230">
        <v>-329858</v>
      </c>
      <c r="BX143" s="229">
        <v>-0.12540000000000001</v>
      </c>
      <c r="BY143" s="230">
        <v>2157</v>
      </c>
      <c r="BZ143" s="230">
        <v>2147</v>
      </c>
      <c r="CA143" s="228">
        <v>10</v>
      </c>
      <c r="CB143" s="229">
        <v>4.5999999999999999E-3</v>
      </c>
      <c r="CC143" s="230">
        <v>1982</v>
      </c>
      <c r="CD143" s="230">
        <v>1985</v>
      </c>
      <c r="CE143" s="228">
        <v>-3</v>
      </c>
      <c r="CF143" s="229">
        <v>-1.5E-3</v>
      </c>
      <c r="CG143" s="228">
        <v>162</v>
      </c>
      <c r="CH143" s="228">
        <v>160</v>
      </c>
      <c r="CI143" s="228">
        <v>3</v>
      </c>
      <c r="CJ143" s="229">
        <v>1.5800000000000002E-2</v>
      </c>
      <c r="CK143" s="228">
        <v>12</v>
      </c>
      <c r="CL143" s="228">
        <v>2</v>
      </c>
      <c r="CM143" s="228">
        <v>10</v>
      </c>
      <c r="CN143" s="229">
        <v>4.7586000000000004</v>
      </c>
      <c r="CO143" s="228">
        <v>629</v>
      </c>
      <c r="CP143" s="228">
        <v>598</v>
      </c>
      <c r="CQ143" s="228">
        <v>31</v>
      </c>
      <c r="CR143" s="229">
        <v>5.11E-2</v>
      </c>
      <c r="CS143" s="228">
        <v>678</v>
      </c>
      <c r="CT143" s="228">
        <v>558</v>
      </c>
      <c r="CU143" s="228">
        <v>120</v>
      </c>
      <c r="CV143" s="229">
        <v>0.216</v>
      </c>
      <c r="CW143" s="230">
        <v>3464</v>
      </c>
      <c r="CX143" s="230">
        <v>3303</v>
      </c>
      <c r="CY143" s="228">
        <v>161</v>
      </c>
      <c r="CZ143" s="229">
        <v>4.87E-2</v>
      </c>
      <c r="DA143" s="228">
        <v>22.25</v>
      </c>
      <c r="DB143" s="228">
        <v>22.43</v>
      </c>
      <c r="DC143" s="228">
        <v>-0.18</v>
      </c>
      <c r="DD143" s="228">
        <v>-0.18</v>
      </c>
      <c r="DE143" s="228">
        <v>25.07</v>
      </c>
      <c r="DF143" s="228">
        <v>25.13</v>
      </c>
      <c r="DG143" s="228">
        <v>-2.82</v>
      </c>
      <c r="DH143" s="228">
        <v>-0.06</v>
      </c>
      <c r="DI143" s="228">
        <v>20.420000000000002</v>
      </c>
      <c r="DJ143" s="228">
        <v>21.48</v>
      </c>
      <c r="DK143" s="228">
        <v>-1.06</v>
      </c>
      <c r="DL143" s="228">
        <v>-1.06</v>
      </c>
      <c r="DM143" s="228">
        <v>24.17</v>
      </c>
      <c r="DN143" s="228">
        <v>23.8</v>
      </c>
      <c r="DO143" s="228">
        <v>0.37</v>
      </c>
      <c r="DP143" s="228">
        <v>0.37</v>
      </c>
      <c r="DQ143" s="228">
        <v>1.08</v>
      </c>
      <c r="DR143" s="228">
        <v>0.93</v>
      </c>
      <c r="DS143" s="228">
        <v>0.15</v>
      </c>
      <c r="DT143" s="229">
        <v>0.1613</v>
      </c>
      <c r="DU143" s="231">
        <v>1480</v>
      </c>
      <c r="DV143" s="231">
        <v>1400</v>
      </c>
      <c r="DW143" s="228">
        <v>0.95</v>
      </c>
      <c r="DX143" s="228">
        <v>0.7</v>
      </c>
      <c r="DY143" s="228">
        <v>0.25</v>
      </c>
      <c r="DZ143" s="229">
        <v>0.35709999999999997</v>
      </c>
      <c r="EA143" s="229">
        <v>8.1100000000000005E-2</v>
      </c>
      <c r="EB143" s="230">
        <v>1087500</v>
      </c>
      <c r="EC143" s="229">
        <v>5.5999999999999999E-3</v>
      </c>
      <c r="ED143" s="229">
        <v>8.1100000000000005E-2</v>
      </c>
      <c r="EE143" s="228">
        <v>8.44</v>
      </c>
      <c r="EF143" s="229">
        <v>5.7000000000000002E-3</v>
      </c>
      <c r="EG143" s="230">
        <v>1635787</v>
      </c>
      <c r="EH143" s="230">
        <v>1755470</v>
      </c>
      <c r="EI143" s="229">
        <v>-6.8199999999999997E-2</v>
      </c>
      <c r="EJ143" s="229">
        <v>0.71099999999999997</v>
      </c>
      <c r="EK143" s="228">
        <v>757.76</v>
      </c>
      <c r="EL143" s="228">
        <v>680.57</v>
      </c>
      <c r="EM143" s="228">
        <v>334.03</v>
      </c>
      <c r="EN143" s="228">
        <v>39.46</v>
      </c>
      <c r="EO143" s="231">
        <v>1772.36</v>
      </c>
      <c r="EP143" s="231">
        <v>1530.44</v>
      </c>
      <c r="EQ143" s="228">
        <v>241.92</v>
      </c>
      <c r="ER143" s="229">
        <v>0.15809999999999999</v>
      </c>
      <c r="ES143" s="228">
        <v>624.83000000000004</v>
      </c>
      <c r="ET143" s="228">
        <v>639.38</v>
      </c>
      <c r="EU143" s="231">
        <v>2158.0700000000002</v>
      </c>
      <c r="EV143" s="231">
        <v>71801274</v>
      </c>
      <c r="EW143" s="231">
        <v>3422.27</v>
      </c>
      <c r="EX143" s="231">
        <v>3247.14</v>
      </c>
      <c r="EY143" s="228">
        <v>175.13</v>
      </c>
      <c r="EZ143" s="229">
        <v>5.3900000000000003E-2</v>
      </c>
      <c r="FA143" s="229">
        <v>0.3236</v>
      </c>
      <c r="FB143" s="227" t="s">
        <v>555</v>
      </c>
      <c r="FC143">
        <f t="shared" si="2"/>
        <v>175</v>
      </c>
    </row>
    <row r="144" spans="1:159" ht="17.25" thickBot="1" x14ac:dyDescent="0.3">
      <c r="A144" s="226">
        <v>46148</v>
      </c>
      <c r="B144" s="227" t="s">
        <v>161</v>
      </c>
      <c r="C144" s="227" t="s">
        <v>584</v>
      </c>
      <c r="D144" s="228">
        <v>6400</v>
      </c>
      <c r="E144" s="228">
        <v>20</v>
      </c>
      <c r="F144" s="228">
        <v>83.06</v>
      </c>
      <c r="G144" s="228">
        <v>82.56</v>
      </c>
      <c r="H144" s="228">
        <v>0.5</v>
      </c>
      <c r="I144" s="229">
        <v>6.1000000000000004E-3</v>
      </c>
      <c r="J144" s="228">
        <v>83.66</v>
      </c>
      <c r="K144" s="228">
        <v>83.17</v>
      </c>
      <c r="L144" s="228">
        <v>0.49</v>
      </c>
      <c r="M144" s="229">
        <v>5.8999999999999999E-3</v>
      </c>
      <c r="N144" s="228">
        <v>83.06</v>
      </c>
      <c r="O144" s="228">
        <v>82.56</v>
      </c>
      <c r="P144" s="228">
        <v>0.5</v>
      </c>
      <c r="Q144" s="229">
        <v>6.1000000000000004E-3</v>
      </c>
      <c r="R144" s="228">
        <v>82.68</v>
      </c>
      <c r="S144" s="228">
        <v>82.04</v>
      </c>
      <c r="T144" s="228">
        <v>0.64</v>
      </c>
      <c r="U144" s="229">
        <v>7.7999999999999996E-3</v>
      </c>
      <c r="V144" s="228">
        <v>82.67</v>
      </c>
      <c r="W144" s="228">
        <v>82.15</v>
      </c>
      <c r="X144" s="228">
        <v>0.52</v>
      </c>
      <c r="Y144" s="229">
        <v>6.3E-3</v>
      </c>
      <c r="Z144" s="228">
        <v>-0.6</v>
      </c>
      <c r="AA144" s="228">
        <v>-0.61</v>
      </c>
      <c r="AB144" s="228">
        <v>0.01</v>
      </c>
      <c r="AC144" s="229">
        <v>-7.1999999999999998E-3</v>
      </c>
      <c r="AD144" s="228">
        <v>-0.6</v>
      </c>
      <c r="AE144" s="228">
        <v>-0.61</v>
      </c>
      <c r="AF144" s="228">
        <v>0.01</v>
      </c>
      <c r="AG144" s="229">
        <v>-7.1999999999999998E-3</v>
      </c>
      <c r="AH144" s="228">
        <v>-0.98</v>
      </c>
      <c r="AI144" s="228">
        <v>-1.1299999999999999</v>
      </c>
      <c r="AJ144" s="228">
        <v>0.15</v>
      </c>
      <c r="AK144" s="229">
        <v>-1.17E-2</v>
      </c>
      <c r="AL144" s="228">
        <v>-0.99</v>
      </c>
      <c r="AM144" s="228">
        <v>-1.02</v>
      </c>
      <c r="AN144" s="228">
        <v>0.03</v>
      </c>
      <c r="AO144" s="229">
        <v>-1.18E-2</v>
      </c>
      <c r="AP144" s="228">
        <v>82.7</v>
      </c>
      <c r="AQ144" s="228">
        <v>82.18</v>
      </c>
      <c r="AR144" s="228">
        <v>0</v>
      </c>
      <c r="AS144" s="228">
        <v>106</v>
      </c>
      <c r="AT144" s="228">
        <v>71</v>
      </c>
      <c r="AU144" s="228">
        <v>35</v>
      </c>
      <c r="AV144" s="229">
        <v>0.49370000000000003</v>
      </c>
      <c r="AW144" s="228">
        <v>95</v>
      </c>
      <c r="AX144" s="228">
        <v>62</v>
      </c>
      <c r="AY144" s="228">
        <v>33</v>
      </c>
      <c r="AZ144" s="229">
        <v>0.53259999999999996</v>
      </c>
      <c r="BA144" s="228">
        <v>10</v>
      </c>
      <c r="BB144" s="228">
        <v>8</v>
      </c>
      <c r="BC144" s="228">
        <v>2</v>
      </c>
      <c r="BD144" s="229">
        <v>0.23719999999999999</v>
      </c>
      <c r="BE144" s="228">
        <v>1</v>
      </c>
      <c r="BF144" s="228">
        <v>1</v>
      </c>
      <c r="BG144" s="228">
        <v>0</v>
      </c>
      <c r="BH144" s="229">
        <v>0.23810000000000001</v>
      </c>
      <c r="BI144" s="228">
        <v>273</v>
      </c>
      <c r="BJ144" s="228">
        <v>196</v>
      </c>
      <c r="BK144" s="228">
        <v>77</v>
      </c>
      <c r="BL144" s="229">
        <v>0.39290000000000003</v>
      </c>
      <c r="BM144" s="228">
        <v>68</v>
      </c>
      <c r="BN144" s="228">
        <v>59</v>
      </c>
      <c r="BO144" s="228">
        <v>9</v>
      </c>
      <c r="BP144" s="229">
        <v>0.15540000000000001</v>
      </c>
      <c r="BQ144" s="228">
        <v>448</v>
      </c>
      <c r="BR144" s="228">
        <v>326</v>
      </c>
      <c r="BS144" s="228">
        <v>121</v>
      </c>
      <c r="BT144" s="229">
        <v>0.37209999999999999</v>
      </c>
      <c r="BU144" s="230">
        <v>10269630</v>
      </c>
      <c r="BV144" s="230">
        <v>8610277</v>
      </c>
      <c r="BW144" s="230">
        <v>1659353</v>
      </c>
      <c r="BX144" s="229">
        <v>0.19270000000000001</v>
      </c>
      <c r="BY144" s="228">
        <v>858</v>
      </c>
      <c r="BZ144" s="228">
        <v>836</v>
      </c>
      <c r="CA144" s="228">
        <v>21</v>
      </c>
      <c r="CB144" s="229">
        <v>2.5499999999999998E-2</v>
      </c>
      <c r="CC144" s="228">
        <v>820</v>
      </c>
      <c r="CD144" s="228">
        <v>803</v>
      </c>
      <c r="CE144" s="228">
        <v>17</v>
      </c>
      <c r="CF144" s="229">
        <v>2.1600000000000001E-2</v>
      </c>
      <c r="CG144" s="228">
        <v>33</v>
      </c>
      <c r="CH144" s="228">
        <v>30</v>
      </c>
      <c r="CI144" s="228">
        <v>3</v>
      </c>
      <c r="CJ144" s="229">
        <v>9.4100000000000003E-2</v>
      </c>
      <c r="CK144" s="228">
        <v>5</v>
      </c>
      <c r="CL144" s="228">
        <v>3</v>
      </c>
      <c r="CM144" s="228">
        <v>1</v>
      </c>
      <c r="CN144" s="229">
        <v>0.33329999999999999</v>
      </c>
      <c r="CO144" s="228">
        <v>343</v>
      </c>
      <c r="CP144" s="228">
        <v>328</v>
      </c>
      <c r="CQ144" s="228">
        <v>15</v>
      </c>
      <c r="CR144" s="229">
        <v>4.5400000000000003E-2</v>
      </c>
      <c r="CS144" s="228">
        <v>199</v>
      </c>
      <c r="CT144" s="228">
        <v>187</v>
      </c>
      <c r="CU144" s="228">
        <v>12</v>
      </c>
      <c r="CV144" s="229">
        <v>6.4899999999999999E-2</v>
      </c>
      <c r="CW144" s="230">
        <v>1399</v>
      </c>
      <c r="CX144" s="230">
        <v>1351</v>
      </c>
      <c r="CY144" s="228">
        <v>48</v>
      </c>
      <c r="CZ144" s="229">
        <v>3.5799999999999998E-2</v>
      </c>
      <c r="DA144" s="228">
        <v>31.79</v>
      </c>
      <c r="DB144" s="228">
        <v>31.81</v>
      </c>
      <c r="DC144" s="228">
        <v>-0.02</v>
      </c>
      <c r="DD144" s="228">
        <v>-0.02</v>
      </c>
      <c r="DE144" s="228">
        <v>34.71</v>
      </c>
      <c r="DF144" s="228">
        <v>34.79</v>
      </c>
      <c r="DG144" s="228">
        <v>-2.92</v>
      </c>
      <c r="DH144" s="228">
        <v>-0.08</v>
      </c>
      <c r="DI144" s="228">
        <v>32.049999999999997</v>
      </c>
      <c r="DJ144" s="228">
        <v>32.17</v>
      </c>
      <c r="DK144" s="228">
        <v>-0.12</v>
      </c>
      <c r="DL144" s="228">
        <v>-0.12</v>
      </c>
      <c r="DM144" s="228">
        <v>30.75</v>
      </c>
      <c r="DN144" s="228">
        <v>30.63</v>
      </c>
      <c r="DO144" s="228">
        <v>0.12</v>
      </c>
      <c r="DP144" s="228">
        <v>0.12</v>
      </c>
      <c r="DQ144" s="228">
        <v>0.57999999999999996</v>
      </c>
      <c r="DR144" s="228">
        <v>0.56999999999999995</v>
      </c>
      <c r="DS144" s="228">
        <v>0.01</v>
      </c>
      <c r="DT144" s="229">
        <v>1.7500000000000002E-2</v>
      </c>
      <c r="DU144" s="228">
        <v>90</v>
      </c>
      <c r="DV144" s="228">
        <v>80</v>
      </c>
      <c r="DW144" s="228">
        <v>0.25</v>
      </c>
      <c r="DX144" s="228">
        <v>0.3</v>
      </c>
      <c r="DY144" s="228">
        <v>-0.05</v>
      </c>
      <c r="DZ144" s="229">
        <v>-0.16669999999999999</v>
      </c>
      <c r="EA144" s="229">
        <v>4.36E-2</v>
      </c>
      <c r="EB144" s="230">
        <v>4020200</v>
      </c>
      <c r="EC144" s="229">
        <v>-4.5999999999999999E-3</v>
      </c>
      <c r="ED144" s="229">
        <v>4.36E-2</v>
      </c>
      <c r="EE144" s="228">
        <v>-0.52</v>
      </c>
      <c r="EF144" s="229">
        <v>-6.3E-3</v>
      </c>
      <c r="EG144" s="230">
        <v>4310034</v>
      </c>
      <c r="EH144" s="230">
        <v>3768686</v>
      </c>
      <c r="EI144" s="229">
        <v>0.14360000000000001</v>
      </c>
      <c r="EJ144" s="229">
        <v>0.41970000000000002</v>
      </c>
      <c r="EK144" s="228">
        <v>286.91000000000003</v>
      </c>
      <c r="EL144" s="228">
        <v>67.87</v>
      </c>
      <c r="EM144" s="228">
        <v>106.06</v>
      </c>
      <c r="EN144" s="228">
        <v>25.29</v>
      </c>
      <c r="EO144" s="228">
        <v>460.84</v>
      </c>
      <c r="EP144" s="228">
        <v>336.2</v>
      </c>
      <c r="EQ144" s="228">
        <v>124.64</v>
      </c>
      <c r="ER144" s="229">
        <v>0.37069999999999997</v>
      </c>
      <c r="ES144" s="228">
        <v>361.98</v>
      </c>
      <c r="ET144" s="228">
        <v>191.34</v>
      </c>
      <c r="EU144" s="228">
        <v>857.37</v>
      </c>
      <c r="EV144" s="231">
        <v>491233252</v>
      </c>
      <c r="EW144" s="231">
        <v>1410.7</v>
      </c>
      <c r="EX144" s="231">
        <v>1356.81</v>
      </c>
      <c r="EY144" s="228">
        <v>53.89</v>
      </c>
      <c r="EZ144" s="229">
        <v>3.9699999999999999E-2</v>
      </c>
      <c r="FA144" s="229">
        <v>0.34300000000000003</v>
      </c>
      <c r="FB144" s="227" t="s">
        <v>555</v>
      </c>
      <c r="FC144">
        <f t="shared" si="2"/>
        <v>38</v>
      </c>
    </row>
    <row r="145" spans="1:159" ht="17.25" thickBot="1" x14ac:dyDescent="0.3">
      <c r="A145" s="226">
        <v>46148</v>
      </c>
      <c r="B145" s="227" t="s">
        <v>181</v>
      </c>
      <c r="C145" s="227" t="s">
        <v>266</v>
      </c>
      <c r="D145" s="228">
        <v>65</v>
      </c>
      <c r="E145" s="228">
        <v>20</v>
      </c>
      <c r="F145" s="231">
        <v>24447.4</v>
      </c>
      <c r="G145" s="231">
        <v>24106.3</v>
      </c>
      <c r="H145" s="228">
        <v>341.1</v>
      </c>
      <c r="I145" s="229">
        <v>1.41E-2</v>
      </c>
      <c r="J145" s="231">
        <v>24330.95</v>
      </c>
      <c r="K145" s="231">
        <v>24032.799999999999</v>
      </c>
      <c r="L145" s="228">
        <v>298.14999999999998</v>
      </c>
      <c r="M145" s="229">
        <v>1.24E-2</v>
      </c>
      <c r="N145" s="231">
        <v>24447.4</v>
      </c>
      <c r="O145" s="231">
        <v>24106.3</v>
      </c>
      <c r="P145" s="228">
        <v>341.1</v>
      </c>
      <c r="Q145" s="229">
        <v>1.41E-2</v>
      </c>
      <c r="R145" s="231">
        <v>24544.9</v>
      </c>
      <c r="S145" s="231">
        <v>24215.1</v>
      </c>
      <c r="T145" s="228">
        <v>329.8</v>
      </c>
      <c r="U145" s="229">
        <v>1.3599999999999999E-2</v>
      </c>
      <c r="V145" s="231">
        <v>24683.8</v>
      </c>
      <c r="W145" s="231">
        <v>24345.8</v>
      </c>
      <c r="X145" s="228">
        <v>338</v>
      </c>
      <c r="Y145" s="229">
        <v>1.3899999999999999E-2</v>
      </c>
      <c r="Z145" s="228">
        <v>116.45</v>
      </c>
      <c r="AA145" s="228">
        <v>73.5</v>
      </c>
      <c r="AB145" s="228">
        <v>42.95</v>
      </c>
      <c r="AC145" s="229">
        <v>4.7999999999999996E-3</v>
      </c>
      <c r="AD145" s="228">
        <v>116.45</v>
      </c>
      <c r="AE145" s="228">
        <v>73.5</v>
      </c>
      <c r="AF145" s="228">
        <v>42.95</v>
      </c>
      <c r="AG145" s="229">
        <v>4.7999999999999996E-3</v>
      </c>
      <c r="AH145" s="228">
        <v>213.95</v>
      </c>
      <c r="AI145" s="228">
        <v>182.3</v>
      </c>
      <c r="AJ145" s="228">
        <v>31.65</v>
      </c>
      <c r="AK145" s="229">
        <v>8.8000000000000005E-3</v>
      </c>
      <c r="AL145" s="228">
        <v>352.85</v>
      </c>
      <c r="AM145" s="228">
        <v>313</v>
      </c>
      <c r="AN145" s="228">
        <v>39.85</v>
      </c>
      <c r="AO145" s="229">
        <v>1.4500000000000001E-2</v>
      </c>
      <c r="AP145" s="231">
        <v>24293.17</v>
      </c>
      <c r="AQ145" s="231">
        <v>24388.38</v>
      </c>
      <c r="AR145" s="228">
        <v>0</v>
      </c>
      <c r="AS145" s="230">
        <v>17691</v>
      </c>
      <c r="AT145" s="230">
        <v>11415</v>
      </c>
      <c r="AU145" s="230">
        <v>6277</v>
      </c>
      <c r="AV145" s="229">
        <v>0.54990000000000006</v>
      </c>
      <c r="AW145" s="230">
        <v>15800</v>
      </c>
      <c r="AX145" s="230">
        <v>10182</v>
      </c>
      <c r="AY145" s="230">
        <v>5618</v>
      </c>
      <c r="AZ145" s="229">
        <v>0.55179999999999996</v>
      </c>
      <c r="BA145" s="230">
        <v>1445</v>
      </c>
      <c r="BB145" s="228">
        <v>951</v>
      </c>
      <c r="BC145" s="228">
        <v>494</v>
      </c>
      <c r="BD145" s="229">
        <v>0.51990000000000003</v>
      </c>
      <c r="BE145" s="228">
        <v>446</v>
      </c>
      <c r="BF145" s="228">
        <v>282</v>
      </c>
      <c r="BG145" s="228">
        <v>164</v>
      </c>
      <c r="BH145" s="229">
        <v>0.58340000000000003</v>
      </c>
      <c r="BI145" s="230">
        <v>4790693</v>
      </c>
      <c r="BJ145" s="230">
        <v>37162063</v>
      </c>
      <c r="BK145" s="230">
        <v>-32371369</v>
      </c>
      <c r="BL145" s="229">
        <v>-0.87109999999999999</v>
      </c>
      <c r="BM145" s="230">
        <v>4824683</v>
      </c>
      <c r="BN145" s="230">
        <v>33220754</v>
      </c>
      <c r="BO145" s="230">
        <v>-28396071</v>
      </c>
      <c r="BP145" s="229">
        <v>-0.8548</v>
      </c>
      <c r="BQ145" s="230">
        <v>9633068</v>
      </c>
      <c r="BR145" s="230">
        <v>70394231</v>
      </c>
      <c r="BS145" s="230">
        <v>-60761164</v>
      </c>
      <c r="BT145" s="229">
        <v>-0.86319999999999997</v>
      </c>
      <c r="BU145" s="228">
        <v>0</v>
      </c>
      <c r="BV145" s="228">
        <v>0</v>
      </c>
      <c r="BW145" s="228">
        <v>0</v>
      </c>
      <c r="BX145" s="229">
        <v>0</v>
      </c>
      <c r="BY145" s="230">
        <v>44839</v>
      </c>
      <c r="BZ145" s="230">
        <v>43653</v>
      </c>
      <c r="CA145" s="230">
        <v>1185</v>
      </c>
      <c r="CB145" s="229">
        <v>2.7099999999999999E-2</v>
      </c>
      <c r="CC145" s="230">
        <v>39955</v>
      </c>
      <c r="CD145" s="230">
        <v>39236</v>
      </c>
      <c r="CE145" s="228">
        <v>719</v>
      </c>
      <c r="CF145" s="229">
        <v>1.83E-2</v>
      </c>
      <c r="CG145" s="230">
        <v>4299</v>
      </c>
      <c r="CH145" s="230">
        <v>3926</v>
      </c>
      <c r="CI145" s="228">
        <v>373</v>
      </c>
      <c r="CJ145" s="229">
        <v>9.5000000000000001E-2</v>
      </c>
      <c r="CK145" s="228">
        <v>584</v>
      </c>
      <c r="CL145" s="228">
        <v>491</v>
      </c>
      <c r="CM145" s="228">
        <v>93</v>
      </c>
      <c r="CN145" s="229">
        <v>0.18920000000000001</v>
      </c>
      <c r="CO145" s="230">
        <v>438195</v>
      </c>
      <c r="CP145" s="230">
        <v>359992</v>
      </c>
      <c r="CQ145" s="230">
        <v>78203</v>
      </c>
      <c r="CR145" s="229">
        <v>0.2172</v>
      </c>
      <c r="CS145" s="230">
        <v>519837</v>
      </c>
      <c r="CT145" s="230">
        <v>388331</v>
      </c>
      <c r="CU145" s="230">
        <v>131506</v>
      </c>
      <c r="CV145" s="229">
        <v>0.33860000000000001</v>
      </c>
      <c r="CW145" s="230">
        <v>1002870</v>
      </c>
      <c r="CX145" s="230">
        <v>1711208</v>
      </c>
      <c r="CY145" s="230">
        <v>-708338</v>
      </c>
      <c r="CZ145" s="229">
        <v>-0.41389999999999999</v>
      </c>
      <c r="DA145" s="228">
        <v>16.79</v>
      </c>
      <c r="DB145" s="228">
        <v>16.920000000000002</v>
      </c>
      <c r="DC145" s="228">
        <v>-0.13</v>
      </c>
      <c r="DD145" s="228">
        <v>-0.13</v>
      </c>
      <c r="DE145" s="228">
        <v>17.579999999999998</v>
      </c>
      <c r="DF145" s="228">
        <v>17.52</v>
      </c>
      <c r="DG145" s="228">
        <v>-0.79</v>
      </c>
      <c r="DH145" s="228">
        <v>0.06</v>
      </c>
      <c r="DI145" s="228">
        <v>15.79</v>
      </c>
      <c r="DJ145" s="228">
        <v>16.05</v>
      </c>
      <c r="DK145" s="228">
        <v>-0.26</v>
      </c>
      <c r="DL145" s="228">
        <v>-0.26</v>
      </c>
      <c r="DM145" s="228">
        <v>17.77</v>
      </c>
      <c r="DN145" s="228">
        <v>17.96</v>
      </c>
      <c r="DO145" s="228">
        <v>-0.19</v>
      </c>
      <c r="DP145" s="228">
        <v>-0.19</v>
      </c>
      <c r="DQ145" s="228">
        <v>1.19</v>
      </c>
      <c r="DR145" s="228">
        <v>1.08</v>
      </c>
      <c r="DS145" s="228">
        <v>0.11</v>
      </c>
      <c r="DT145" s="229">
        <v>0.1019</v>
      </c>
      <c r="DU145" s="231">
        <v>25000</v>
      </c>
      <c r="DV145" s="231">
        <v>23000</v>
      </c>
      <c r="DW145" s="228">
        <v>1.01</v>
      </c>
      <c r="DX145" s="228">
        <v>0.89</v>
      </c>
      <c r="DY145" s="228">
        <v>0.12</v>
      </c>
      <c r="DZ145" s="229">
        <v>0.1348</v>
      </c>
      <c r="EA145" s="229">
        <v>0.1089</v>
      </c>
      <c r="EB145" s="230">
        <v>1806870</v>
      </c>
      <c r="EC145" s="229">
        <v>4.0000000000000001E-3</v>
      </c>
      <c r="ED145" s="229">
        <v>0.1089</v>
      </c>
      <c r="EE145" s="228">
        <v>95.21</v>
      </c>
      <c r="EF145" s="229">
        <v>3.8999999999999998E-3</v>
      </c>
      <c r="EG145" s="228">
        <v>0</v>
      </c>
      <c r="EH145" s="228">
        <v>0</v>
      </c>
      <c r="EI145" s="229">
        <v>0</v>
      </c>
      <c r="EJ145" s="229">
        <v>0</v>
      </c>
      <c r="EK145" s="231">
        <v>4851966.09</v>
      </c>
      <c r="EL145" s="231">
        <v>4686656.4800000004</v>
      </c>
      <c r="EM145" s="231">
        <v>17589.59</v>
      </c>
      <c r="EN145" s="228">
        <v>885.5</v>
      </c>
      <c r="EO145" s="231">
        <v>9556212.1600000001</v>
      </c>
      <c r="EP145" s="231">
        <v>69290107.75</v>
      </c>
      <c r="EQ145" s="231">
        <v>-59733895.590000004</v>
      </c>
      <c r="ER145" s="229">
        <v>-0.86209999999999998</v>
      </c>
      <c r="ES145" s="231">
        <v>450420.78</v>
      </c>
      <c r="ET145" s="231">
        <v>498441.19</v>
      </c>
      <c r="EU145" s="231">
        <v>44861.42</v>
      </c>
      <c r="EV145" s="228">
        <v>0</v>
      </c>
      <c r="EW145" s="231">
        <v>993723.39</v>
      </c>
      <c r="EX145" s="231">
        <v>784455.39</v>
      </c>
      <c r="EY145" s="231">
        <v>209268</v>
      </c>
      <c r="EZ145" s="229">
        <v>0.26679999999999998</v>
      </c>
      <c r="FA145" s="229">
        <v>0</v>
      </c>
      <c r="FB145" s="227" t="s">
        <v>555</v>
      </c>
      <c r="FC145">
        <f t="shared" si="2"/>
        <v>4884</v>
      </c>
    </row>
    <row r="146" spans="1:159" ht="17.25" thickBot="1" x14ac:dyDescent="0.3">
      <c r="A146" s="226">
        <v>46148</v>
      </c>
      <c r="B146" s="227" t="s">
        <v>181</v>
      </c>
      <c r="C146" s="227" t="s">
        <v>565</v>
      </c>
      <c r="D146" s="228">
        <v>25</v>
      </c>
      <c r="E146" s="228">
        <v>20</v>
      </c>
      <c r="F146" s="231">
        <v>72015.399999999994</v>
      </c>
      <c r="G146" s="231">
        <v>70793.600000000006</v>
      </c>
      <c r="H146" s="231">
        <v>1221.8</v>
      </c>
      <c r="I146" s="229">
        <v>1.7299999999999999E-2</v>
      </c>
      <c r="J146" s="231">
        <v>71691.45</v>
      </c>
      <c r="K146" s="231">
        <v>70627.3</v>
      </c>
      <c r="L146" s="231">
        <v>1064.1500000000001</v>
      </c>
      <c r="M146" s="229">
        <v>1.5100000000000001E-2</v>
      </c>
      <c r="N146" s="231">
        <v>72015.399999999994</v>
      </c>
      <c r="O146" s="231">
        <v>70793.600000000006</v>
      </c>
      <c r="P146" s="231">
        <v>1221.8</v>
      </c>
      <c r="Q146" s="229">
        <v>1.7299999999999999E-2</v>
      </c>
      <c r="R146" s="231">
        <v>72246.8</v>
      </c>
      <c r="S146" s="231">
        <v>71126</v>
      </c>
      <c r="T146" s="231">
        <v>1120.8</v>
      </c>
      <c r="U146" s="229">
        <v>1.5800000000000002E-2</v>
      </c>
      <c r="V146" s="228">
        <v>0</v>
      </c>
      <c r="W146" s="228">
        <v>0</v>
      </c>
      <c r="X146" s="228">
        <v>0</v>
      </c>
      <c r="Y146" s="229">
        <v>0</v>
      </c>
      <c r="Z146" s="228">
        <v>323.95</v>
      </c>
      <c r="AA146" s="228">
        <v>166.3</v>
      </c>
      <c r="AB146" s="228">
        <v>157.65</v>
      </c>
      <c r="AC146" s="229">
        <v>4.4999999999999997E-3</v>
      </c>
      <c r="AD146" s="228">
        <v>323.95</v>
      </c>
      <c r="AE146" s="228">
        <v>166.3</v>
      </c>
      <c r="AF146" s="228">
        <v>157.65</v>
      </c>
      <c r="AG146" s="229">
        <v>4.4999999999999997E-3</v>
      </c>
      <c r="AH146" s="228">
        <v>555.35</v>
      </c>
      <c r="AI146" s="228">
        <v>498.7</v>
      </c>
      <c r="AJ146" s="228">
        <v>56.65</v>
      </c>
      <c r="AK146" s="229">
        <v>7.7000000000000002E-3</v>
      </c>
      <c r="AL146" s="228">
        <v>0</v>
      </c>
      <c r="AM146" s="228">
        <v>0</v>
      </c>
      <c r="AN146" s="228">
        <v>0</v>
      </c>
      <c r="AO146" s="229">
        <v>0</v>
      </c>
      <c r="AP146" s="231">
        <v>71716.59</v>
      </c>
      <c r="AQ146" s="231">
        <v>71817.929999999993</v>
      </c>
      <c r="AR146" s="228">
        <v>0</v>
      </c>
      <c r="AS146" s="228">
        <v>52</v>
      </c>
      <c r="AT146" s="228">
        <v>17</v>
      </c>
      <c r="AU146" s="228">
        <v>34</v>
      </c>
      <c r="AV146" s="229">
        <v>1.9896</v>
      </c>
      <c r="AW146" s="228">
        <v>46</v>
      </c>
      <c r="AX146" s="228">
        <v>15</v>
      </c>
      <c r="AY146" s="228">
        <v>31</v>
      </c>
      <c r="AZ146" s="229">
        <v>2.0352999999999999</v>
      </c>
      <c r="BA146" s="228">
        <v>5</v>
      </c>
      <c r="BB146" s="228">
        <v>2</v>
      </c>
      <c r="BC146" s="228">
        <v>3</v>
      </c>
      <c r="BD146" s="229">
        <v>1.6364000000000001</v>
      </c>
      <c r="BE146" s="228">
        <v>0</v>
      </c>
      <c r="BF146" s="228">
        <v>0</v>
      </c>
      <c r="BG146" s="228">
        <v>0</v>
      </c>
      <c r="BH146" s="229">
        <v>0</v>
      </c>
      <c r="BI146" s="228">
        <v>66</v>
      </c>
      <c r="BJ146" s="228">
        <v>41</v>
      </c>
      <c r="BK146" s="228">
        <v>25</v>
      </c>
      <c r="BL146" s="229">
        <v>0.61060000000000003</v>
      </c>
      <c r="BM146" s="228">
        <v>4</v>
      </c>
      <c r="BN146" s="228">
        <v>1</v>
      </c>
      <c r="BO146" s="228">
        <v>3</v>
      </c>
      <c r="BP146" s="229">
        <v>1.75</v>
      </c>
      <c r="BQ146" s="228">
        <v>121</v>
      </c>
      <c r="BR146" s="228">
        <v>59</v>
      </c>
      <c r="BS146" s="228">
        <v>62</v>
      </c>
      <c r="BT146" s="229">
        <v>1.0394000000000001</v>
      </c>
      <c r="BU146" s="228">
        <v>0</v>
      </c>
      <c r="BV146" s="228">
        <v>0</v>
      </c>
      <c r="BW146" s="228">
        <v>0</v>
      </c>
      <c r="BX146" s="229">
        <v>0</v>
      </c>
      <c r="BY146" s="228">
        <v>141</v>
      </c>
      <c r="BZ146" s="228">
        <v>139</v>
      </c>
      <c r="CA146" s="228">
        <v>1</v>
      </c>
      <c r="CB146" s="229">
        <v>8.9999999999999993E-3</v>
      </c>
      <c r="CC146" s="228">
        <v>135</v>
      </c>
      <c r="CD146" s="228">
        <v>133</v>
      </c>
      <c r="CE146" s="228">
        <v>2</v>
      </c>
      <c r="CF146" s="229">
        <v>1.49E-2</v>
      </c>
      <c r="CG146" s="228">
        <v>5</v>
      </c>
      <c r="CH146" s="228">
        <v>6</v>
      </c>
      <c r="CI146" s="228">
        <v>-1</v>
      </c>
      <c r="CJ146" s="229">
        <v>-0.1176</v>
      </c>
      <c r="CK146" s="228">
        <v>0</v>
      </c>
      <c r="CL146" s="228">
        <v>0</v>
      </c>
      <c r="CM146" s="228">
        <v>0</v>
      </c>
      <c r="CN146" s="229">
        <v>0</v>
      </c>
      <c r="CO146" s="228">
        <v>26</v>
      </c>
      <c r="CP146" s="228">
        <v>15</v>
      </c>
      <c r="CQ146" s="228">
        <v>11</v>
      </c>
      <c r="CR146" s="229">
        <v>0.747</v>
      </c>
      <c r="CS146" s="228">
        <v>3</v>
      </c>
      <c r="CT146" s="228">
        <v>1</v>
      </c>
      <c r="CU146" s="228">
        <v>1</v>
      </c>
      <c r="CV146" s="229">
        <v>1</v>
      </c>
      <c r="CW146" s="228">
        <v>170</v>
      </c>
      <c r="CX146" s="228">
        <v>156</v>
      </c>
      <c r="CY146" s="228">
        <v>14</v>
      </c>
      <c r="CZ146" s="229">
        <v>8.8999999999999996E-2</v>
      </c>
      <c r="DA146" s="228">
        <v>17.05</v>
      </c>
      <c r="DB146" s="228">
        <v>18.239999999999998</v>
      </c>
      <c r="DC146" s="228">
        <v>-1.19</v>
      </c>
      <c r="DD146" s="228">
        <v>-1.19</v>
      </c>
      <c r="DE146" s="228">
        <v>22.99</v>
      </c>
      <c r="DF146" s="228">
        <v>22.96</v>
      </c>
      <c r="DG146" s="228">
        <v>-5.94</v>
      </c>
      <c r="DH146" s="228">
        <v>0.03</v>
      </c>
      <c r="DI146" s="228">
        <v>16.66</v>
      </c>
      <c r="DJ146" s="228">
        <v>18.2</v>
      </c>
      <c r="DK146" s="228">
        <v>-1.54</v>
      </c>
      <c r="DL146" s="228">
        <v>-1.54</v>
      </c>
      <c r="DM146" s="228">
        <v>23.37</v>
      </c>
      <c r="DN146" s="228">
        <v>19.329999999999998</v>
      </c>
      <c r="DO146" s="228">
        <v>4.04</v>
      </c>
      <c r="DP146" s="228">
        <v>4.04</v>
      </c>
      <c r="DQ146" s="228">
        <v>0.11</v>
      </c>
      <c r="DR146" s="228">
        <v>0.1</v>
      </c>
      <c r="DS146" s="228">
        <v>0.01</v>
      </c>
      <c r="DT146" s="229">
        <v>0.1</v>
      </c>
      <c r="DU146" s="231">
        <v>71500</v>
      </c>
      <c r="DV146" s="231">
        <v>71000</v>
      </c>
      <c r="DW146" s="228">
        <v>0.06</v>
      </c>
      <c r="DX146" s="228">
        <v>0.04</v>
      </c>
      <c r="DY146" s="228">
        <v>0.02</v>
      </c>
      <c r="DZ146" s="229">
        <v>0.5</v>
      </c>
      <c r="EA146" s="229">
        <v>3.8399999999999997E-2</v>
      </c>
      <c r="EB146" s="228">
        <v>850</v>
      </c>
      <c r="EC146" s="229">
        <v>3.2000000000000002E-3</v>
      </c>
      <c r="ED146" s="229">
        <v>3.8399999999999997E-2</v>
      </c>
      <c r="EE146" s="228">
        <v>101.34</v>
      </c>
      <c r="EF146" s="229">
        <v>1.4E-3</v>
      </c>
      <c r="EG146" s="228">
        <v>0</v>
      </c>
      <c r="EH146" s="228">
        <v>0</v>
      </c>
      <c r="EI146" s="229">
        <v>0</v>
      </c>
      <c r="EJ146" s="229">
        <v>0</v>
      </c>
      <c r="EK146" s="228">
        <v>66.44</v>
      </c>
      <c r="EL146" s="228">
        <v>3.93</v>
      </c>
      <c r="EM146" s="228">
        <v>51.46</v>
      </c>
      <c r="EN146" s="228">
        <v>0</v>
      </c>
      <c r="EO146" s="228">
        <v>121.83</v>
      </c>
      <c r="EP146" s="228">
        <v>59.13</v>
      </c>
      <c r="EQ146" s="228">
        <v>62.7</v>
      </c>
      <c r="ER146" s="229">
        <v>1.0602</v>
      </c>
      <c r="ES146" s="228">
        <v>26.13</v>
      </c>
      <c r="ET146" s="228">
        <v>2.83</v>
      </c>
      <c r="EU146" s="228">
        <v>140.63</v>
      </c>
      <c r="EV146" s="228">
        <v>0</v>
      </c>
      <c r="EW146" s="228">
        <v>169.58</v>
      </c>
      <c r="EX146" s="228">
        <v>153.16999999999999</v>
      </c>
      <c r="EY146" s="228">
        <v>16.41</v>
      </c>
      <c r="EZ146" s="229">
        <v>0.1071</v>
      </c>
      <c r="FA146" s="229">
        <v>0</v>
      </c>
      <c r="FB146" s="227" t="s">
        <v>555</v>
      </c>
      <c r="FC146">
        <f t="shared" si="2"/>
        <v>6</v>
      </c>
    </row>
    <row r="147" spans="1:159" ht="17.25" thickBot="1" x14ac:dyDescent="0.3">
      <c r="A147" s="226">
        <v>46148</v>
      </c>
      <c r="B147" s="227" t="s">
        <v>227</v>
      </c>
      <c r="C147" s="227" t="s">
        <v>267</v>
      </c>
      <c r="D147" s="228">
        <v>6750</v>
      </c>
      <c r="E147" s="228">
        <v>20</v>
      </c>
      <c r="F147" s="228">
        <v>89.82</v>
      </c>
      <c r="G147" s="228">
        <v>89.34</v>
      </c>
      <c r="H147" s="228">
        <v>0.48</v>
      </c>
      <c r="I147" s="229">
        <v>5.4000000000000003E-3</v>
      </c>
      <c r="J147" s="228">
        <v>89.18</v>
      </c>
      <c r="K147" s="228">
        <v>88.83</v>
      </c>
      <c r="L147" s="228">
        <v>0.35</v>
      </c>
      <c r="M147" s="229">
        <v>3.8999999999999998E-3</v>
      </c>
      <c r="N147" s="228">
        <v>89.82</v>
      </c>
      <c r="O147" s="228">
        <v>89.34</v>
      </c>
      <c r="P147" s="228">
        <v>0.48</v>
      </c>
      <c r="Q147" s="229">
        <v>5.4000000000000003E-3</v>
      </c>
      <c r="R147" s="228">
        <v>90.41</v>
      </c>
      <c r="S147" s="228">
        <v>89.87</v>
      </c>
      <c r="T147" s="228">
        <v>0.54</v>
      </c>
      <c r="U147" s="229">
        <v>6.0000000000000001E-3</v>
      </c>
      <c r="V147" s="228">
        <v>90.32</v>
      </c>
      <c r="W147" s="228">
        <v>90</v>
      </c>
      <c r="X147" s="228">
        <v>0.32</v>
      </c>
      <c r="Y147" s="229">
        <v>3.5999999999999999E-3</v>
      </c>
      <c r="Z147" s="228">
        <v>0.64</v>
      </c>
      <c r="AA147" s="228">
        <v>0.51</v>
      </c>
      <c r="AB147" s="228">
        <v>0.13</v>
      </c>
      <c r="AC147" s="229">
        <v>7.1999999999999998E-3</v>
      </c>
      <c r="AD147" s="228">
        <v>0.64</v>
      </c>
      <c r="AE147" s="228">
        <v>0.51</v>
      </c>
      <c r="AF147" s="228">
        <v>0.13</v>
      </c>
      <c r="AG147" s="229">
        <v>7.1999999999999998E-3</v>
      </c>
      <c r="AH147" s="228">
        <v>1.23</v>
      </c>
      <c r="AI147" s="228">
        <v>1.04</v>
      </c>
      <c r="AJ147" s="228">
        <v>0.19</v>
      </c>
      <c r="AK147" s="229">
        <v>1.38E-2</v>
      </c>
      <c r="AL147" s="228">
        <v>1.1399999999999999</v>
      </c>
      <c r="AM147" s="228">
        <v>1.17</v>
      </c>
      <c r="AN147" s="228">
        <v>-0.03</v>
      </c>
      <c r="AO147" s="229">
        <v>1.2800000000000001E-2</v>
      </c>
      <c r="AP147" s="228">
        <v>89.91</v>
      </c>
      <c r="AQ147" s="228">
        <v>90.56</v>
      </c>
      <c r="AR147" s="228">
        <v>0</v>
      </c>
      <c r="AS147" s="228">
        <v>154</v>
      </c>
      <c r="AT147" s="228">
        <v>109</v>
      </c>
      <c r="AU147" s="228">
        <v>45</v>
      </c>
      <c r="AV147" s="229">
        <v>0.41370000000000001</v>
      </c>
      <c r="AW147" s="228">
        <v>148</v>
      </c>
      <c r="AX147" s="228">
        <v>104</v>
      </c>
      <c r="AY147" s="228">
        <v>44</v>
      </c>
      <c r="AZ147" s="229">
        <v>0.41970000000000002</v>
      </c>
      <c r="BA147" s="228">
        <v>6</v>
      </c>
      <c r="BB147" s="228">
        <v>5</v>
      </c>
      <c r="BC147" s="228">
        <v>2</v>
      </c>
      <c r="BD147" s="229">
        <v>0.38159999999999999</v>
      </c>
      <c r="BE147" s="228">
        <v>0</v>
      </c>
      <c r="BF147" s="228">
        <v>0</v>
      </c>
      <c r="BG147" s="228">
        <v>0</v>
      </c>
      <c r="BH147" s="229">
        <v>-0.71430000000000005</v>
      </c>
      <c r="BI147" s="228">
        <v>384</v>
      </c>
      <c r="BJ147" s="228">
        <v>301</v>
      </c>
      <c r="BK147" s="228">
        <v>83</v>
      </c>
      <c r="BL147" s="229">
        <v>0.27539999999999998</v>
      </c>
      <c r="BM147" s="228">
        <v>126</v>
      </c>
      <c r="BN147" s="228">
        <v>87</v>
      </c>
      <c r="BO147" s="228">
        <v>38</v>
      </c>
      <c r="BP147" s="229">
        <v>0.43869999999999998</v>
      </c>
      <c r="BQ147" s="228">
        <v>664</v>
      </c>
      <c r="BR147" s="228">
        <v>498</v>
      </c>
      <c r="BS147" s="228">
        <v>166</v>
      </c>
      <c r="BT147" s="229">
        <v>0.33450000000000002</v>
      </c>
      <c r="BU147" s="230">
        <v>15038181</v>
      </c>
      <c r="BV147" s="230">
        <v>12979388</v>
      </c>
      <c r="BW147" s="230">
        <v>2058793</v>
      </c>
      <c r="BX147" s="229">
        <v>0.15859999999999999</v>
      </c>
      <c r="BY147" s="230">
        <v>2938</v>
      </c>
      <c r="BZ147" s="230">
        <v>2909</v>
      </c>
      <c r="CA147" s="228">
        <v>29</v>
      </c>
      <c r="CB147" s="229">
        <v>1.01E-2</v>
      </c>
      <c r="CC147" s="230">
        <v>2859</v>
      </c>
      <c r="CD147" s="230">
        <v>2832</v>
      </c>
      <c r="CE147" s="228">
        <v>27</v>
      </c>
      <c r="CF147" s="229">
        <v>9.5999999999999992E-3</v>
      </c>
      <c r="CG147" s="228">
        <v>77</v>
      </c>
      <c r="CH147" s="228">
        <v>75</v>
      </c>
      <c r="CI147" s="228">
        <v>2</v>
      </c>
      <c r="CJ147" s="229">
        <v>2.6499999999999999E-2</v>
      </c>
      <c r="CK147" s="228">
        <v>2</v>
      </c>
      <c r="CL147" s="228">
        <v>2</v>
      </c>
      <c r="CM147" s="228">
        <v>0</v>
      </c>
      <c r="CN147" s="229">
        <v>0</v>
      </c>
      <c r="CO147" s="228">
        <v>648</v>
      </c>
      <c r="CP147" s="228">
        <v>631</v>
      </c>
      <c r="CQ147" s="228">
        <v>17</v>
      </c>
      <c r="CR147" s="229">
        <v>2.6200000000000001E-2</v>
      </c>
      <c r="CS147" s="228">
        <v>322</v>
      </c>
      <c r="CT147" s="228">
        <v>305</v>
      </c>
      <c r="CU147" s="228">
        <v>17</v>
      </c>
      <c r="CV147" s="229">
        <v>5.5399999999999998E-2</v>
      </c>
      <c r="CW147" s="230">
        <v>3908</v>
      </c>
      <c r="CX147" s="230">
        <v>3845</v>
      </c>
      <c r="CY147" s="228">
        <v>63</v>
      </c>
      <c r="CZ147" s="229">
        <v>1.6299999999999999E-2</v>
      </c>
      <c r="DA147" s="228">
        <v>33.6</v>
      </c>
      <c r="DB147" s="228">
        <v>33.880000000000003</v>
      </c>
      <c r="DC147" s="228">
        <v>-0.28000000000000003</v>
      </c>
      <c r="DD147" s="228">
        <v>-0.28000000000000003</v>
      </c>
      <c r="DE147" s="228">
        <v>38.299999999999997</v>
      </c>
      <c r="DF147" s="228">
        <v>38.39</v>
      </c>
      <c r="DG147" s="228">
        <v>-4.7</v>
      </c>
      <c r="DH147" s="228">
        <v>-0.09</v>
      </c>
      <c r="DI147" s="228">
        <v>33.79</v>
      </c>
      <c r="DJ147" s="228">
        <v>33.950000000000003</v>
      </c>
      <c r="DK147" s="228">
        <v>-0.16</v>
      </c>
      <c r="DL147" s="228">
        <v>-0.16</v>
      </c>
      <c r="DM147" s="228">
        <v>33.020000000000003</v>
      </c>
      <c r="DN147" s="228">
        <v>33.61</v>
      </c>
      <c r="DO147" s="228">
        <v>-0.59</v>
      </c>
      <c r="DP147" s="228">
        <v>-0.59</v>
      </c>
      <c r="DQ147" s="228">
        <v>0.5</v>
      </c>
      <c r="DR147" s="228">
        <v>0.48</v>
      </c>
      <c r="DS147" s="228">
        <v>0.02</v>
      </c>
      <c r="DT147" s="229">
        <v>4.1700000000000001E-2</v>
      </c>
      <c r="DU147" s="228">
        <v>90</v>
      </c>
      <c r="DV147" s="228">
        <v>90</v>
      </c>
      <c r="DW147" s="228">
        <v>0.33</v>
      </c>
      <c r="DX147" s="228">
        <v>0.28999999999999998</v>
      </c>
      <c r="DY147" s="228">
        <v>0.04</v>
      </c>
      <c r="DZ147" s="229">
        <v>0.13789999999999999</v>
      </c>
      <c r="EA147" s="229">
        <v>2.69E-2</v>
      </c>
      <c r="EB147" s="230">
        <v>8586000</v>
      </c>
      <c r="EC147" s="229">
        <v>6.6E-3</v>
      </c>
      <c r="ED147" s="229">
        <v>2.69E-2</v>
      </c>
      <c r="EE147" s="228">
        <v>0.65</v>
      </c>
      <c r="EF147" s="229">
        <v>7.1999999999999998E-3</v>
      </c>
      <c r="EG147" s="230">
        <v>5806971</v>
      </c>
      <c r="EH147" s="230">
        <v>6027433</v>
      </c>
      <c r="EI147" s="229">
        <v>-3.6600000000000001E-2</v>
      </c>
      <c r="EJ147" s="229">
        <v>0.3861</v>
      </c>
      <c r="EK147" s="228">
        <v>405.31</v>
      </c>
      <c r="EL147" s="228">
        <v>123.77</v>
      </c>
      <c r="EM147" s="228">
        <v>154.57</v>
      </c>
      <c r="EN147" s="228">
        <v>32.82</v>
      </c>
      <c r="EO147" s="228">
        <v>683.65</v>
      </c>
      <c r="EP147" s="228">
        <v>511.38</v>
      </c>
      <c r="EQ147" s="228">
        <v>172.27</v>
      </c>
      <c r="ER147" s="229">
        <v>0.33689999999999998</v>
      </c>
      <c r="ES147" s="228">
        <v>670.52</v>
      </c>
      <c r="ET147" s="228">
        <v>308.01</v>
      </c>
      <c r="EU147" s="231">
        <v>2938.76</v>
      </c>
      <c r="EV147" s="231">
        <v>517037525</v>
      </c>
      <c r="EW147" s="231">
        <v>3917.29</v>
      </c>
      <c r="EX147" s="231">
        <v>3839.1</v>
      </c>
      <c r="EY147" s="228">
        <v>78.19</v>
      </c>
      <c r="EZ147" s="229">
        <v>2.0400000000000001E-2</v>
      </c>
      <c r="FA147" s="229">
        <v>0.84150000000000003</v>
      </c>
      <c r="FB147" s="227" t="s">
        <v>555</v>
      </c>
      <c r="FC147">
        <f t="shared" si="2"/>
        <v>79</v>
      </c>
    </row>
    <row r="148" spans="1:159" ht="17.25" thickBot="1" x14ac:dyDescent="0.3">
      <c r="A148" s="226">
        <v>46148</v>
      </c>
      <c r="B148" s="227" t="s">
        <v>161</v>
      </c>
      <c r="C148" s="227" t="s">
        <v>268</v>
      </c>
      <c r="D148" s="228">
        <v>1500</v>
      </c>
      <c r="E148" s="228">
        <v>20</v>
      </c>
      <c r="F148" s="228">
        <v>397.1</v>
      </c>
      <c r="G148" s="228">
        <v>399.6</v>
      </c>
      <c r="H148" s="228">
        <v>-2.5</v>
      </c>
      <c r="I148" s="229">
        <v>-6.3E-3</v>
      </c>
      <c r="J148" s="228">
        <v>394.85</v>
      </c>
      <c r="K148" s="228">
        <v>398.65</v>
      </c>
      <c r="L148" s="228">
        <v>-3.8</v>
      </c>
      <c r="M148" s="229">
        <v>-9.4999999999999998E-3</v>
      </c>
      <c r="N148" s="228">
        <v>397.1</v>
      </c>
      <c r="O148" s="228">
        <v>399.6</v>
      </c>
      <c r="P148" s="228">
        <v>-2.5</v>
      </c>
      <c r="Q148" s="229">
        <v>-6.3E-3</v>
      </c>
      <c r="R148" s="228">
        <v>400.1</v>
      </c>
      <c r="S148" s="228">
        <v>402.3</v>
      </c>
      <c r="T148" s="228">
        <v>-2.2000000000000002</v>
      </c>
      <c r="U148" s="229">
        <v>-5.4999999999999997E-3</v>
      </c>
      <c r="V148" s="228">
        <v>402</v>
      </c>
      <c r="W148" s="228">
        <v>405.15</v>
      </c>
      <c r="X148" s="228">
        <v>-3.15</v>
      </c>
      <c r="Y148" s="229">
        <v>-7.7999999999999996E-3</v>
      </c>
      <c r="Z148" s="228">
        <v>2.25</v>
      </c>
      <c r="AA148" s="228">
        <v>0.95</v>
      </c>
      <c r="AB148" s="228">
        <v>1.3</v>
      </c>
      <c r="AC148" s="229">
        <v>5.7000000000000002E-3</v>
      </c>
      <c r="AD148" s="228">
        <v>2.25</v>
      </c>
      <c r="AE148" s="228">
        <v>0.95</v>
      </c>
      <c r="AF148" s="228">
        <v>1.3</v>
      </c>
      <c r="AG148" s="229">
        <v>5.7000000000000002E-3</v>
      </c>
      <c r="AH148" s="228">
        <v>5.25</v>
      </c>
      <c r="AI148" s="228">
        <v>3.65</v>
      </c>
      <c r="AJ148" s="228">
        <v>1.6</v>
      </c>
      <c r="AK148" s="229">
        <v>1.3299999999999999E-2</v>
      </c>
      <c r="AL148" s="228">
        <v>7.15</v>
      </c>
      <c r="AM148" s="228">
        <v>6.5</v>
      </c>
      <c r="AN148" s="228">
        <v>0.65</v>
      </c>
      <c r="AO148" s="229">
        <v>1.8100000000000002E-2</v>
      </c>
      <c r="AP148" s="228">
        <v>398.68</v>
      </c>
      <c r="AQ148" s="228">
        <v>401.44</v>
      </c>
      <c r="AR148" s="228">
        <v>0</v>
      </c>
      <c r="AS148" s="228">
        <v>502</v>
      </c>
      <c r="AT148" s="228">
        <v>303</v>
      </c>
      <c r="AU148" s="228">
        <v>199</v>
      </c>
      <c r="AV148" s="229">
        <v>0.65580000000000005</v>
      </c>
      <c r="AW148" s="228">
        <v>455</v>
      </c>
      <c r="AX148" s="228">
        <v>273</v>
      </c>
      <c r="AY148" s="228">
        <v>182</v>
      </c>
      <c r="AZ148" s="229">
        <v>0.6694</v>
      </c>
      <c r="BA148" s="228">
        <v>39</v>
      </c>
      <c r="BB148" s="228">
        <v>30</v>
      </c>
      <c r="BC148" s="228">
        <v>10</v>
      </c>
      <c r="BD148" s="229">
        <v>0.31940000000000002</v>
      </c>
      <c r="BE148" s="228">
        <v>8</v>
      </c>
      <c r="BF148" s="228">
        <v>1</v>
      </c>
      <c r="BG148" s="228">
        <v>7</v>
      </c>
      <c r="BH148" s="229">
        <v>8.8461999999999996</v>
      </c>
      <c r="BI148" s="230">
        <v>1552</v>
      </c>
      <c r="BJ148" s="230">
        <v>1580</v>
      </c>
      <c r="BK148" s="228">
        <v>-28</v>
      </c>
      <c r="BL148" s="229">
        <v>-1.78E-2</v>
      </c>
      <c r="BM148" s="228">
        <v>543</v>
      </c>
      <c r="BN148" s="228">
        <v>399</v>
      </c>
      <c r="BO148" s="228">
        <v>145</v>
      </c>
      <c r="BP148" s="229">
        <v>0.36259999999999998</v>
      </c>
      <c r="BQ148" s="230">
        <v>2597</v>
      </c>
      <c r="BR148" s="230">
        <v>2282</v>
      </c>
      <c r="BS148" s="228">
        <v>315</v>
      </c>
      <c r="BT148" s="229">
        <v>0.13819999999999999</v>
      </c>
      <c r="BU148" s="230">
        <v>11429998</v>
      </c>
      <c r="BV148" s="230">
        <v>6977625</v>
      </c>
      <c r="BW148" s="230">
        <v>4452373</v>
      </c>
      <c r="BX148" s="229">
        <v>0.6381</v>
      </c>
      <c r="BY148" s="230">
        <v>4444</v>
      </c>
      <c r="BZ148" s="230">
        <v>4445</v>
      </c>
      <c r="CA148" s="228">
        <v>-1</v>
      </c>
      <c r="CB148" s="229">
        <v>-2.0000000000000001E-4</v>
      </c>
      <c r="CC148" s="230">
        <v>3991</v>
      </c>
      <c r="CD148" s="230">
        <v>4019</v>
      </c>
      <c r="CE148" s="228">
        <v>-28</v>
      </c>
      <c r="CF148" s="229">
        <v>-7.1000000000000004E-3</v>
      </c>
      <c r="CG148" s="228">
        <v>442</v>
      </c>
      <c r="CH148" s="228">
        <v>420</v>
      </c>
      <c r="CI148" s="228">
        <v>22</v>
      </c>
      <c r="CJ148" s="229">
        <v>5.1900000000000002E-2</v>
      </c>
      <c r="CK148" s="228">
        <v>11</v>
      </c>
      <c r="CL148" s="228">
        <v>5</v>
      </c>
      <c r="CM148" s="228">
        <v>6</v>
      </c>
      <c r="CN148" s="229">
        <v>1.1023000000000001</v>
      </c>
      <c r="CO148" s="230">
        <v>1676</v>
      </c>
      <c r="CP148" s="230">
        <v>1542</v>
      </c>
      <c r="CQ148" s="228">
        <v>134</v>
      </c>
      <c r="CR148" s="229">
        <v>8.7099999999999997E-2</v>
      </c>
      <c r="CS148" s="228">
        <v>623</v>
      </c>
      <c r="CT148" s="228">
        <v>588</v>
      </c>
      <c r="CU148" s="228">
        <v>35</v>
      </c>
      <c r="CV148" s="229">
        <v>5.9200000000000003E-2</v>
      </c>
      <c r="CW148" s="230">
        <v>6742</v>
      </c>
      <c r="CX148" s="230">
        <v>6574</v>
      </c>
      <c r="CY148" s="228">
        <v>168</v>
      </c>
      <c r="CZ148" s="229">
        <v>2.5600000000000001E-2</v>
      </c>
      <c r="DA148" s="228">
        <v>21.51</v>
      </c>
      <c r="DB148" s="228">
        <v>22.27</v>
      </c>
      <c r="DC148" s="228">
        <v>-0.76</v>
      </c>
      <c r="DD148" s="228">
        <v>-0.76</v>
      </c>
      <c r="DE148" s="228">
        <v>27.12</v>
      </c>
      <c r="DF148" s="228">
        <v>27.16</v>
      </c>
      <c r="DG148" s="228">
        <v>-5.61</v>
      </c>
      <c r="DH148" s="228">
        <v>-0.04</v>
      </c>
      <c r="DI148" s="228">
        <v>21.44</v>
      </c>
      <c r="DJ148" s="228">
        <v>22.27</v>
      </c>
      <c r="DK148" s="228">
        <v>-0.83</v>
      </c>
      <c r="DL148" s="228">
        <v>-0.83</v>
      </c>
      <c r="DM148" s="228">
        <v>21.69</v>
      </c>
      <c r="DN148" s="228">
        <v>22.28</v>
      </c>
      <c r="DO148" s="228">
        <v>-0.59</v>
      </c>
      <c r="DP148" s="228">
        <v>-0.59</v>
      </c>
      <c r="DQ148" s="228">
        <v>0.37</v>
      </c>
      <c r="DR148" s="228">
        <v>0.38</v>
      </c>
      <c r="DS148" s="228">
        <v>-0.01</v>
      </c>
      <c r="DT148" s="229">
        <v>-2.63E-2</v>
      </c>
      <c r="DU148" s="228">
        <v>400</v>
      </c>
      <c r="DV148" s="228">
        <v>400</v>
      </c>
      <c r="DW148" s="228">
        <v>0.35</v>
      </c>
      <c r="DX148" s="228">
        <v>0.25</v>
      </c>
      <c r="DY148" s="228">
        <v>0.1</v>
      </c>
      <c r="DZ148" s="229">
        <v>0.4</v>
      </c>
      <c r="EA148" s="229">
        <v>0.1019</v>
      </c>
      <c r="EB148" s="230">
        <v>10714500</v>
      </c>
      <c r="EC148" s="229">
        <v>7.6E-3</v>
      </c>
      <c r="ED148" s="229">
        <v>0.1019</v>
      </c>
      <c r="EE148" s="228">
        <v>2.76</v>
      </c>
      <c r="EF148" s="229">
        <v>6.8999999999999999E-3</v>
      </c>
      <c r="EG148" s="230">
        <v>7645464</v>
      </c>
      <c r="EH148" s="230">
        <v>3792385</v>
      </c>
      <c r="EI148" s="229">
        <v>1.016</v>
      </c>
      <c r="EJ148" s="229">
        <v>0.66890000000000005</v>
      </c>
      <c r="EK148" s="231">
        <v>1621.63</v>
      </c>
      <c r="EL148" s="228">
        <v>546.62</v>
      </c>
      <c r="EM148" s="228">
        <v>504.38</v>
      </c>
      <c r="EN148" s="228">
        <v>54.47</v>
      </c>
      <c r="EO148" s="231">
        <v>2672.63</v>
      </c>
      <c r="EP148" s="231">
        <v>2374.86</v>
      </c>
      <c r="EQ148" s="228">
        <v>297.77</v>
      </c>
      <c r="ER148" s="229">
        <v>0.12540000000000001</v>
      </c>
      <c r="ES148" s="231">
        <v>1765</v>
      </c>
      <c r="ET148" s="228">
        <v>614.19000000000005</v>
      </c>
      <c r="EU148" s="231">
        <v>4447.5</v>
      </c>
      <c r="EV148" s="231">
        <v>550512361</v>
      </c>
      <c r="EW148" s="231">
        <v>6826.7</v>
      </c>
      <c r="EX148" s="231">
        <v>6682.86</v>
      </c>
      <c r="EY148" s="228">
        <v>143.84</v>
      </c>
      <c r="EZ148" s="229">
        <v>2.1499999999999998E-2</v>
      </c>
      <c r="FA148" s="229">
        <v>0.30840000000000001</v>
      </c>
      <c r="FB148" s="227" t="s">
        <v>567</v>
      </c>
      <c r="FC148">
        <f>BY217-CC217</f>
        <v>0</v>
      </c>
    </row>
    <row r="149" spans="1:159" ht="17.25" thickBot="1" x14ac:dyDescent="0.3">
      <c r="A149" s="226">
        <v>46148</v>
      </c>
      <c r="B149" s="227" t="s">
        <v>175</v>
      </c>
      <c r="C149" s="227" t="s">
        <v>681</v>
      </c>
      <c r="D149" s="228">
        <v>500</v>
      </c>
      <c r="E149" s="228">
        <v>20</v>
      </c>
      <c r="F149" s="231">
        <v>1401.4</v>
      </c>
      <c r="G149" s="231">
        <v>1342.3</v>
      </c>
      <c r="H149" s="228">
        <v>59.1</v>
      </c>
      <c r="I149" s="229">
        <v>4.3999999999999997E-2</v>
      </c>
      <c r="J149" s="231">
        <v>1413.6</v>
      </c>
      <c r="K149" s="231">
        <v>1351.1</v>
      </c>
      <c r="L149" s="228">
        <v>62.5</v>
      </c>
      <c r="M149" s="229">
        <v>4.6300000000000001E-2</v>
      </c>
      <c r="N149" s="231">
        <v>1401.4</v>
      </c>
      <c r="O149" s="231">
        <v>1342.3</v>
      </c>
      <c r="P149" s="228">
        <v>59.1</v>
      </c>
      <c r="Q149" s="229">
        <v>4.3999999999999997E-2</v>
      </c>
      <c r="R149" s="231">
        <v>1392.9</v>
      </c>
      <c r="S149" s="231">
        <v>1337.4</v>
      </c>
      <c r="T149" s="228">
        <v>55.5</v>
      </c>
      <c r="U149" s="229">
        <v>4.1500000000000002E-2</v>
      </c>
      <c r="V149" s="231">
        <v>1389</v>
      </c>
      <c r="W149" s="231">
        <v>1310</v>
      </c>
      <c r="X149" s="228">
        <v>79</v>
      </c>
      <c r="Y149" s="229">
        <v>6.0299999999999999E-2</v>
      </c>
      <c r="Z149" s="228">
        <v>-12.2</v>
      </c>
      <c r="AA149" s="228">
        <v>-8.8000000000000007</v>
      </c>
      <c r="AB149" s="228">
        <v>-3.4</v>
      </c>
      <c r="AC149" s="229">
        <v>-8.6E-3</v>
      </c>
      <c r="AD149" s="228">
        <v>-12.2</v>
      </c>
      <c r="AE149" s="228">
        <v>-8.8000000000000007</v>
      </c>
      <c r="AF149" s="228">
        <v>-3.4</v>
      </c>
      <c r="AG149" s="229">
        <v>-8.6E-3</v>
      </c>
      <c r="AH149" s="228">
        <v>-20.7</v>
      </c>
      <c r="AI149" s="228">
        <v>-13.7</v>
      </c>
      <c r="AJ149" s="228">
        <v>-7</v>
      </c>
      <c r="AK149" s="229">
        <v>-1.46E-2</v>
      </c>
      <c r="AL149" s="228">
        <v>-24.6</v>
      </c>
      <c r="AM149" s="228">
        <v>-41.1</v>
      </c>
      <c r="AN149" s="228">
        <v>16.5</v>
      </c>
      <c r="AO149" s="229">
        <v>-1.7399999999999999E-2</v>
      </c>
      <c r="AP149" s="231">
        <v>1383.65</v>
      </c>
      <c r="AQ149" s="231">
        <v>1372.97</v>
      </c>
      <c r="AR149" s="228">
        <v>0</v>
      </c>
      <c r="AS149" s="228">
        <v>136</v>
      </c>
      <c r="AT149" s="228">
        <v>116</v>
      </c>
      <c r="AU149" s="228">
        <v>21</v>
      </c>
      <c r="AV149" s="229">
        <v>0.17710000000000001</v>
      </c>
      <c r="AW149" s="228">
        <v>128</v>
      </c>
      <c r="AX149" s="228">
        <v>111</v>
      </c>
      <c r="AY149" s="228">
        <v>17</v>
      </c>
      <c r="AZ149" s="229">
        <v>0.15260000000000001</v>
      </c>
      <c r="BA149" s="228">
        <v>8</v>
      </c>
      <c r="BB149" s="228">
        <v>5</v>
      </c>
      <c r="BC149" s="228">
        <v>3</v>
      </c>
      <c r="BD149" s="229">
        <v>0.54669999999999996</v>
      </c>
      <c r="BE149" s="228">
        <v>1</v>
      </c>
      <c r="BF149" s="228">
        <v>0</v>
      </c>
      <c r="BG149" s="228">
        <v>1</v>
      </c>
      <c r="BH149" s="229">
        <v>0</v>
      </c>
      <c r="BI149" s="228">
        <v>191</v>
      </c>
      <c r="BJ149" s="228">
        <v>151</v>
      </c>
      <c r="BK149" s="228">
        <v>40</v>
      </c>
      <c r="BL149" s="229">
        <v>0.26550000000000001</v>
      </c>
      <c r="BM149" s="228">
        <v>78</v>
      </c>
      <c r="BN149" s="228">
        <v>32</v>
      </c>
      <c r="BO149" s="228">
        <v>46</v>
      </c>
      <c r="BP149" s="229">
        <v>1.4300999999999999</v>
      </c>
      <c r="BQ149" s="228">
        <v>406</v>
      </c>
      <c r="BR149" s="228">
        <v>299</v>
      </c>
      <c r="BS149" s="228">
        <v>107</v>
      </c>
      <c r="BT149" s="229">
        <v>0.35620000000000002</v>
      </c>
      <c r="BU149" s="230">
        <v>697312</v>
      </c>
      <c r="BV149" s="230">
        <v>942233</v>
      </c>
      <c r="BW149" s="230">
        <v>-244921</v>
      </c>
      <c r="BX149" s="229">
        <v>-0.25990000000000002</v>
      </c>
      <c r="BY149" s="228">
        <v>186</v>
      </c>
      <c r="BZ149" s="228">
        <v>188</v>
      </c>
      <c r="CA149" s="228">
        <v>-1</v>
      </c>
      <c r="CB149" s="229">
        <v>-7.7999999999999996E-3</v>
      </c>
      <c r="CC149" s="228">
        <v>174</v>
      </c>
      <c r="CD149" s="228">
        <v>177</v>
      </c>
      <c r="CE149" s="228">
        <v>-3</v>
      </c>
      <c r="CF149" s="229">
        <v>-1.6199999999999999E-2</v>
      </c>
      <c r="CG149" s="228">
        <v>11</v>
      </c>
      <c r="CH149" s="228">
        <v>10</v>
      </c>
      <c r="CI149" s="228">
        <v>1</v>
      </c>
      <c r="CJ149" s="229">
        <v>7.4300000000000005E-2</v>
      </c>
      <c r="CK149" s="228">
        <v>1</v>
      </c>
      <c r="CL149" s="228">
        <v>0</v>
      </c>
      <c r="CM149" s="228">
        <v>1</v>
      </c>
      <c r="CN149" s="229">
        <v>1.5</v>
      </c>
      <c r="CO149" s="228">
        <v>114</v>
      </c>
      <c r="CP149" s="228">
        <v>98</v>
      </c>
      <c r="CQ149" s="228">
        <v>16</v>
      </c>
      <c r="CR149" s="229">
        <v>0.16450000000000001</v>
      </c>
      <c r="CS149" s="228">
        <v>71</v>
      </c>
      <c r="CT149" s="228">
        <v>49</v>
      </c>
      <c r="CU149" s="228">
        <v>22</v>
      </c>
      <c r="CV149" s="229">
        <v>0.4451</v>
      </c>
      <c r="CW149" s="228">
        <v>371</v>
      </c>
      <c r="CX149" s="228">
        <v>335</v>
      </c>
      <c r="CY149" s="228">
        <v>36</v>
      </c>
      <c r="CZ149" s="229">
        <v>0.1089</v>
      </c>
      <c r="DA149" s="228">
        <v>38.74</v>
      </c>
      <c r="DB149" s="228">
        <v>40.130000000000003</v>
      </c>
      <c r="DC149" s="228">
        <v>-1.39</v>
      </c>
      <c r="DD149" s="228">
        <v>-1.39</v>
      </c>
      <c r="DE149" s="228">
        <v>50.32</v>
      </c>
      <c r="DF149" s="228">
        <v>50.1</v>
      </c>
      <c r="DG149" s="228">
        <v>-11.58</v>
      </c>
      <c r="DH149" s="228">
        <v>0.22</v>
      </c>
      <c r="DI149" s="228">
        <v>38.380000000000003</v>
      </c>
      <c r="DJ149" s="228">
        <v>39.840000000000003</v>
      </c>
      <c r="DK149" s="228">
        <v>-1.46</v>
      </c>
      <c r="DL149" s="228">
        <v>-1.46</v>
      </c>
      <c r="DM149" s="228">
        <v>39.61</v>
      </c>
      <c r="DN149" s="228">
        <v>41.51</v>
      </c>
      <c r="DO149" s="228">
        <v>-1.9</v>
      </c>
      <c r="DP149" s="228">
        <v>-1.9</v>
      </c>
      <c r="DQ149" s="228">
        <v>0.62</v>
      </c>
      <c r="DR149" s="228">
        <v>0.5</v>
      </c>
      <c r="DS149" s="228">
        <v>0.12</v>
      </c>
      <c r="DT149" s="229">
        <v>0.24</v>
      </c>
      <c r="DU149" s="231">
        <v>1500</v>
      </c>
      <c r="DV149" s="231">
        <v>1300</v>
      </c>
      <c r="DW149" s="228">
        <v>0.41</v>
      </c>
      <c r="DX149" s="228">
        <v>0.21</v>
      </c>
      <c r="DY149" s="228">
        <v>0.2</v>
      </c>
      <c r="DZ149" s="229">
        <v>0.95240000000000002</v>
      </c>
      <c r="EA149" s="229">
        <v>6.54E-2</v>
      </c>
      <c r="EB149" s="230">
        <v>77000</v>
      </c>
      <c r="EC149" s="229">
        <v>-6.1000000000000004E-3</v>
      </c>
      <c r="ED149" s="229">
        <v>6.54E-2</v>
      </c>
      <c r="EE149" s="228">
        <v>-10.68</v>
      </c>
      <c r="EF149" s="229">
        <v>-7.7000000000000002E-3</v>
      </c>
      <c r="EG149" s="230">
        <v>298404</v>
      </c>
      <c r="EH149" s="230">
        <v>549582</v>
      </c>
      <c r="EI149" s="229">
        <v>-0.45700000000000002</v>
      </c>
      <c r="EJ149" s="229">
        <v>0.4279</v>
      </c>
      <c r="EK149" s="228">
        <v>200.04</v>
      </c>
      <c r="EL149" s="228">
        <v>76.06</v>
      </c>
      <c r="EM149" s="228">
        <v>134.63</v>
      </c>
      <c r="EN149" s="228">
        <v>13.7</v>
      </c>
      <c r="EO149" s="228">
        <v>410.72</v>
      </c>
      <c r="EP149" s="228">
        <v>296.70999999999998</v>
      </c>
      <c r="EQ149" s="228">
        <v>114.01</v>
      </c>
      <c r="ER149" s="229">
        <v>0.38419999999999999</v>
      </c>
      <c r="ES149" s="228">
        <v>115.77</v>
      </c>
      <c r="ET149" s="228">
        <v>66</v>
      </c>
      <c r="EU149" s="228">
        <v>186.31</v>
      </c>
      <c r="EV149" s="231">
        <v>12490416</v>
      </c>
      <c r="EW149" s="228">
        <v>368.08</v>
      </c>
      <c r="EX149" s="228">
        <v>323.27999999999997</v>
      </c>
      <c r="EY149" s="228">
        <v>44.8</v>
      </c>
      <c r="EZ149" s="229">
        <v>0.1386</v>
      </c>
      <c r="FA149" s="229">
        <v>0.21190000000000001</v>
      </c>
      <c r="FB149" s="227" t="s">
        <v>691</v>
      </c>
      <c r="FC149">
        <f t="shared" ref="FC149:FC194" si="3">BY216-CC216</f>
        <v>31</v>
      </c>
    </row>
    <row r="150" spans="1:159" ht="17.25" thickBot="1" x14ac:dyDescent="0.3">
      <c r="A150" s="226">
        <v>46148</v>
      </c>
      <c r="B150" s="227" t="s">
        <v>614</v>
      </c>
      <c r="C150" s="227" t="s">
        <v>612</v>
      </c>
      <c r="D150" s="228">
        <v>3125</v>
      </c>
      <c r="E150" s="228">
        <v>20</v>
      </c>
      <c r="F150" s="228">
        <v>273.75</v>
      </c>
      <c r="G150" s="228">
        <v>270.7</v>
      </c>
      <c r="H150" s="228">
        <v>3.05</v>
      </c>
      <c r="I150" s="229">
        <v>1.1299999999999999E-2</v>
      </c>
      <c r="J150" s="228">
        <v>272.35000000000002</v>
      </c>
      <c r="K150" s="228">
        <v>270</v>
      </c>
      <c r="L150" s="228">
        <v>2.35</v>
      </c>
      <c r="M150" s="229">
        <v>8.6999999999999994E-3</v>
      </c>
      <c r="N150" s="228">
        <v>273.75</v>
      </c>
      <c r="O150" s="228">
        <v>270.7</v>
      </c>
      <c r="P150" s="228">
        <v>3.05</v>
      </c>
      <c r="Q150" s="229">
        <v>1.1299999999999999E-2</v>
      </c>
      <c r="R150" s="228">
        <v>274.95</v>
      </c>
      <c r="S150" s="228">
        <v>271.64999999999998</v>
      </c>
      <c r="T150" s="228">
        <v>3.3</v>
      </c>
      <c r="U150" s="229">
        <v>1.21E-2</v>
      </c>
      <c r="V150" s="228">
        <v>275.8</v>
      </c>
      <c r="W150" s="228">
        <v>267</v>
      </c>
      <c r="X150" s="228">
        <v>8.8000000000000007</v>
      </c>
      <c r="Y150" s="229">
        <v>3.3000000000000002E-2</v>
      </c>
      <c r="Z150" s="228">
        <v>1.4</v>
      </c>
      <c r="AA150" s="228">
        <v>0.7</v>
      </c>
      <c r="AB150" s="228">
        <v>0.7</v>
      </c>
      <c r="AC150" s="229">
        <v>5.1000000000000004E-3</v>
      </c>
      <c r="AD150" s="228">
        <v>1.4</v>
      </c>
      <c r="AE150" s="228">
        <v>0.7</v>
      </c>
      <c r="AF150" s="228">
        <v>0.7</v>
      </c>
      <c r="AG150" s="229">
        <v>5.1000000000000004E-3</v>
      </c>
      <c r="AH150" s="228">
        <v>2.6</v>
      </c>
      <c r="AI150" s="228">
        <v>1.65</v>
      </c>
      <c r="AJ150" s="228">
        <v>0.95</v>
      </c>
      <c r="AK150" s="229">
        <v>9.4999999999999998E-3</v>
      </c>
      <c r="AL150" s="228">
        <v>3.45</v>
      </c>
      <c r="AM150" s="228">
        <v>-3</v>
      </c>
      <c r="AN150" s="228">
        <v>6.45</v>
      </c>
      <c r="AO150" s="229">
        <v>1.2699999999999999E-2</v>
      </c>
      <c r="AP150" s="228">
        <v>272.95</v>
      </c>
      <c r="AQ150" s="228">
        <v>273.89999999999998</v>
      </c>
      <c r="AR150" s="228">
        <v>0</v>
      </c>
      <c r="AS150" s="228">
        <v>96</v>
      </c>
      <c r="AT150" s="228">
        <v>79</v>
      </c>
      <c r="AU150" s="228">
        <v>18</v>
      </c>
      <c r="AV150" s="229">
        <v>0.2263</v>
      </c>
      <c r="AW150" s="228">
        <v>91</v>
      </c>
      <c r="AX150" s="228">
        <v>77</v>
      </c>
      <c r="AY150" s="228">
        <v>15</v>
      </c>
      <c r="AZ150" s="229">
        <v>0.1895</v>
      </c>
      <c r="BA150" s="228">
        <v>5</v>
      </c>
      <c r="BB150" s="228">
        <v>2</v>
      </c>
      <c r="BC150" s="228">
        <v>3</v>
      </c>
      <c r="BD150" s="229">
        <v>1.5909</v>
      </c>
      <c r="BE150" s="228">
        <v>0</v>
      </c>
      <c r="BF150" s="228">
        <v>0</v>
      </c>
      <c r="BG150" s="228">
        <v>0</v>
      </c>
      <c r="BH150" s="229">
        <v>0</v>
      </c>
      <c r="BI150" s="228">
        <v>248</v>
      </c>
      <c r="BJ150" s="228">
        <v>122</v>
      </c>
      <c r="BK150" s="228">
        <v>127</v>
      </c>
      <c r="BL150" s="229">
        <v>1.0436000000000001</v>
      </c>
      <c r="BM150" s="228">
        <v>51</v>
      </c>
      <c r="BN150" s="228">
        <v>34</v>
      </c>
      <c r="BO150" s="228">
        <v>18</v>
      </c>
      <c r="BP150" s="229">
        <v>0.52790000000000004</v>
      </c>
      <c r="BQ150" s="228">
        <v>396</v>
      </c>
      <c r="BR150" s="228">
        <v>234</v>
      </c>
      <c r="BS150" s="228">
        <v>162</v>
      </c>
      <c r="BT150" s="229">
        <v>0.6946</v>
      </c>
      <c r="BU150" s="230">
        <v>3412209</v>
      </c>
      <c r="BV150" s="230">
        <v>2467293</v>
      </c>
      <c r="BW150" s="230">
        <v>944916</v>
      </c>
      <c r="BX150" s="229">
        <v>0.38300000000000001</v>
      </c>
      <c r="BY150" s="230">
        <v>1284</v>
      </c>
      <c r="BZ150" s="230">
        <v>1290</v>
      </c>
      <c r="CA150" s="228">
        <v>-6</v>
      </c>
      <c r="CB150" s="229">
        <v>-4.7999999999999996E-3</v>
      </c>
      <c r="CC150" s="230">
        <v>1277</v>
      </c>
      <c r="CD150" s="230">
        <v>1285</v>
      </c>
      <c r="CE150" s="228">
        <v>-8</v>
      </c>
      <c r="CF150" s="229">
        <v>-5.8999999999999999E-3</v>
      </c>
      <c r="CG150" s="228">
        <v>6</v>
      </c>
      <c r="CH150" s="228">
        <v>4</v>
      </c>
      <c r="CI150" s="228">
        <v>1</v>
      </c>
      <c r="CJ150" s="229">
        <v>0.30769999999999997</v>
      </c>
      <c r="CK150" s="228">
        <v>0</v>
      </c>
      <c r="CL150" s="228">
        <v>0</v>
      </c>
      <c r="CM150" s="228">
        <v>0</v>
      </c>
      <c r="CN150" s="229">
        <v>0.25</v>
      </c>
      <c r="CO150" s="228">
        <v>190</v>
      </c>
      <c r="CP150" s="228">
        <v>155</v>
      </c>
      <c r="CQ150" s="228">
        <v>35</v>
      </c>
      <c r="CR150" s="229">
        <v>0.22370000000000001</v>
      </c>
      <c r="CS150" s="228">
        <v>97</v>
      </c>
      <c r="CT150" s="228">
        <v>85</v>
      </c>
      <c r="CU150" s="228">
        <v>12</v>
      </c>
      <c r="CV150" s="229">
        <v>0.14729999999999999</v>
      </c>
      <c r="CW150" s="230">
        <v>1571</v>
      </c>
      <c r="CX150" s="230">
        <v>1530</v>
      </c>
      <c r="CY150" s="228">
        <v>41</v>
      </c>
      <c r="CZ150" s="229">
        <v>2.6800000000000001E-2</v>
      </c>
      <c r="DA150" s="228">
        <v>31.91</v>
      </c>
      <c r="DB150" s="228">
        <v>33.659999999999997</v>
      </c>
      <c r="DC150" s="228">
        <v>-1.75</v>
      </c>
      <c r="DD150" s="228">
        <v>-1.75</v>
      </c>
      <c r="DE150" s="228">
        <v>35.47</v>
      </c>
      <c r="DF150" s="228">
        <v>35.54</v>
      </c>
      <c r="DG150" s="228">
        <v>-3.56</v>
      </c>
      <c r="DH150" s="228">
        <v>-7.0000000000000007E-2</v>
      </c>
      <c r="DI150" s="228">
        <v>31.71</v>
      </c>
      <c r="DJ150" s="228">
        <v>33.57</v>
      </c>
      <c r="DK150" s="228">
        <v>-1.86</v>
      </c>
      <c r="DL150" s="228">
        <v>-1.86</v>
      </c>
      <c r="DM150" s="228">
        <v>32.85</v>
      </c>
      <c r="DN150" s="228">
        <v>34.01</v>
      </c>
      <c r="DO150" s="228">
        <v>-1.1599999999999999</v>
      </c>
      <c r="DP150" s="228">
        <v>-1.1599999999999999</v>
      </c>
      <c r="DQ150" s="228">
        <v>0.51</v>
      </c>
      <c r="DR150" s="228">
        <v>0.55000000000000004</v>
      </c>
      <c r="DS150" s="228">
        <v>-0.04</v>
      </c>
      <c r="DT150" s="229">
        <v>-7.2700000000000001E-2</v>
      </c>
      <c r="DU150" s="228">
        <v>300</v>
      </c>
      <c r="DV150" s="228">
        <v>260</v>
      </c>
      <c r="DW150" s="228">
        <v>0.21</v>
      </c>
      <c r="DX150" s="228">
        <v>0.28000000000000003</v>
      </c>
      <c r="DY150" s="228">
        <v>-7.0000000000000007E-2</v>
      </c>
      <c r="DZ150" s="229">
        <v>-0.25</v>
      </c>
      <c r="EA150" s="229">
        <v>4.8999999999999998E-3</v>
      </c>
      <c r="EB150" s="230">
        <v>175000</v>
      </c>
      <c r="EC150" s="229">
        <v>4.4000000000000003E-3</v>
      </c>
      <c r="ED150" s="229">
        <v>4.8999999999999998E-3</v>
      </c>
      <c r="EE150" s="228">
        <v>0.95</v>
      </c>
      <c r="EF150" s="229">
        <v>3.5000000000000001E-3</v>
      </c>
      <c r="EG150" s="230">
        <v>1888340</v>
      </c>
      <c r="EH150" s="230">
        <v>1433036</v>
      </c>
      <c r="EI150" s="229">
        <v>0.31769999999999998</v>
      </c>
      <c r="EJ150" s="229">
        <v>0.5534</v>
      </c>
      <c r="EK150" s="228">
        <v>260.42</v>
      </c>
      <c r="EL150" s="228">
        <v>50.41</v>
      </c>
      <c r="EM150" s="228">
        <v>96.15</v>
      </c>
      <c r="EN150" s="228">
        <v>10.11</v>
      </c>
      <c r="EO150" s="228">
        <v>406.98</v>
      </c>
      <c r="EP150" s="228">
        <v>236.36</v>
      </c>
      <c r="EQ150" s="228">
        <v>170.62</v>
      </c>
      <c r="ER150" s="229">
        <v>0.72189999999999999</v>
      </c>
      <c r="ES150" s="228">
        <v>195.73</v>
      </c>
      <c r="ET150" s="228">
        <v>92.27</v>
      </c>
      <c r="EU150" s="231">
        <v>1283.6600000000001</v>
      </c>
      <c r="EV150" s="231">
        <v>205669742</v>
      </c>
      <c r="EW150" s="231">
        <v>1571.66</v>
      </c>
      <c r="EX150" s="231">
        <v>1515.04</v>
      </c>
      <c r="EY150" s="228">
        <v>56.62</v>
      </c>
      <c r="EZ150" s="229">
        <v>3.7400000000000003E-2</v>
      </c>
      <c r="FA150" s="229">
        <v>0.27900000000000003</v>
      </c>
      <c r="FB150" s="227" t="s">
        <v>691</v>
      </c>
      <c r="FC150">
        <f t="shared" si="3"/>
        <v>0</v>
      </c>
    </row>
    <row r="151" spans="1:159" ht="17.25" thickBot="1" x14ac:dyDescent="0.3">
      <c r="A151" s="226">
        <v>46148</v>
      </c>
      <c r="B151" s="227" t="s">
        <v>206</v>
      </c>
      <c r="C151" s="227" t="s">
        <v>528</v>
      </c>
      <c r="D151" s="228">
        <v>350</v>
      </c>
      <c r="E151" s="228">
        <v>20</v>
      </c>
      <c r="F151" s="231">
        <v>1680.5</v>
      </c>
      <c r="G151" s="231">
        <v>1670.4</v>
      </c>
      <c r="H151" s="228">
        <v>10.1</v>
      </c>
      <c r="I151" s="229">
        <v>6.0000000000000001E-3</v>
      </c>
      <c r="J151" s="231">
        <v>1673.4</v>
      </c>
      <c r="K151" s="231">
        <v>1666.3</v>
      </c>
      <c r="L151" s="228">
        <v>7.1</v>
      </c>
      <c r="M151" s="229">
        <v>4.3E-3</v>
      </c>
      <c r="N151" s="231">
        <v>1680.5</v>
      </c>
      <c r="O151" s="231">
        <v>1670.4</v>
      </c>
      <c r="P151" s="228">
        <v>10.1</v>
      </c>
      <c r="Q151" s="229">
        <v>6.0000000000000001E-3</v>
      </c>
      <c r="R151" s="231">
        <v>1670.5</v>
      </c>
      <c r="S151" s="231">
        <v>1658.3</v>
      </c>
      <c r="T151" s="228">
        <v>12.2</v>
      </c>
      <c r="U151" s="229">
        <v>7.4000000000000003E-3</v>
      </c>
      <c r="V151" s="231">
        <v>1660.7</v>
      </c>
      <c r="W151" s="231">
        <v>1645</v>
      </c>
      <c r="X151" s="228">
        <v>15.7</v>
      </c>
      <c r="Y151" s="229">
        <v>9.4999999999999998E-3</v>
      </c>
      <c r="Z151" s="228">
        <v>7.1</v>
      </c>
      <c r="AA151" s="228">
        <v>4.0999999999999996</v>
      </c>
      <c r="AB151" s="228">
        <v>3</v>
      </c>
      <c r="AC151" s="229">
        <v>4.1999999999999997E-3</v>
      </c>
      <c r="AD151" s="228">
        <v>7.1</v>
      </c>
      <c r="AE151" s="228">
        <v>4.0999999999999996</v>
      </c>
      <c r="AF151" s="228">
        <v>3</v>
      </c>
      <c r="AG151" s="229">
        <v>4.1999999999999997E-3</v>
      </c>
      <c r="AH151" s="228">
        <v>-2.9</v>
      </c>
      <c r="AI151" s="228">
        <v>-8</v>
      </c>
      <c r="AJ151" s="228">
        <v>5.0999999999999996</v>
      </c>
      <c r="AK151" s="229">
        <v>-1.6999999999999999E-3</v>
      </c>
      <c r="AL151" s="228">
        <v>-12.7</v>
      </c>
      <c r="AM151" s="228">
        <v>-21.3</v>
      </c>
      <c r="AN151" s="228">
        <v>8.6</v>
      </c>
      <c r="AO151" s="229">
        <v>-7.6E-3</v>
      </c>
      <c r="AP151" s="231">
        <v>1675.65</v>
      </c>
      <c r="AQ151" s="231">
        <v>1662.28</v>
      </c>
      <c r="AR151" s="228">
        <v>0</v>
      </c>
      <c r="AS151" s="228">
        <v>90</v>
      </c>
      <c r="AT151" s="228">
        <v>76</v>
      </c>
      <c r="AU151" s="228">
        <v>15</v>
      </c>
      <c r="AV151" s="229">
        <v>0.193</v>
      </c>
      <c r="AW151" s="228">
        <v>84</v>
      </c>
      <c r="AX151" s="228">
        <v>72</v>
      </c>
      <c r="AY151" s="228">
        <v>12</v>
      </c>
      <c r="AZ151" s="229">
        <v>0.1686</v>
      </c>
      <c r="BA151" s="228">
        <v>6</v>
      </c>
      <c r="BB151" s="228">
        <v>3</v>
      </c>
      <c r="BC151" s="228">
        <v>3</v>
      </c>
      <c r="BD151" s="229">
        <v>0.83330000000000004</v>
      </c>
      <c r="BE151" s="228">
        <v>0</v>
      </c>
      <c r="BF151" s="228">
        <v>1</v>
      </c>
      <c r="BG151" s="228">
        <v>0</v>
      </c>
      <c r="BH151" s="229">
        <v>-0.33329999999999999</v>
      </c>
      <c r="BI151" s="228">
        <v>119</v>
      </c>
      <c r="BJ151" s="228">
        <v>65</v>
      </c>
      <c r="BK151" s="228">
        <v>54</v>
      </c>
      <c r="BL151" s="229">
        <v>0.83079999999999998</v>
      </c>
      <c r="BM151" s="228">
        <v>36</v>
      </c>
      <c r="BN151" s="228">
        <v>34</v>
      </c>
      <c r="BO151" s="228">
        <v>2</v>
      </c>
      <c r="BP151" s="229">
        <v>6.0400000000000002E-2</v>
      </c>
      <c r="BQ151" s="228">
        <v>245</v>
      </c>
      <c r="BR151" s="228">
        <v>175</v>
      </c>
      <c r="BS151" s="228">
        <v>71</v>
      </c>
      <c r="BT151" s="229">
        <v>0.40450000000000003</v>
      </c>
      <c r="BU151" s="230">
        <v>285282</v>
      </c>
      <c r="BV151" s="230">
        <v>183427</v>
      </c>
      <c r="BW151" s="230">
        <v>101855</v>
      </c>
      <c r="BX151" s="229">
        <v>0.55530000000000002</v>
      </c>
      <c r="BY151" s="230">
        <v>1174</v>
      </c>
      <c r="BZ151" s="230">
        <v>1174</v>
      </c>
      <c r="CA151" s="228">
        <v>0</v>
      </c>
      <c r="CB151" s="229">
        <v>-1E-4</v>
      </c>
      <c r="CC151" s="230">
        <v>1157</v>
      </c>
      <c r="CD151" s="230">
        <v>1160</v>
      </c>
      <c r="CE151" s="228">
        <v>-3</v>
      </c>
      <c r="CF151" s="229">
        <v>-2.5000000000000001E-3</v>
      </c>
      <c r="CG151" s="228">
        <v>15</v>
      </c>
      <c r="CH151" s="228">
        <v>12</v>
      </c>
      <c r="CI151" s="228">
        <v>3</v>
      </c>
      <c r="CJ151" s="229">
        <v>0.22889999999999999</v>
      </c>
      <c r="CK151" s="228">
        <v>2</v>
      </c>
      <c r="CL151" s="228">
        <v>2</v>
      </c>
      <c r="CM151" s="228">
        <v>0</v>
      </c>
      <c r="CN151" s="229">
        <v>7.6899999999999996E-2</v>
      </c>
      <c r="CO151" s="228">
        <v>186</v>
      </c>
      <c r="CP151" s="228">
        <v>170</v>
      </c>
      <c r="CQ151" s="228">
        <v>16</v>
      </c>
      <c r="CR151" s="229">
        <v>9.4E-2</v>
      </c>
      <c r="CS151" s="228">
        <v>67</v>
      </c>
      <c r="CT151" s="228">
        <v>61</v>
      </c>
      <c r="CU151" s="228">
        <v>6</v>
      </c>
      <c r="CV151" s="229">
        <v>0.1009</v>
      </c>
      <c r="CW151" s="230">
        <v>1427</v>
      </c>
      <c r="CX151" s="230">
        <v>1405</v>
      </c>
      <c r="CY151" s="228">
        <v>22</v>
      </c>
      <c r="CZ151" s="229">
        <v>1.5699999999999999E-2</v>
      </c>
      <c r="DA151" s="228">
        <v>35.58</v>
      </c>
      <c r="DB151" s="228">
        <v>35.94</v>
      </c>
      <c r="DC151" s="228">
        <v>-0.36</v>
      </c>
      <c r="DD151" s="228">
        <v>-0.36</v>
      </c>
      <c r="DE151" s="228">
        <v>36.35</v>
      </c>
      <c r="DF151" s="228">
        <v>36.43</v>
      </c>
      <c r="DG151" s="228">
        <v>-0.77</v>
      </c>
      <c r="DH151" s="228">
        <v>-0.08</v>
      </c>
      <c r="DI151" s="228">
        <v>35.29</v>
      </c>
      <c r="DJ151" s="228">
        <v>35.39</v>
      </c>
      <c r="DK151" s="228">
        <v>-0.1</v>
      </c>
      <c r="DL151" s="228">
        <v>-0.1</v>
      </c>
      <c r="DM151" s="228">
        <v>36.54</v>
      </c>
      <c r="DN151" s="228">
        <v>37</v>
      </c>
      <c r="DO151" s="228">
        <v>-0.46</v>
      </c>
      <c r="DP151" s="228">
        <v>-0.46</v>
      </c>
      <c r="DQ151" s="228">
        <v>0.36</v>
      </c>
      <c r="DR151" s="228">
        <v>0.36</v>
      </c>
      <c r="DS151" s="228">
        <v>0</v>
      </c>
      <c r="DT151" s="229">
        <v>0</v>
      </c>
      <c r="DU151" s="231">
        <v>1880</v>
      </c>
      <c r="DV151" s="231">
        <v>1600</v>
      </c>
      <c r="DW151" s="228">
        <v>0.3</v>
      </c>
      <c r="DX151" s="228">
        <v>0.52</v>
      </c>
      <c r="DY151" s="228">
        <v>-0.22</v>
      </c>
      <c r="DZ151" s="229">
        <v>-0.42309999999999998</v>
      </c>
      <c r="EA151" s="229">
        <v>1.38E-2</v>
      </c>
      <c r="EB151" s="230">
        <v>79450</v>
      </c>
      <c r="EC151" s="229">
        <v>-6.0000000000000001E-3</v>
      </c>
      <c r="ED151" s="229">
        <v>1.38E-2</v>
      </c>
      <c r="EE151" s="228">
        <v>-13.37</v>
      </c>
      <c r="EF151" s="229">
        <v>-8.0000000000000002E-3</v>
      </c>
      <c r="EG151" s="230">
        <v>132016</v>
      </c>
      <c r="EH151" s="230">
        <v>60268</v>
      </c>
      <c r="EI151" s="229">
        <v>1.1904999999999999</v>
      </c>
      <c r="EJ151" s="229">
        <v>0.46279999999999999</v>
      </c>
      <c r="EK151" s="228">
        <v>126.35</v>
      </c>
      <c r="EL151" s="228">
        <v>35.81</v>
      </c>
      <c r="EM151" s="228">
        <v>89.86</v>
      </c>
      <c r="EN151" s="228">
        <v>15.27</v>
      </c>
      <c r="EO151" s="228">
        <v>252.01</v>
      </c>
      <c r="EP151" s="228">
        <v>179.2</v>
      </c>
      <c r="EQ151" s="228">
        <v>72.819999999999993</v>
      </c>
      <c r="ER151" s="229">
        <v>0.40629999999999999</v>
      </c>
      <c r="ES151" s="228">
        <v>201.76</v>
      </c>
      <c r="ET151" s="228">
        <v>65.09</v>
      </c>
      <c r="EU151" s="231">
        <v>1173.54</v>
      </c>
      <c r="EV151" s="231">
        <v>17614093</v>
      </c>
      <c r="EW151" s="231">
        <v>1440.39</v>
      </c>
      <c r="EX151" s="231">
        <v>1410.8</v>
      </c>
      <c r="EY151" s="228">
        <v>29.59</v>
      </c>
      <c r="EZ151" s="229">
        <v>2.1000000000000001E-2</v>
      </c>
      <c r="FA151" s="229">
        <v>0.4819</v>
      </c>
      <c r="FB151" s="227" t="s">
        <v>691</v>
      </c>
      <c r="FC151">
        <f t="shared" si="3"/>
        <v>0</v>
      </c>
    </row>
    <row r="152" spans="1:159" ht="17.25" thickBot="1" x14ac:dyDescent="0.3">
      <c r="A152" s="226">
        <v>46148</v>
      </c>
      <c r="B152" s="227" t="s">
        <v>221</v>
      </c>
      <c r="C152" s="227" t="s">
        <v>518</v>
      </c>
      <c r="D152" s="228">
        <v>75</v>
      </c>
      <c r="E152" s="228">
        <v>20</v>
      </c>
      <c r="F152" s="231">
        <v>9645</v>
      </c>
      <c r="G152" s="231">
        <v>9665.5</v>
      </c>
      <c r="H152" s="228">
        <v>-20.5</v>
      </c>
      <c r="I152" s="229">
        <v>-2.0999999999999999E-3</v>
      </c>
      <c r="J152" s="231">
        <v>9694.5</v>
      </c>
      <c r="K152" s="231">
        <v>9707</v>
      </c>
      <c r="L152" s="228">
        <v>-12.5</v>
      </c>
      <c r="M152" s="229">
        <v>-1.2999999999999999E-3</v>
      </c>
      <c r="N152" s="231">
        <v>9645</v>
      </c>
      <c r="O152" s="231">
        <v>9665.5</v>
      </c>
      <c r="P152" s="228">
        <v>-20.5</v>
      </c>
      <c r="Q152" s="229">
        <v>-2.0999999999999999E-3</v>
      </c>
      <c r="R152" s="231">
        <v>9568</v>
      </c>
      <c r="S152" s="231">
        <v>9563</v>
      </c>
      <c r="T152" s="228">
        <v>5</v>
      </c>
      <c r="U152" s="229">
        <v>5.0000000000000001E-4</v>
      </c>
      <c r="V152" s="231">
        <v>9548</v>
      </c>
      <c r="W152" s="231">
        <v>9555</v>
      </c>
      <c r="X152" s="228">
        <v>-7</v>
      </c>
      <c r="Y152" s="229">
        <v>-6.9999999999999999E-4</v>
      </c>
      <c r="Z152" s="228">
        <v>-49.5</v>
      </c>
      <c r="AA152" s="228">
        <v>-41.5</v>
      </c>
      <c r="AB152" s="228">
        <v>-8</v>
      </c>
      <c r="AC152" s="229">
        <v>-5.1000000000000004E-3</v>
      </c>
      <c r="AD152" s="228">
        <v>-49.5</v>
      </c>
      <c r="AE152" s="228">
        <v>-41.5</v>
      </c>
      <c r="AF152" s="228">
        <v>-8</v>
      </c>
      <c r="AG152" s="229">
        <v>-5.1000000000000004E-3</v>
      </c>
      <c r="AH152" s="228">
        <v>-126.5</v>
      </c>
      <c r="AI152" s="228">
        <v>-144</v>
      </c>
      <c r="AJ152" s="228">
        <v>17.5</v>
      </c>
      <c r="AK152" s="229">
        <v>-1.2999999999999999E-2</v>
      </c>
      <c r="AL152" s="228">
        <v>-146.5</v>
      </c>
      <c r="AM152" s="228">
        <v>-152</v>
      </c>
      <c r="AN152" s="228">
        <v>5.5</v>
      </c>
      <c r="AO152" s="229">
        <v>-1.5100000000000001E-2</v>
      </c>
      <c r="AP152" s="231">
        <v>9639.93</v>
      </c>
      <c r="AQ152" s="231">
        <v>9546.9</v>
      </c>
      <c r="AR152" s="228">
        <v>0</v>
      </c>
      <c r="AS152" s="228">
        <v>209</v>
      </c>
      <c r="AT152" s="228">
        <v>255</v>
      </c>
      <c r="AU152" s="228">
        <v>-46</v>
      </c>
      <c r="AV152" s="229">
        <v>-0.18049999999999999</v>
      </c>
      <c r="AW152" s="228">
        <v>201</v>
      </c>
      <c r="AX152" s="228">
        <v>243</v>
      </c>
      <c r="AY152" s="228">
        <v>-43</v>
      </c>
      <c r="AZ152" s="229">
        <v>-0.17499999999999999</v>
      </c>
      <c r="BA152" s="228">
        <v>8</v>
      </c>
      <c r="BB152" s="228">
        <v>10</v>
      </c>
      <c r="BC152" s="228">
        <v>-2</v>
      </c>
      <c r="BD152" s="229">
        <v>-0.16669999999999999</v>
      </c>
      <c r="BE152" s="228">
        <v>0</v>
      </c>
      <c r="BF152" s="228">
        <v>2</v>
      </c>
      <c r="BG152" s="228">
        <v>-2</v>
      </c>
      <c r="BH152" s="229">
        <v>-0.92589999999999995</v>
      </c>
      <c r="BI152" s="228">
        <v>501</v>
      </c>
      <c r="BJ152" s="228">
        <v>939</v>
      </c>
      <c r="BK152" s="228">
        <v>-437</v>
      </c>
      <c r="BL152" s="229">
        <v>-0.46579999999999999</v>
      </c>
      <c r="BM152" s="228">
        <v>881</v>
      </c>
      <c r="BN152" s="228">
        <v>683</v>
      </c>
      <c r="BO152" s="228">
        <v>198</v>
      </c>
      <c r="BP152" s="229">
        <v>0.28960000000000002</v>
      </c>
      <c r="BQ152" s="230">
        <v>1592</v>
      </c>
      <c r="BR152" s="230">
        <v>1877</v>
      </c>
      <c r="BS152" s="228">
        <v>-285</v>
      </c>
      <c r="BT152" s="229">
        <v>-0.152</v>
      </c>
      <c r="BU152" s="230">
        <v>264350</v>
      </c>
      <c r="BV152" s="230">
        <v>274885</v>
      </c>
      <c r="BW152" s="230">
        <v>-10535</v>
      </c>
      <c r="BX152" s="229">
        <v>-3.8300000000000001E-2</v>
      </c>
      <c r="BY152" s="230">
        <v>1224</v>
      </c>
      <c r="BZ152" s="230">
        <v>1229</v>
      </c>
      <c r="CA152" s="228">
        <v>-5</v>
      </c>
      <c r="CB152" s="229">
        <v>-4.1999999999999997E-3</v>
      </c>
      <c r="CC152" s="230">
        <v>1197</v>
      </c>
      <c r="CD152" s="230">
        <v>1204</v>
      </c>
      <c r="CE152" s="228">
        <v>-7</v>
      </c>
      <c r="CF152" s="229">
        <v>-6.1000000000000004E-3</v>
      </c>
      <c r="CG152" s="228">
        <v>23</v>
      </c>
      <c r="CH152" s="228">
        <v>21</v>
      </c>
      <c r="CI152" s="228">
        <v>2</v>
      </c>
      <c r="CJ152" s="229">
        <v>0.1014</v>
      </c>
      <c r="CK152" s="228">
        <v>4</v>
      </c>
      <c r="CL152" s="228">
        <v>4</v>
      </c>
      <c r="CM152" s="228">
        <v>0</v>
      </c>
      <c r="CN152" s="229">
        <v>2.2700000000000001E-2</v>
      </c>
      <c r="CO152" s="228">
        <v>615</v>
      </c>
      <c r="CP152" s="228">
        <v>612</v>
      </c>
      <c r="CQ152" s="228">
        <v>3</v>
      </c>
      <c r="CR152" s="229">
        <v>4.7999999999999996E-3</v>
      </c>
      <c r="CS152" s="228">
        <v>674</v>
      </c>
      <c r="CT152" s="228">
        <v>629</v>
      </c>
      <c r="CU152" s="228">
        <v>44</v>
      </c>
      <c r="CV152" s="229">
        <v>7.0699999999999999E-2</v>
      </c>
      <c r="CW152" s="230">
        <v>2513</v>
      </c>
      <c r="CX152" s="230">
        <v>2470</v>
      </c>
      <c r="CY152" s="228">
        <v>42</v>
      </c>
      <c r="CZ152" s="229">
        <v>1.7100000000000001E-2</v>
      </c>
      <c r="DA152" s="228">
        <v>41.94</v>
      </c>
      <c r="DB152" s="228">
        <v>36.97</v>
      </c>
      <c r="DC152" s="228">
        <v>4.97</v>
      </c>
      <c r="DD152" s="228">
        <v>4.97</v>
      </c>
      <c r="DE152" s="228">
        <v>41.15</v>
      </c>
      <c r="DF152" s="228">
        <v>41.25</v>
      </c>
      <c r="DG152" s="228">
        <v>0.79</v>
      </c>
      <c r="DH152" s="228">
        <v>-0.1</v>
      </c>
      <c r="DI152" s="228">
        <v>33.01</v>
      </c>
      <c r="DJ152" s="228">
        <v>34.840000000000003</v>
      </c>
      <c r="DK152" s="228">
        <v>-1.83</v>
      </c>
      <c r="DL152" s="228">
        <v>-1.83</v>
      </c>
      <c r="DM152" s="228">
        <v>47.01</v>
      </c>
      <c r="DN152" s="228">
        <v>39.909999999999997</v>
      </c>
      <c r="DO152" s="228">
        <v>7.1</v>
      </c>
      <c r="DP152" s="228">
        <v>7.1</v>
      </c>
      <c r="DQ152" s="228">
        <v>1.1000000000000001</v>
      </c>
      <c r="DR152" s="228">
        <v>1.03</v>
      </c>
      <c r="DS152" s="228">
        <v>7.0000000000000007E-2</v>
      </c>
      <c r="DT152" s="229">
        <v>6.8000000000000005E-2</v>
      </c>
      <c r="DU152" s="231">
        <v>9800</v>
      </c>
      <c r="DV152" s="231">
        <v>9000</v>
      </c>
      <c r="DW152" s="228">
        <v>1.76</v>
      </c>
      <c r="DX152" s="228">
        <v>0.73</v>
      </c>
      <c r="DY152" s="228">
        <v>1.03</v>
      </c>
      <c r="DZ152" s="229">
        <v>1.411</v>
      </c>
      <c r="EA152" s="229">
        <v>2.2200000000000001E-2</v>
      </c>
      <c r="EB152" s="230">
        <v>25850</v>
      </c>
      <c r="EC152" s="229">
        <v>-8.0000000000000002E-3</v>
      </c>
      <c r="ED152" s="229">
        <v>2.2200000000000001E-2</v>
      </c>
      <c r="EE152" s="228">
        <v>-93.03</v>
      </c>
      <c r="EF152" s="229">
        <v>-9.7000000000000003E-3</v>
      </c>
      <c r="EG152" s="230">
        <v>130460</v>
      </c>
      <c r="EH152" s="230">
        <v>100022</v>
      </c>
      <c r="EI152" s="229">
        <v>0.30430000000000001</v>
      </c>
      <c r="EJ152" s="229">
        <v>0.49349999999999999</v>
      </c>
      <c r="EK152" s="228">
        <v>530.13</v>
      </c>
      <c r="EL152" s="228">
        <v>754.09</v>
      </c>
      <c r="EM152" s="228">
        <v>209.13</v>
      </c>
      <c r="EN152" s="228">
        <v>39.380000000000003</v>
      </c>
      <c r="EO152" s="231">
        <v>1493.34</v>
      </c>
      <c r="EP152" s="231">
        <v>1886.83</v>
      </c>
      <c r="EQ152" s="228">
        <v>-393.48</v>
      </c>
      <c r="ER152" s="229">
        <v>-0.20849999999999999</v>
      </c>
      <c r="ES152" s="228">
        <v>614.39</v>
      </c>
      <c r="ET152" s="228">
        <v>609.53</v>
      </c>
      <c r="EU152" s="231">
        <v>1223.94</v>
      </c>
      <c r="EV152" s="231">
        <v>3594855</v>
      </c>
      <c r="EW152" s="231">
        <v>2447.87</v>
      </c>
      <c r="EX152" s="231">
        <v>2413.9499999999998</v>
      </c>
      <c r="EY152" s="228">
        <v>33.92</v>
      </c>
      <c r="EZ152" s="229">
        <v>1.41E-2</v>
      </c>
      <c r="FA152" s="229">
        <v>0.72470000000000001</v>
      </c>
      <c r="FB152" s="227" t="s">
        <v>567</v>
      </c>
      <c r="FC152">
        <f t="shared" si="3"/>
        <v>0</v>
      </c>
    </row>
    <row r="153" spans="1:159" ht="17.25" thickBot="1" x14ac:dyDescent="0.3">
      <c r="A153" s="226">
        <v>46148</v>
      </c>
      <c r="B153" s="227" t="s">
        <v>193</v>
      </c>
      <c r="C153" s="227" t="s">
        <v>586</v>
      </c>
      <c r="D153" s="228">
        <v>1400</v>
      </c>
      <c r="E153" s="228">
        <v>20</v>
      </c>
      <c r="F153" s="228">
        <v>453.25</v>
      </c>
      <c r="G153" s="228">
        <v>478</v>
      </c>
      <c r="H153" s="228">
        <v>-24.75</v>
      </c>
      <c r="I153" s="229">
        <v>-5.1799999999999999E-2</v>
      </c>
      <c r="J153" s="228">
        <v>450.25</v>
      </c>
      <c r="K153" s="228">
        <v>476.5</v>
      </c>
      <c r="L153" s="228">
        <v>-26.25</v>
      </c>
      <c r="M153" s="229">
        <v>-5.5100000000000003E-2</v>
      </c>
      <c r="N153" s="228">
        <v>453.25</v>
      </c>
      <c r="O153" s="228">
        <v>478</v>
      </c>
      <c r="P153" s="228">
        <v>-24.75</v>
      </c>
      <c r="Q153" s="229">
        <v>-5.1799999999999999E-2</v>
      </c>
      <c r="R153" s="228">
        <v>454.25</v>
      </c>
      <c r="S153" s="228">
        <v>478.4</v>
      </c>
      <c r="T153" s="228">
        <v>-24.15</v>
      </c>
      <c r="U153" s="229">
        <v>-5.0500000000000003E-2</v>
      </c>
      <c r="V153" s="228">
        <v>456.05</v>
      </c>
      <c r="W153" s="228">
        <v>480.25</v>
      </c>
      <c r="X153" s="228">
        <v>-24.2</v>
      </c>
      <c r="Y153" s="229">
        <v>-5.04E-2</v>
      </c>
      <c r="Z153" s="228">
        <v>3</v>
      </c>
      <c r="AA153" s="228">
        <v>1.5</v>
      </c>
      <c r="AB153" s="228">
        <v>1.5</v>
      </c>
      <c r="AC153" s="229">
        <v>6.7000000000000002E-3</v>
      </c>
      <c r="AD153" s="228">
        <v>3</v>
      </c>
      <c r="AE153" s="228">
        <v>1.5</v>
      </c>
      <c r="AF153" s="228">
        <v>1.5</v>
      </c>
      <c r="AG153" s="229">
        <v>6.7000000000000002E-3</v>
      </c>
      <c r="AH153" s="228">
        <v>4</v>
      </c>
      <c r="AI153" s="228">
        <v>1.9</v>
      </c>
      <c r="AJ153" s="228">
        <v>2.1</v>
      </c>
      <c r="AK153" s="229">
        <v>8.8999999999999999E-3</v>
      </c>
      <c r="AL153" s="228">
        <v>5.8</v>
      </c>
      <c r="AM153" s="228">
        <v>3.75</v>
      </c>
      <c r="AN153" s="228">
        <v>2.0499999999999998</v>
      </c>
      <c r="AO153" s="229">
        <v>1.29E-2</v>
      </c>
      <c r="AP153" s="228">
        <v>460.51</v>
      </c>
      <c r="AQ153" s="228">
        <v>461.57</v>
      </c>
      <c r="AR153" s="228">
        <v>0</v>
      </c>
      <c r="AS153" s="228">
        <v>284</v>
      </c>
      <c r="AT153" s="228">
        <v>124</v>
      </c>
      <c r="AU153" s="228">
        <v>160</v>
      </c>
      <c r="AV153" s="229">
        <v>1.2930999999999999</v>
      </c>
      <c r="AW153" s="228">
        <v>255</v>
      </c>
      <c r="AX153" s="228">
        <v>113</v>
      </c>
      <c r="AY153" s="228">
        <v>142</v>
      </c>
      <c r="AZ153" s="229">
        <v>1.2521</v>
      </c>
      <c r="BA153" s="228">
        <v>26</v>
      </c>
      <c r="BB153" s="228">
        <v>10</v>
      </c>
      <c r="BC153" s="228">
        <v>16</v>
      </c>
      <c r="BD153" s="229">
        <v>1.5152000000000001</v>
      </c>
      <c r="BE153" s="228">
        <v>3</v>
      </c>
      <c r="BF153" s="228">
        <v>0</v>
      </c>
      <c r="BG153" s="228">
        <v>3</v>
      </c>
      <c r="BH153" s="229">
        <v>8.6</v>
      </c>
      <c r="BI153" s="228">
        <v>632</v>
      </c>
      <c r="BJ153" s="228">
        <v>506</v>
      </c>
      <c r="BK153" s="228">
        <v>125</v>
      </c>
      <c r="BL153" s="229">
        <v>0.2477</v>
      </c>
      <c r="BM153" s="228">
        <v>331</v>
      </c>
      <c r="BN153" s="228">
        <v>204</v>
      </c>
      <c r="BO153" s="228">
        <v>127</v>
      </c>
      <c r="BP153" s="229">
        <v>0.62380000000000002</v>
      </c>
      <c r="BQ153" s="230">
        <v>1247</v>
      </c>
      <c r="BR153" s="228">
        <v>834</v>
      </c>
      <c r="BS153" s="228">
        <v>413</v>
      </c>
      <c r="BT153" s="229">
        <v>0.49509999999999998</v>
      </c>
      <c r="BU153" s="230">
        <v>9925147</v>
      </c>
      <c r="BV153" s="230">
        <v>5036887</v>
      </c>
      <c r="BW153" s="230">
        <v>4888260</v>
      </c>
      <c r="BX153" s="229">
        <v>0.97050000000000003</v>
      </c>
      <c r="BY153" s="228">
        <v>872</v>
      </c>
      <c r="BZ153" s="228">
        <v>869</v>
      </c>
      <c r="CA153" s="228">
        <v>3</v>
      </c>
      <c r="CB153" s="229">
        <v>4.0000000000000001E-3</v>
      </c>
      <c r="CC153" s="228">
        <v>831</v>
      </c>
      <c r="CD153" s="228">
        <v>838</v>
      </c>
      <c r="CE153" s="228">
        <v>-7</v>
      </c>
      <c r="CF153" s="229">
        <v>-7.7999999999999996E-3</v>
      </c>
      <c r="CG153" s="228">
        <v>37</v>
      </c>
      <c r="CH153" s="228">
        <v>29</v>
      </c>
      <c r="CI153" s="228">
        <v>8</v>
      </c>
      <c r="CJ153" s="229">
        <v>0.2626</v>
      </c>
      <c r="CK153" s="228">
        <v>4</v>
      </c>
      <c r="CL153" s="228">
        <v>2</v>
      </c>
      <c r="CM153" s="228">
        <v>2</v>
      </c>
      <c r="CN153" s="229">
        <v>1.2666999999999999</v>
      </c>
      <c r="CO153" s="228">
        <v>538</v>
      </c>
      <c r="CP153" s="228">
        <v>422</v>
      </c>
      <c r="CQ153" s="228">
        <v>116</v>
      </c>
      <c r="CR153" s="229">
        <v>0.27379999999999999</v>
      </c>
      <c r="CS153" s="228">
        <v>242</v>
      </c>
      <c r="CT153" s="228">
        <v>221</v>
      </c>
      <c r="CU153" s="228">
        <v>20</v>
      </c>
      <c r="CV153" s="229">
        <v>9.2299999999999993E-2</v>
      </c>
      <c r="CW153" s="230">
        <v>1652</v>
      </c>
      <c r="CX153" s="230">
        <v>1512</v>
      </c>
      <c r="CY153" s="228">
        <v>139</v>
      </c>
      <c r="CZ153" s="229">
        <v>9.2200000000000004E-2</v>
      </c>
      <c r="DA153" s="228">
        <v>38.450000000000003</v>
      </c>
      <c r="DB153" s="228">
        <v>36.11</v>
      </c>
      <c r="DC153" s="228">
        <v>2.34</v>
      </c>
      <c r="DD153" s="228">
        <v>2.34</v>
      </c>
      <c r="DE153" s="228">
        <v>41.86</v>
      </c>
      <c r="DF153" s="228">
        <v>41.26</v>
      </c>
      <c r="DG153" s="228">
        <v>-3.41</v>
      </c>
      <c r="DH153" s="228">
        <v>0.6</v>
      </c>
      <c r="DI153" s="228">
        <v>39.58</v>
      </c>
      <c r="DJ153" s="228">
        <v>36.299999999999997</v>
      </c>
      <c r="DK153" s="228">
        <v>3.28</v>
      </c>
      <c r="DL153" s="228">
        <v>3.28</v>
      </c>
      <c r="DM153" s="228">
        <v>36.29</v>
      </c>
      <c r="DN153" s="228">
        <v>35.619999999999997</v>
      </c>
      <c r="DO153" s="228">
        <v>0.67</v>
      </c>
      <c r="DP153" s="228">
        <v>0.67</v>
      </c>
      <c r="DQ153" s="228">
        <v>0.45</v>
      </c>
      <c r="DR153" s="228">
        <v>0.52</v>
      </c>
      <c r="DS153" s="228">
        <v>-7.0000000000000007E-2</v>
      </c>
      <c r="DT153" s="229">
        <v>-0.1346</v>
      </c>
      <c r="DU153" s="228">
        <v>500</v>
      </c>
      <c r="DV153" s="228">
        <v>480</v>
      </c>
      <c r="DW153" s="228">
        <v>0.52</v>
      </c>
      <c r="DX153" s="228">
        <v>0.4</v>
      </c>
      <c r="DY153" s="228">
        <v>0.12</v>
      </c>
      <c r="DZ153" s="229">
        <v>0.3</v>
      </c>
      <c r="EA153" s="229">
        <v>4.6899999999999997E-2</v>
      </c>
      <c r="EB153" s="230">
        <v>681800</v>
      </c>
      <c r="EC153" s="229">
        <v>2.2000000000000001E-3</v>
      </c>
      <c r="ED153" s="229">
        <v>4.6899999999999997E-2</v>
      </c>
      <c r="EE153" s="228">
        <v>1.06</v>
      </c>
      <c r="EF153" s="229">
        <v>2.3E-3</v>
      </c>
      <c r="EG153" s="230">
        <v>5224852</v>
      </c>
      <c r="EH153" s="230">
        <v>1792015</v>
      </c>
      <c r="EI153" s="229">
        <v>1.9156</v>
      </c>
      <c r="EJ153" s="229">
        <v>0.52639999999999998</v>
      </c>
      <c r="EK153" s="228">
        <v>695.45</v>
      </c>
      <c r="EL153" s="228">
        <v>340</v>
      </c>
      <c r="EM153" s="228">
        <v>289.08999999999997</v>
      </c>
      <c r="EN153" s="228">
        <v>27.09</v>
      </c>
      <c r="EO153" s="231">
        <v>1324.54</v>
      </c>
      <c r="EP153" s="228">
        <v>909.47</v>
      </c>
      <c r="EQ153" s="228">
        <v>415.07</v>
      </c>
      <c r="ER153" s="229">
        <v>0.45639999999999997</v>
      </c>
      <c r="ES153" s="228">
        <v>594.04</v>
      </c>
      <c r="ET153" s="228">
        <v>249.13</v>
      </c>
      <c r="EU153" s="228">
        <v>872.42</v>
      </c>
      <c r="EV153" s="231">
        <v>105756420</v>
      </c>
      <c r="EW153" s="231">
        <v>1715.59</v>
      </c>
      <c r="EX153" s="231">
        <v>1618.53</v>
      </c>
      <c r="EY153" s="228">
        <v>97.06</v>
      </c>
      <c r="EZ153" s="229">
        <v>0.06</v>
      </c>
      <c r="FA153" s="229">
        <v>0.34460000000000002</v>
      </c>
      <c r="FB153" s="227" t="s">
        <v>566</v>
      </c>
      <c r="FC153">
        <f t="shared" si="3"/>
        <v>0</v>
      </c>
    </row>
    <row r="154" spans="1:159" ht="17.25" thickBot="1" x14ac:dyDescent="0.3">
      <c r="A154" s="226">
        <v>46148</v>
      </c>
      <c r="B154" s="227" t="s">
        <v>193</v>
      </c>
      <c r="C154" s="227" t="s">
        <v>269</v>
      </c>
      <c r="D154" s="228">
        <v>2250</v>
      </c>
      <c r="E154" s="228">
        <v>20</v>
      </c>
      <c r="F154" s="228">
        <v>282.64999999999998</v>
      </c>
      <c r="G154" s="228">
        <v>291.05</v>
      </c>
      <c r="H154" s="228">
        <v>-8.4</v>
      </c>
      <c r="I154" s="229">
        <v>-2.8899999999999999E-2</v>
      </c>
      <c r="J154" s="228">
        <v>280.8</v>
      </c>
      <c r="K154" s="228">
        <v>289.95</v>
      </c>
      <c r="L154" s="228">
        <v>-9.15</v>
      </c>
      <c r="M154" s="229">
        <v>-3.1600000000000003E-2</v>
      </c>
      <c r="N154" s="228">
        <v>282.64999999999998</v>
      </c>
      <c r="O154" s="228">
        <v>291.05</v>
      </c>
      <c r="P154" s="228">
        <v>-8.4</v>
      </c>
      <c r="Q154" s="229">
        <v>-2.8899999999999999E-2</v>
      </c>
      <c r="R154" s="228">
        <v>284.45</v>
      </c>
      <c r="S154" s="228">
        <v>293.10000000000002</v>
      </c>
      <c r="T154" s="228">
        <v>-8.65</v>
      </c>
      <c r="U154" s="229">
        <v>-2.9499999999999998E-2</v>
      </c>
      <c r="V154" s="228">
        <v>285.75</v>
      </c>
      <c r="W154" s="228">
        <v>294.39999999999998</v>
      </c>
      <c r="X154" s="228">
        <v>-8.65</v>
      </c>
      <c r="Y154" s="229">
        <v>-2.9399999999999999E-2</v>
      </c>
      <c r="Z154" s="228">
        <v>1.85</v>
      </c>
      <c r="AA154" s="228">
        <v>1.1000000000000001</v>
      </c>
      <c r="AB154" s="228">
        <v>0.75</v>
      </c>
      <c r="AC154" s="229">
        <v>6.6E-3</v>
      </c>
      <c r="AD154" s="228">
        <v>1.85</v>
      </c>
      <c r="AE154" s="228">
        <v>1.1000000000000001</v>
      </c>
      <c r="AF154" s="228">
        <v>0.75</v>
      </c>
      <c r="AG154" s="229">
        <v>6.6E-3</v>
      </c>
      <c r="AH154" s="228">
        <v>3.65</v>
      </c>
      <c r="AI154" s="228">
        <v>3.15</v>
      </c>
      <c r="AJ154" s="228">
        <v>0.5</v>
      </c>
      <c r="AK154" s="229">
        <v>1.2999999999999999E-2</v>
      </c>
      <c r="AL154" s="228">
        <v>4.95</v>
      </c>
      <c r="AM154" s="228">
        <v>4.45</v>
      </c>
      <c r="AN154" s="228">
        <v>0.5</v>
      </c>
      <c r="AO154" s="229">
        <v>1.7600000000000001E-2</v>
      </c>
      <c r="AP154" s="228">
        <v>285.2</v>
      </c>
      <c r="AQ154" s="228">
        <v>287.92</v>
      </c>
      <c r="AR154" s="228">
        <v>0</v>
      </c>
      <c r="AS154" s="228">
        <v>518</v>
      </c>
      <c r="AT154" s="228">
        <v>270</v>
      </c>
      <c r="AU154" s="228">
        <v>248</v>
      </c>
      <c r="AV154" s="229">
        <v>0.91920000000000002</v>
      </c>
      <c r="AW154" s="228">
        <v>475</v>
      </c>
      <c r="AX154" s="228">
        <v>247</v>
      </c>
      <c r="AY154" s="228">
        <v>228</v>
      </c>
      <c r="AZ154" s="229">
        <v>0.92430000000000001</v>
      </c>
      <c r="BA154" s="228">
        <v>39</v>
      </c>
      <c r="BB154" s="228">
        <v>21</v>
      </c>
      <c r="BC154" s="228">
        <v>17</v>
      </c>
      <c r="BD154" s="229">
        <v>0.8155</v>
      </c>
      <c r="BE154" s="228">
        <v>4</v>
      </c>
      <c r="BF154" s="228">
        <v>2</v>
      </c>
      <c r="BG154" s="228">
        <v>2</v>
      </c>
      <c r="BH154" s="229">
        <v>1.5</v>
      </c>
      <c r="BI154" s="230">
        <v>2658</v>
      </c>
      <c r="BJ154" s="230">
        <v>1542</v>
      </c>
      <c r="BK154" s="230">
        <v>1116</v>
      </c>
      <c r="BL154" s="229">
        <v>0.72340000000000004</v>
      </c>
      <c r="BM154" s="230">
        <v>1103</v>
      </c>
      <c r="BN154" s="228">
        <v>528</v>
      </c>
      <c r="BO154" s="228">
        <v>575</v>
      </c>
      <c r="BP154" s="229">
        <v>1.0891999999999999</v>
      </c>
      <c r="BQ154" s="230">
        <v>4278</v>
      </c>
      <c r="BR154" s="230">
        <v>2340</v>
      </c>
      <c r="BS154" s="230">
        <v>1938</v>
      </c>
      <c r="BT154" s="229">
        <v>0.82850000000000001</v>
      </c>
      <c r="BU154" s="230">
        <v>24606263</v>
      </c>
      <c r="BV154" s="230">
        <v>11046647</v>
      </c>
      <c r="BW154" s="230">
        <v>13559616</v>
      </c>
      <c r="BX154" s="229">
        <v>1.2275</v>
      </c>
      <c r="BY154" s="230">
        <v>2917</v>
      </c>
      <c r="BZ154" s="230">
        <v>2872</v>
      </c>
      <c r="CA154" s="228">
        <v>45</v>
      </c>
      <c r="CB154" s="229">
        <v>1.5599999999999999E-2</v>
      </c>
      <c r="CC154" s="230">
        <v>2374</v>
      </c>
      <c r="CD154" s="230">
        <v>2345</v>
      </c>
      <c r="CE154" s="228">
        <v>29</v>
      </c>
      <c r="CF154" s="229">
        <v>1.23E-2</v>
      </c>
      <c r="CG154" s="228">
        <v>537</v>
      </c>
      <c r="CH154" s="228">
        <v>523</v>
      </c>
      <c r="CI154" s="228">
        <v>14</v>
      </c>
      <c r="CJ154" s="229">
        <v>2.6800000000000001E-2</v>
      </c>
      <c r="CK154" s="228">
        <v>7</v>
      </c>
      <c r="CL154" s="228">
        <v>5</v>
      </c>
      <c r="CM154" s="228">
        <v>2</v>
      </c>
      <c r="CN154" s="229">
        <v>0.40260000000000001</v>
      </c>
      <c r="CO154" s="230">
        <v>1616</v>
      </c>
      <c r="CP154" s="230">
        <v>1329</v>
      </c>
      <c r="CQ154" s="228">
        <v>287</v>
      </c>
      <c r="CR154" s="229">
        <v>0.2157</v>
      </c>
      <c r="CS154" s="228">
        <v>533</v>
      </c>
      <c r="CT154" s="228">
        <v>487</v>
      </c>
      <c r="CU154" s="228">
        <v>46</v>
      </c>
      <c r="CV154" s="229">
        <v>9.4100000000000003E-2</v>
      </c>
      <c r="CW154" s="230">
        <v>5065</v>
      </c>
      <c r="CX154" s="230">
        <v>4688</v>
      </c>
      <c r="CY154" s="228">
        <v>377</v>
      </c>
      <c r="CZ154" s="229">
        <v>8.0500000000000002E-2</v>
      </c>
      <c r="DA154" s="228">
        <v>27.47</v>
      </c>
      <c r="DB154" s="228">
        <v>26.85</v>
      </c>
      <c r="DC154" s="228">
        <v>0.62</v>
      </c>
      <c r="DD154" s="228">
        <v>0.62</v>
      </c>
      <c r="DE154" s="228">
        <v>32.090000000000003</v>
      </c>
      <c r="DF154" s="228">
        <v>31.88</v>
      </c>
      <c r="DG154" s="228">
        <v>-4.62</v>
      </c>
      <c r="DH154" s="228">
        <v>0.21</v>
      </c>
      <c r="DI154" s="228">
        <v>27.67</v>
      </c>
      <c r="DJ154" s="228">
        <v>26.91</v>
      </c>
      <c r="DK154" s="228">
        <v>0.76</v>
      </c>
      <c r="DL154" s="228">
        <v>0.76</v>
      </c>
      <c r="DM154" s="228">
        <v>26.97</v>
      </c>
      <c r="DN154" s="228">
        <v>26.68</v>
      </c>
      <c r="DO154" s="228">
        <v>0.28999999999999998</v>
      </c>
      <c r="DP154" s="228">
        <v>0.28999999999999998</v>
      </c>
      <c r="DQ154" s="228">
        <v>0.33</v>
      </c>
      <c r="DR154" s="228">
        <v>0.37</v>
      </c>
      <c r="DS154" s="228">
        <v>-0.04</v>
      </c>
      <c r="DT154" s="229">
        <v>-0.1081</v>
      </c>
      <c r="DU154" s="228">
        <v>300</v>
      </c>
      <c r="DV154" s="228">
        <v>280</v>
      </c>
      <c r="DW154" s="228">
        <v>0.41</v>
      </c>
      <c r="DX154" s="228">
        <v>0.34</v>
      </c>
      <c r="DY154" s="228">
        <v>7.0000000000000007E-2</v>
      </c>
      <c r="DZ154" s="229">
        <v>0.2059</v>
      </c>
      <c r="EA154" s="229">
        <v>0.18640000000000001</v>
      </c>
      <c r="EB154" s="230">
        <v>18668250</v>
      </c>
      <c r="EC154" s="229">
        <v>6.4000000000000003E-3</v>
      </c>
      <c r="ED154" s="229">
        <v>0.18640000000000001</v>
      </c>
      <c r="EE154" s="228">
        <v>2.72</v>
      </c>
      <c r="EF154" s="229">
        <v>9.4999999999999998E-3</v>
      </c>
      <c r="EG154" s="230">
        <v>14579499</v>
      </c>
      <c r="EH154" s="230">
        <v>3918015</v>
      </c>
      <c r="EI154" s="229">
        <v>2.7210999999999999</v>
      </c>
      <c r="EJ154" s="229">
        <v>0.59250000000000003</v>
      </c>
      <c r="EK154" s="231">
        <v>2849.08</v>
      </c>
      <c r="EL154" s="231">
        <v>1116.4100000000001</v>
      </c>
      <c r="EM154" s="228">
        <v>523.23</v>
      </c>
      <c r="EN154" s="228">
        <v>59.88</v>
      </c>
      <c r="EO154" s="231">
        <v>4488.72</v>
      </c>
      <c r="EP154" s="231">
        <v>2509.33</v>
      </c>
      <c r="EQ154" s="231">
        <v>1979.39</v>
      </c>
      <c r="ER154" s="229">
        <v>0.78879999999999995</v>
      </c>
      <c r="ES154" s="231">
        <v>1742.56</v>
      </c>
      <c r="ET154" s="228">
        <v>535.48</v>
      </c>
      <c r="EU154" s="231">
        <v>2920.65</v>
      </c>
      <c r="EV154" s="231">
        <v>711370982</v>
      </c>
      <c r="EW154" s="231">
        <v>5198.6899999999996</v>
      </c>
      <c r="EX154" s="231">
        <v>4897.68</v>
      </c>
      <c r="EY154" s="228">
        <v>301.01</v>
      </c>
      <c r="EZ154" s="229">
        <v>6.1499999999999999E-2</v>
      </c>
      <c r="FA154" s="229">
        <v>0.25190000000000001</v>
      </c>
      <c r="FB154" s="227" t="s">
        <v>566</v>
      </c>
      <c r="FC154">
        <f t="shared" si="3"/>
        <v>0</v>
      </c>
    </row>
    <row r="155" spans="1:159" ht="17.25" thickBot="1" x14ac:dyDescent="0.3">
      <c r="A155" s="226">
        <v>46148</v>
      </c>
      <c r="B155" s="227" t="s">
        <v>197</v>
      </c>
      <c r="C155" s="227" t="s">
        <v>270</v>
      </c>
      <c r="D155" s="228">
        <v>15</v>
      </c>
      <c r="E155" s="228">
        <v>20</v>
      </c>
      <c r="F155" s="231">
        <v>37750</v>
      </c>
      <c r="G155" s="231">
        <v>37600</v>
      </c>
      <c r="H155" s="228">
        <v>150</v>
      </c>
      <c r="I155" s="229">
        <v>4.0000000000000001E-3</v>
      </c>
      <c r="J155" s="231">
        <v>37540</v>
      </c>
      <c r="K155" s="231">
        <v>37400</v>
      </c>
      <c r="L155" s="228">
        <v>140</v>
      </c>
      <c r="M155" s="229">
        <v>3.7000000000000002E-3</v>
      </c>
      <c r="N155" s="231">
        <v>37750</v>
      </c>
      <c r="O155" s="231">
        <v>37600</v>
      </c>
      <c r="P155" s="228">
        <v>150</v>
      </c>
      <c r="Q155" s="229">
        <v>4.0000000000000001E-3</v>
      </c>
      <c r="R155" s="231">
        <v>37715</v>
      </c>
      <c r="S155" s="231">
        <v>37535</v>
      </c>
      <c r="T155" s="228">
        <v>180</v>
      </c>
      <c r="U155" s="229">
        <v>4.7999999999999996E-3</v>
      </c>
      <c r="V155" s="231">
        <v>37895</v>
      </c>
      <c r="W155" s="231">
        <v>37150</v>
      </c>
      <c r="X155" s="228">
        <v>745</v>
      </c>
      <c r="Y155" s="229">
        <v>2.01E-2</v>
      </c>
      <c r="Z155" s="228">
        <v>210</v>
      </c>
      <c r="AA155" s="228">
        <v>200</v>
      </c>
      <c r="AB155" s="228">
        <v>10</v>
      </c>
      <c r="AC155" s="229">
        <v>5.5999999999999999E-3</v>
      </c>
      <c r="AD155" s="228">
        <v>210</v>
      </c>
      <c r="AE155" s="228">
        <v>200</v>
      </c>
      <c r="AF155" s="228">
        <v>10</v>
      </c>
      <c r="AG155" s="229">
        <v>5.5999999999999999E-3</v>
      </c>
      <c r="AH155" s="228">
        <v>175</v>
      </c>
      <c r="AI155" s="228">
        <v>135</v>
      </c>
      <c r="AJ155" s="228">
        <v>40</v>
      </c>
      <c r="AK155" s="229">
        <v>4.7000000000000002E-3</v>
      </c>
      <c r="AL155" s="228">
        <v>355</v>
      </c>
      <c r="AM155" s="228">
        <v>-250</v>
      </c>
      <c r="AN155" s="228">
        <v>605</v>
      </c>
      <c r="AO155" s="229">
        <v>9.4999999999999998E-3</v>
      </c>
      <c r="AP155" s="231">
        <v>37691.4</v>
      </c>
      <c r="AQ155" s="231">
        <v>37584.76</v>
      </c>
      <c r="AR155" s="228">
        <v>0</v>
      </c>
      <c r="AS155" s="228">
        <v>98</v>
      </c>
      <c r="AT155" s="228">
        <v>100</v>
      </c>
      <c r="AU155" s="228">
        <v>-2</v>
      </c>
      <c r="AV155" s="229">
        <v>-1.8200000000000001E-2</v>
      </c>
      <c r="AW155" s="228">
        <v>96</v>
      </c>
      <c r="AX155" s="228">
        <v>98</v>
      </c>
      <c r="AY155" s="228">
        <v>-2</v>
      </c>
      <c r="AZ155" s="229">
        <v>-2.4299999999999999E-2</v>
      </c>
      <c r="BA155" s="228">
        <v>2</v>
      </c>
      <c r="BB155" s="228">
        <v>2</v>
      </c>
      <c r="BC155" s="228">
        <v>0</v>
      </c>
      <c r="BD155" s="229">
        <v>0.2069</v>
      </c>
      <c r="BE155" s="228">
        <v>0</v>
      </c>
      <c r="BF155" s="228">
        <v>0</v>
      </c>
      <c r="BG155" s="228">
        <v>0</v>
      </c>
      <c r="BH155" s="229">
        <v>4</v>
      </c>
      <c r="BI155" s="228">
        <v>57</v>
      </c>
      <c r="BJ155" s="228">
        <v>48</v>
      </c>
      <c r="BK155" s="228">
        <v>9</v>
      </c>
      <c r="BL155" s="229">
        <v>0.19009999999999999</v>
      </c>
      <c r="BM155" s="228">
        <v>126</v>
      </c>
      <c r="BN155" s="228">
        <v>19</v>
      </c>
      <c r="BO155" s="228">
        <v>107</v>
      </c>
      <c r="BP155" s="229">
        <v>5.6966999999999999</v>
      </c>
      <c r="BQ155" s="228">
        <v>281</v>
      </c>
      <c r="BR155" s="228">
        <v>166</v>
      </c>
      <c r="BS155" s="228">
        <v>115</v>
      </c>
      <c r="BT155" s="229">
        <v>0.68940000000000001</v>
      </c>
      <c r="BU155" s="230">
        <v>13419</v>
      </c>
      <c r="BV155" s="230">
        <v>12969</v>
      </c>
      <c r="BW155" s="228">
        <v>450</v>
      </c>
      <c r="BX155" s="229">
        <v>3.4700000000000002E-2</v>
      </c>
      <c r="BY155" s="230">
        <v>1148</v>
      </c>
      <c r="BZ155" s="230">
        <v>1153</v>
      </c>
      <c r="CA155" s="228">
        <v>-5</v>
      </c>
      <c r="CB155" s="229">
        <v>-4.5999999999999999E-3</v>
      </c>
      <c r="CC155" s="230">
        <v>1133</v>
      </c>
      <c r="CD155" s="230">
        <v>1139</v>
      </c>
      <c r="CE155" s="228">
        <v>-6</v>
      </c>
      <c r="CF155" s="229">
        <v>-5.3E-3</v>
      </c>
      <c r="CG155" s="228">
        <v>13</v>
      </c>
      <c r="CH155" s="228">
        <v>13</v>
      </c>
      <c r="CI155" s="228">
        <v>1</v>
      </c>
      <c r="CJ155" s="229">
        <v>4.02E-2</v>
      </c>
      <c r="CK155" s="228">
        <v>1</v>
      </c>
      <c r="CL155" s="228">
        <v>1</v>
      </c>
      <c r="CM155" s="228">
        <v>0</v>
      </c>
      <c r="CN155" s="229">
        <v>0.33329999999999999</v>
      </c>
      <c r="CO155" s="228">
        <v>77</v>
      </c>
      <c r="CP155" s="228">
        <v>78</v>
      </c>
      <c r="CQ155" s="228">
        <v>-1</v>
      </c>
      <c r="CR155" s="229">
        <v>-1.66E-2</v>
      </c>
      <c r="CS155" s="228">
        <v>64</v>
      </c>
      <c r="CT155" s="228">
        <v>60</v>
      </c>
      <c r="CU155" s="228">
        <v>4</v>
      </c>
      <c r="CV155" s="229">
        <v>6.4199999999999993E-2</v>
      </c>
      <c r="CW155" s="230">
        <v>1288</v>
      </c>
      <c r="CX155" s="230">
        <v>1291</v>
      </c>
      <c r="CY155" s="228">
        <v>-3</v>
      </c>
      <c r="CZ155" s="229">
        <v>-2.0999999999999999E-3</v>
      </c>
      <c r="DA155" s="228">
        <v>30.37</v>
      </c>
      <c r="DB155" s="228">
        <v>32.53</v>
      </c>
      <c r="DC155" s="228">
        <v>-2.16</v>
      </c>
      <c r="DD155" s="228">
        <v>-2.16</v>
      </c>
      <c r="DE155" s="228">
        <v>28.36</v>
      </c>
      <c r="DF155" s="228">
        <v>28.43</v>
      </c>
      <c r="DG155" s="228">
        <v>2.0099999999999998</v>
      </c>
      <c r="DH155" s="228">
        <v>-7.0000000000000007E-2</v>
      </c>
      <c r="DI155" s="228">
        <v>32.729999999999997</v>
      </c>
      <c r="DJ155" s="228">
        <v>32.090000000000003</v>
      </c>
      <c r="DK155" s="228">
        <v>0.64</v>
      </c>
      <c r="DL155" s="228">
        <v>0.64</v>
      </c>
      <c r="DM155" s="228">
        <v>29.3</v>
      </c>
      <c r="DN155" s="228">
        <v>33.619999999999997</v>
      </c>
      <c r="DO155" s="228">
        <v>-4.32</v>
      </c>
      <c r="DP155" s="228">
        <v>-4.32</v>
      </c>
      <c r="DQ155" s="228">
        <v>0.83</v>
      </c>
      <c r="DR155" s="228">
        <v>0.77</v>
      </c>
      <c r="DS155" s="228">
        <v>0.06</v>
      </c>
      <c r="DT155" s="229">
        <v>7.7899999999999997E-2</v>
      </c>
      <c r="DU155" s="231">
        <v>40000</v>
      </c>
      <c r="DV155" s="231">
        <v>35000</v>
      </c>
      <c r="DW155" s="228">
        <v>2.21</v>
      </c>
      <c r="DX155" s="228">
        <v>0.39</v>
      </c>
      <c r="DY155" s="228">
        <v>1.82</v>
      </c>
      <c r="DZ155" s="229">
        <v>4.6666999999999996</v>
      </c>
      <c r="EA155" s="229">
        <v>1.23E-2</v>
      </c>
      <c r="EB155" s="230">
        <v>3540</v>
      </c>
      <c r="EC155" s="229">
        <v>-8.9999999999999998E-4</v>
      </c>
      <c r="ED155" s="229">
        <v>1.23E-2</v>
      </c>
      <c r="EE155" s="228">
        <v>-106.64</v>
      </c>
      <c r="EF155" s="229">
        <v>-2.8E-3</v>
      </c>
      <c r="EG155" s="230">
        <v>5594</v>
      </c>
      <c r="EH155" s="230">
        <v>5026</v>
      </c>
      <c r="EI155" s="229">
        <v>0.113</v>
      </c>
      <c r="EJ155" s="229">
        <v>0.41689999999999999</v>
      </c>
      <c r="EK155" s="228">
        <v>60.14</v>
      </c>
      <c r="EL155" s="228">
        <v>100.3</v>
      </c>
      <c r="EM155" s="228">
        <v>97.73</v>
      </c>
      <c r="EN155" s="228">
        <v>15.22</v>
      </c>
      <c r="EO155" s="228">
        <v>258.17</v>
      </c>
      <c r="EP155" s="228">
        <v>166.42</v>
      </c>
      <c r="EQ155" s="228">
        <v>91.75</v>
      </c>
      <c r="ER155" s="229">
        <v>0.55130000000000001</v>
      </c>
      <c r="ES155" s="228">
        <v>80.239999999999995</v>
      </c>
      <c r="ET155" s="228">
        <v>60.64</v>
      </c>
      <c r="EU155" s="231">
        <v>1147.55</v>
      </c>
      <c r="EV155" s="231">
        <v>955549</v>
      </c>
      <c r="EW155" s="231">
        <v>1288.44</v>
      </c>
      <c r="EX155" s="231">
        <v>1286.99</v>
      </c>
      <c r="EY155" s="228">
        <v>1.45</v>
      </c>
      <c r="EZ155" s="229">
        <v>1.1000000000000001E-3</v>
      </c>
      <c r="FA155" s="229">
        <v>0.35720000000000002</v>
      </c>
      <c r="FB155" s="227" t="s">
        <v>691</v>
      </c>
      <c r="FC155">
        <f t="shared" si="3"/>
        <v>0</v>
      </c>
    </row>
    <row r="156" spans="1:159" ht="17.25" thickBot="1" x14ac:dyDescent="0.3">
      <c r="A156" s="226">
        <v>46148</v>
      </c>
      <c r="B156" s="227" t="s">
        <v>168</v>
      </c>
      <c r="C156" s="227" t="s">
        <v>663</v>
      </c>
      <c r="D156" s="228">
        <v>900</v>
      </c>
      <c r="E156" s="228">
        <v>20</v>
      </c>
      <c r="F156" s="228">
        <v>461.85</v>
      </c>
      <c r="G156" s="228">
        <v>457.4</v>
      </c>
      <c r="H156" s="228">
        <v>4.45</v>
      </c>
      <c r="I156" s="229">
        <v>9.7000000000000003E-3</v>
      </c>
      <c r="J156" s="228">
        <v>460.05</v>
      </c>
      <c r="K156" s="228">
        <v>457.2</v>
      </c>
      <c r="L156" s="228">
        <v>2.85</v>
      </c>
      <c r="M156" s="229">
        <v>6.1999999999999998E-3</v>
      </c>
      <c r="N156" s="228">
        <v>461.85</v>
      </c>
      <c r="O156" s="228">
        <v>457.4</v>
      </c>
      <c r="P156" s="228">
        <v>4.45</v>
      </c>
      <c r="Q156" s="229">
        <v>9.7000000000000003E-3</v>
      </c>
      <c r="R156" s="228">
        <v>464.65</v>
      </c>
      <c r="S156" s="228">
        <v>460.3</v>
      </c>
      <c r="T156" s="228">
        <v>4.3499999999999996</v>
      </c>
      <c r="U156" s="229">
        <v>9.4999999999999998E-3</v>
      </c>
      <c r="V156" s="228">
        <v>468</v>
      </c>
      <c r="W156" s="228">
        <v>462</v>
      </c>
      <c r="X156" s="228">
        <v>6</v>
      </c>
      <c r="Y156" s="229">
        <v>1.2999999999999999E-2</v>
      </c>
      <c r="Z156" s="228">
        <v>1.8</v>
      </c>
      <c r="AA156" s="228">
        <v>0.2</v>
      </c>
      <c r="AB156" s="228">
        <v>1.6</v>
      </c>
      <c r="AC156" s="229">
        <v>3.8999999999999998E-3</v>
      </c>
      <c r="AD156" s="228">
        <v>1.8</v>
      </c>
      <c r="AE156" s="228">
        <v>0.2</v>
      </c>
      <c r="AF156" s="228">
        <v>1.6</v>
      </c>
      <c r="AG156" s="229">
        <v>3.8999999999999998E-3</v>
      </c>
      <c r="AH156" s="228">
        <v>4.5999999999999996</v>
      </c>
      <c r="AI156" s="228">
        <v>3.1</v>
      </c>
      <c r="AJ156" s="228">
        <v>1.5</v>
      </c>
      <c r="AK156" s="229">
        <v>0.01</v>
      </c>
      <c r="AL156" s="228">
        <v>7.95</v>
      </c>
      <c r="AM156" s="228">
        <v>4.8</v>
      </c>
      <c r="AN156" s="228">
        <v>3.15</v>
      </c>
      <c r="AO156" s="229">
        <v>1.7299999999999999E-2</v>
      </c>
      <c r="AP156" s="228">
        <v>460.42</v>
      </c>
      <c r="AQ156" s="228">
        <v>462.92</v>
      </c>
      <c r="AR156" s="228">
        <v>0</v>
      </c>
      <c r="AS156" s="228">
        <v>187</v>
      </c>
      <c r="AT156" s="228">
        <v>128</v>
      </c>
      <c r="AU156" s="228">
        <v>59</v>
      </c>
      <c r="AV156" s="229">
        <v>0.45979999999999999</v>
      </c>
      <c r="AW156" s="228">
        <v>183</v>
      </c>
      <c r="AX156" s="228">
        <v>127</v>
      </c>
      <c r="AY156" s="228">
        <v>56</v>
      </c>
      <c r="AZ156" s="229">
        <v>0.44469999999999998</v>
      </c>
      <c r="BA156" s="228">
        <v>4</v>
      </c>
      <c r="BB156" s="228">
        <v>1</v>
      </c>
      <c r="BC156" s="228">
        <v>2</v>
      </c>
      <c r="BD156" s="229">
        <v>1.6667000000000001</v>
      </c>
      <c r="BE156" s="228">
        <v>0</v>
      </c>
      <c r="BF156" s="228">
        <v>0</v>
      </c>
      <c r="BG156" s="228">
        <v>0</v>
      </c>
      <c r="BH156" s="229">
        <v>2</v>
      </c>
      <c r="BI156" s="228">
        <v>207</v>
      </c>
      <c r="BJ156" s="228">
        <v>132</v>
      </c>
      <c r="BK156" s="228">
        <v>76</v>
      </c>
      <c r="BL156" s="229">
        <v>0.57440000000000002</v>
      </c>
      <c r="BM156" s="228">
        <v>43</v>
      </c>
      <c r="BN156" s="228">
        <v>52</v>
      </c>
      <c r="BO156" s="228">
        <v>-9</v>
      </c>
      <c r="BP156" s="229">
        <v>-0.17069999999999999</v>
      </c>
      <c r="BQ156" s="228">
        <v>437</v>
      </c>
      <c r="BR156" s="228">
        <v>311</v>
      </c>
      <c r="BS156" s="228">
        <v>126</v>
      </c>
      <c r="BT156" s="229">
        <v>0.4037</v>
      </c>
      <c r="BU156" s="230">
        <v>2925123</v>
      </c>
      <c r="BV156" s="230">
        <v>1906145</v>
      </c>
      <c r="BW156" s="230">
        <v>1018978</v>
      </c>
      <c r="BX156" s="229">
        <v>0.53459999999999996</v>
      </c>
      <c r="BY156" s="230">
        <v>1562</v>
      </c>
      <c r="BZ156" s="230">
        <v>1570</v>
      </c>
      <c r="CA156" s="228">
        <v>-8</v>
      </c>
      <c r="CB156" s="229">
        <v>-5.3E-3</v>
      </c>
      <c r="CC156" s="230">
        <v>1547</v>
      </c>
      <c r="CD156" s="230">
        <v>1557</v>
      </c>
      <c r="CE156" s="228">
        <v>-10</v>
      </c>
      <c r="CF156" s="229">
        <v>-6.1999999999999998E-3</v>
      </c>
      <c r="CG156" s="228">
        <v>14</v>
      </c>
      <c r="CH156" s="228">
        <v>13</v>
      </c>
      <c r="CI156" s="228">
        <v>1</v>
      </c>
      <c r="CJ156" s="229">
        <v>6.2100000000000002E-2</v>
      </c>
      <c r="CK156" s="228">
        <v>1</v>
      </c>
      <c r="CL156" s="228">
        <v>0</v>
      </c>
      <c r="CM156" s="228">
        <v>1</v>
      </c>
      <c r="CN156" s="229">
        <v>1.2</v>
      </c>
      <c r="CO156" s="228">
        <v>215</v>
      </c>
      <c r="CP156" s="228">
        <v>217</v>
      </c>
      <c r="CQ156" s="228">
        <v>-2</v>
      </c>
      <c r="CR156" s="229">
        <v>-8.3000000000000001E-3</v>
      </c>
      <c r="CS156" s="228">
        <v>134</v>
      </c>
      <c r="CT156" s="228">
        <v>130</v>
      </c>
      <c r="CU156" s="228">
        <v>4</v>
      </c>
      <c r="CV156" s="229">
        <v>2.92E-2</v>
      </c>
      <c r="CW156" s="230">
        <v>1910</v>
      </c>
      <c r="CX156" s="230">
        <v>1916</v>
      </c>
      <c r="CY156" s="228">
        <v>-6</v>
      </c>
      <c r="CZ156" s="229">
        <v>-3.3E-3</v>
      </c>
      <c r="DA156" s="228">
        <v>29.82</v>
      </c>
      <c r="DB156" s="228">
        <v>30.88</v>
      </c>
      <c r="DC156" s="228">
        <v>-1.06</v>
      </c>
      <c r="DD156" s="228">
        <v>-1.06</v>
      </c>
      <c r="DE156" s="228">
        <v>31.66</v>
      </c>
      <c r="DF156" s="228">
        <v>31.71</v>
      </c>
      <c r="DG156" s="228">
        <v>-1.84</v>
      </c>
      <c r="DH156" s="228">
        <v>-0.05</v>
      </c>
      <c r="DI156" s="228">
        <v>29.81</v>
      </c>
      <c r="DJ156" s="228">
        <v>30.8</v>
      </c>
      <c r="DK156" s="228">
        <v>-0.99</v>
      </c>
      <c r="DL156" s="228">
        <v>-0.99</v>
      </c>
      <c r="DM156" s="228">
        <v>29.87</v>
      </c>
      <c r="DN156" s="228">
        <v>31.07</v>
      </c>
      <c r="DO156" s="228">
        <v>-1.2</v>
      </c>
      <c r="DP156" s="228">
        <v>-1.2</v>
      </c>
      <c r="DQ156" s="228">
        <v>0.62</v>
      </c>
      <c r="DR156" s="228">
        <v>0.6</v>
      </c>
      <c r="DS156" s="228">
        <v>0.02</v>
      </c>
      <c r="DT156" s="229">
        <v>3.3300000000000003E-2</v>
      </c>
      <c r="DU156" s="228">
        <v>500</v>
      </c>
      <c r="DV156" s="228">
        <v>490</v>
      </c>
      <c r="DW156" s="228">
        <v>0.21</v>
      </c>
      <c r="DX156" s="228">
        <v>0.39</v>
      </c>
      <c r="DY156" s="228">
        <v>-0.18</v>
      </c>
      <c r="DZ156" s="229">
        <v>-0.46150000000000002</v>
      </c>
      <c r="EA156" s="229">
        <v>9.2999999999999992E-3</v>
      </c>
      <c r="EB156" s="230">
        <v>286150</v>
      </c>
      <c r="EC156" s="229">
        <v>6.1000000000000004E-3</v>
      </c>
      <c r="ED156" s="229">
        <v>9.2999999999999992E-3</v>
      </c>
      <c r="EE156" s="228">
        <v>2.5</v>
      </c>
      <c r="EF156" s="229">
        <v>5.4000000000000003E-3</v>
      </c>
      <c r="EG156" s="230">
        <v>1710858</v>
      </c>
      <c r="EH156" s="230">
        <v>822432</v>
      </c>
      <c r="EI156" s="229">
        <v>1.0802</v>
      </c>
      <c r="EJ156" s="229">
        <v>0.58489999999999998</v>
      </c>
      <c r="EK156" s="228">
        <v>218.32</v>
      </c>
      <c r="EL156" s="228">
        <v>43.16</v>
      </c>
      <c r="EM156" s="228">
        <v>186.68</v>
      </c>
      <c r="EN156" s="228">
        <v>33.83</v>
      </c>
      <c r="EO156" s="228">
        <v>448.15</v>
      </c>
      <c r="EP156" s="228">
        <v>317.73</v>
      </c>
      <c r="EQ156" s="228">
        <v>130.43</v>
      </c>
      <c r="ER156" s="229">
        <v>0.41049999999999998</v>
      </c>
      <c r="ES156" s="228">
        <v>226.31</v>
      </c>
      <c r="ET156" s="228">
        <v>139.05000000000001</v>
      </c>
      <c r="EU156" s="231">
        <v>1561.93</v>
      </c>
      <c r="EV156" s="231">
        <v>51786533</v>
      </c>
      <c r="EW156" s="231">
        <v>1927.28</v>
      </c>
      <c r="EX156" s="231">
        <v>1919.25</v>
      </c>
      <c r="EY156" s="228">
        <v>8.0299999999999994</v>
      </c>
      <c r="EZ156" s="229">
        <v>4.1999999999999997E-3</v>
      </c>
      <c r="FA156" s="229">
        <v>0.79869999999999997</v>
      </c>
      <c r="FB156" s="227" t="s">
        <v>691</v>
      </c>
      <c r="FC156">
        <f t="shared" si="3"/>
        <v>0</v>
      </c>
    </row>
    <row r="157" spans="1:159" ht="17.25" thickBot="1" x14ac:dyDescent="0.3">
      <c r="A157" s="226">
        <v>46148</v>
      </c>
      <c r="B157" s="227" t="s">
        <v>614</v>
      </c>
      <c r="C157" s="227" t="s">
        <v>574</v>
      </c>
      <c r="D157" s="228">
        <v>725</v>
      </c>
      <c r="E157" s="228">
        <v>20</v>
      </c>
      <c r="F157" s="231">
        <v>1118</v>
      </c>
      <c r="G157" s="231">
        <v>1092</v>
      </c>
      <c r="H157" s="228">
        <v>26</v>
      </c>
      <c r="I157" s="229">
        <v>2.3800000000000002E-2</v>
      </c>
      <c r="J157" s="231">
        <v>1110.5999999999999</v>
      </c>
      <c r="K157" s="231">
        <v>1088</v>
      </c>
      <c r="L157" s="228">
        <v>22.6</v>
      </c>
      <c r="M157" s="229">
        <v>2.0799999999999999E-2</v>
      </c>
      <c r="N157" s="231">
        <v>1118</v>
      </c>
      <c r="O157" s="231">
        <v>1092</v>
      </c>
      <c r="P157" s="228">
        <v>26</v>
      </c>
      <c r="Q157" s="229">
        <v>2.3800000000000002E-2</v>
      </c>
      <c r="R157" s="231">
        <v>1120.4000000000001</v>
      </c>
      <c r="S157" s="231">
        <v>1098.9000000000001</v>
      </c>
      <c r="T157" s="228">
        <v>21.5</v>
      </c>
      <c r="U157" s="229">
        <v>1.9599999999999999E-2</v>
      </c>
      <c r="V157" s="231">
        <v>1127.9000000000001</v>
      </c>
      <c r="W157" s="231">
        <v>1112.2</v>
      </c>
      <c r="X157" s="228">
        <v>15.7</v>
      </c>
      <c r="Y157" s="229">
        <v>1.41E-2</v>
      </c>
      <c r="Z157" s="228">
        <v>7.4</v>
      </c>
      <c r="AA157" s="228">
        <v>4</v>
      </c>
      <c r="AB157" s="228">
        <v>3.4</v>
      </c>
      <c r="AC157" s="229">
        <v>6.7000000000000002E-3</v>
      </c>
      <c r="AD157" s="228">
        <v>7.4</v>
      </c>
      <c r="AE157" s="228">
        <v>4</v>
      </c>
      <c r="AF157" s="228">
        <v>3.4</v>
      </c>
      <c r="AG157" s="229">
        <v>6.7000000000000002E-3</v>
      </c>
      <c r="AH157" s="228">
        <v>9.8000000000000007</v>
      </c>
      <c r="AI157" s="228">
        <v>10.9</v>
      </c>
      <c r="AJ157" s="228">
        <v>-1.1000000000000001</v>
      </c>
      <c r="AK157" s="229">
        <v>8.8000000000000005E-3</v>
      </c>
      <c r="AL157" s="228">
        <v>17.3</v>
      </c>
      <c r="AM157" s="228">
        <v>24.2</v>
      </c>
      <c r="AN157" s="228">
        <v>-6.9</v>
      </c>
      <c r="AO157" s="229">
        <v>1.5599999999999999E-2</v>
      </c>
      <c r="AP157" s="231">
        <v>1114.83</v>
      </c>
      <c r="AQ157" s="231">
        <v>1121.8900000000001</v>
      </c>
      <c r="AR157" s="228">
        <v>0</v>
      </c>
      <c r="AS157" s="228">
        <v>453</v>
      </c>
      <c r="AT157" s="228">
        <v>248</v>
      </c>
      <c r="AU157" s="228">
        <v>204</v>
      </c>
      <c r="AV157" s="229">
        <v>0.82340000000000002</v>
      </c>
      <c r="AW157" s="228">
        <v>435</v>
      </c>
      <c r="AX157" s="228">
        <v>237</v>
      </c>
      <c r="AY157" s="228">
        <v>198</v>
      </c>
      <c r="AZ157" s="229">
        <v>0.83479999999999999</v>
      </c>
      <c r="BA157" s="228">
        <v>16</v>
      </c>
      <c r="BB157" s="228">
        <v>10</v>
      </c>
      <c r="BC157" s="228">
        <v>6</v>
      </c>
      <c r="BD157" s="229">
        <v>0.55469999999999997</v>
      </c>
      <c r="BE157" s="228">
        <v>2</v>
      </c>
      <c r="BF157" s="228">
        <v>1</v>
      </c>
      <c r="BG157" s="228">
        <v>1</v>
      </c>
      <c r="BH157" s="229">
        <v>0.91669999999999996</v>
      </c>
      <c r="BI157" s="230">
        <v>1608</v>
      </c>
      <c r="BJ157" s="228">
        <v>866</v>
      </c>
      <c r="BK157" s="228">
        <v>742</v>
      </c>
      <c r="BL157" s="229">
        <v>0.85699999999999998</v>
      </c>
      <c r="BM157" s="230">
        <v>1023</v>
      </c>
      <c r="BN157" s="228">
        <v>585</v>
      </c>
      <c r="BO157" s="228">
        <v>438</v>
      </c>
      <c r="BP157" s="229">
        <v>0.74790000000000001</v>
      </c>
      <c r="BQ157" s="230">
        <v>3083</v>
      </c>
      <c r="BR157" s="230">
        <v>1699</v>
      </c>
      <c r="BS157" s="230">
        <v>1384</v>
      </c>
      <c r="BT157" s="229">
        <v>0.8145</v>
      </c>
      <c r="BU157" s="230">
        <v>2699636</v>
      </c>
      <c r="BV157" s="230">
        <v>1850026</v>
      </c>
      <c r="BW157" s="230">
        <v>849610</v>
      </c>
      <c r="BX157" s="229">
        <v>0.4592</v>
      </c>
      <c r="BY157" s="230">
        <v>1603</v>
      </c>
      <c r="BZ157" s="230">
        <v>1578</v>
      </c>
      <c r="CA157" s="228">
        <v>24</v>
      </c>
      <c r="CB157" s="229">
        <v>1.55E-2</v>
      </c>
      <c r="CC157" s="230">
        <v>1566</v>
      </c>
      <c r="CD157" s="230">
        <v>1545</v>
      </c>
      <c r="CE157" s="228">
        <v>21</v>
      </c>
      <c r="CF157" s="229">
        <v>1.37E-2</v>
      </c>
      <c r="CG157" s="228">
        <v>35</v>
      </c>
      <c r="CH157" s="228">
        <v>33</v>
      </c>
      <c r="CI157" s="228">
        <v>2</v>
      </c>
      <c r="CJ157" s="229">
        <v>7.46E-2</v>
      </c>
      <c r="CK157" s="228">
        <v>2</v>
      </c>
      <c r="CL157" s="228">
        <v>1</v>
      </c>
      <c r="CM157" s="228">
        <v>1</v>
      </c>
      <c r="CN157" s="229">
        <v>0.83330000000000004</v>
      </c>
      <c r="CO157" s="228">
        <v>760</v>
      </c>
      <c r="CP157" s="228">
        <v>640</v>
      </c>
      <c r="CQ157" s="228">
        <v>121</v>
      </c>
      <c r="CR157" s="229">
        <v>0.18840000000000001</v>
      </c>
      <c r="CS157" s="228">
        <v>650</v>
      </c>
      <c r="CT157" s="228">
        <v>602</v>
      </c>
      <c r="CU157" s="228">
        <v>48</v>
      </c>
      <c r="CV157" s="229">
        <v>7.9699999999999993E-2</v>
      </c>
      <c r="CW157" s="230">
        <v>3013</v>
      </c>
      <c r="CX157" s="230">
        <v>2820</v>
      </c>
      <c r="CY157" s="228">
        <v>193</v>
      </c>
      <c r="CZ157" s="229">
        <v>6.8400000000000002E-2</v>
      </c>
      <c r="DA157" s="228">
        <v>42.45</v>
      </c>
      <c r="DB157" s="228">
        <v>42.5</v>
      </c>
      <c r="DC157" s="228">
        <v>-0.05</v>
      </c>
      <c r="DD157" s="228">
        <v>-0.05</v>
      </c>
      <c r="DE157" s="228">
        <v>51.6</v>
      </c>
      <c r="DF157" s="228">
        <v>51.63</v>
      </c>
      <c r="DG157" s="228">
        <v>-9.15</v>
      </c>
      <c r="DH157" s="228">
        <v>-0.03</v>
      </c>
      <c r="DI157" s="228">
        <v>41.62</v>
      </c>
      <c r="DJ157" s="228">
        <v>42.24</v>
      </c>
      <c r="DK157" s="228">
        <v>-0.62</v>
      </c>
      <c r="DL157" s="228">
        <v>-0.62</v>
      </c>
      <c r="DM157" s="228">
        <v>43.75</v>
      </c>
      <c r="DN157" s="228">
        <v>42.89</v>
      </c>
      <c r="DO157" s="228">
        <v>0.86</v>
      </c>
      <c r="DP157" s="228">
        <v>0.86</v>
      </c>
      <c r="DQ157" s="228">
        <v>0.85</v>
      </c>
      <c r="DR157" s="228">
        <v>0.94</v>
      </c>
      <c r="DS157" s="228">
        <v>-0.09</v>
      </c>
      <c r="DT157" s="229">
        <v>-9.5699999999999993E-2</v>
      </c>
      <c r="DU157" s="231">
        <v>1200</v>
      </c>
      <c r="DV157" s="231">
        <v>1000</v>
      </c>
      <c r="DW157" s="228">
        <v>0.64</v>
      </c>
      <c r="DX157" s="228">
        <v>0.68</v>
      </c>
      <c r="DY157" s="228">
        <v>-0.04</v>
      </c>
      <c r="DZ157" s="229">
        <v>-5.8799999999999998E-2</v>
      </c>
      <c r="EA157" s="229">
        <v>2.3E-2</v>
      </c>
      <c r="EB157" s="230">
        <v>300150</v>
      </c>
      <c r="EC157" s="229">
        <v>2.0999999999999999E-3</v>
      </c>
      <c r="ED157" s="229">
        <v>2.3E-2</v>
      </c>
      <c r="EE157" s="228">
        <v>7.06</v>
      </c>
      <c r="EF157" s="229">
        <v>6.3E-3</v>
      </c>
      <c r="EG157" s="230">
        <v>831842</v>
      </c>
      <c r="EH157" s="230">
        <v>516057</v>
      </c>
      <c r="EI157" s="229">
        <v>0.6119</v>
      </c>
      <c r="EJ157" s="229">
        <v>0.30809999999999998</v>
      </c>
      <c r="EK157" s="231">
        <v>1709.98</v>
      </c>
      <c r="EL157" s="231">
        <v>1008.31</v>
      </c>
      <c r="EM157" s="228">
        <v>451.54</v>
      </c>
      <c r="EN157" s="228">
        <v>32.520000000000003</v>
      </c>
      <c r="EO157" s="231">
        <v>3169.82</v>
      </c>
      <c r="EP157" s="231">
        <v>1738.96</v>
      </c>
      <c r="EQ157" s="231">
        <v>1430.86</v>
      </c>
      <c r="ER157" s="229">
        <v>0.82279999999999998</v>
      </c>
      <c r="ES157" s="228">
        <v>796.95</v>
      </c>
      <c r="ET157" s="228">
        <v>609.42999999999995</v>
      </c>
      <c r="EU157" s="231">
        <v>1602.95</v>
      </c>
      <c r="EV157" s="231">
        <v>95930888</v>
      </c>
      <c r="EW157" s="231">
        <v>3009.34</v>
      </c>
      <c r="EX157" s="231">
        <v>2777.8</v>
      </c>
      <c r="EY157" s="228">
        <v>231.54</v>
      </c>
      <c r="EZ157" s="229">
        <v>8.3400000000000002E-2</v>
      </c>
      <c r="FA157" s="229">
        <v>0.28100000000000003</v>
      </c>
      <c r="FB157" s="227" t="s">
        <v>555</v>
      </c>
      <c r="FC157">
        <f t="shared" si="3"/>
        <v>0</v>
      </c>
    </row>
    <row r="158" spans="1:159" ht="17.25" thickBot="1" x14ac:dyDescent="0.3">
      <c r="A158" s="226">
        <v>46148</v>
      </c>
      <c r="B158" s="227" t="s">
        <v>221</v>
      </c>
      <c r="C158" s="227" t="s">
        <v>529</v>
      </c>
      <c r="D158" s="228">
        <v>100</v>
      </c>
      <c r="E158" s="228">
        <v>20</v>
      </c>
      <c r="F158" s="231">
        <v>5040.7</v>
      </c>
      <c r="G158" s="231">
        <v>4838.7</v>
      </c>
      <c r="H158" s="228">
        <v>202</v>
      </c>
      <c r="I158" s="229">
        <v>4.1700000000000001E-2</v>
      </c>
      <c r="J158" s="231">
        <v>5014</v>
      </c>
      <c r="K158" s="231">
        <v>4816.3</v>
      </c>
      <c r="L158" s="228">
        <v>197.7</v>
      </c>
      <c r="M158" s="229">
        <v>4.1000000000000002E-2</v>
      </c>
      <c r="N158" s="231">
        <v>5040.7</v>
      </c>
      <c r="O158" s="231">
        <v>4838.7</v>
      </c>
      <c r="P158" s="228">
        <v>202</v>
      </c>
      <c r="Q158" s="229">
        <v>4.1700000000000001E-2</v>
      </c>
      <c r="R158" s="231">
        <v>5026.1000000000004</v>
      </c>
      <c r="S158" s="231">
        <v>4819.5</v>
      </c>
      <c r="T158" s="228">
        <v>206.6</v>
      </c>
      <c r="U158" s="229">
        <v>4.2900000000000001E-2</v>
      </c>
      <c r="V158" s="231">
        <v>5028.3999999999996</v>
      </c>
      <c r="W158" s="231">
        <v>4830.3999999999996</v>
      </c>
      <c r="X158" s="228">
        <v>198</v>
      </c>
      <c r="Y158" s="229">
        <v>4.1000000000000002E-2</v>
      </c>
      <c r="Z158" s="228">
        <v>26.7</v>
      </c>
      <c r="AA158" s="228">
        <v>22.4</v>
      </c>
      <c r="AB158" s="228">
        <v>4.3</v>
      </c>
      <c r="AC158" s="229">
        <v>5.3E-3</v>
      </c>
      <c r="AD158" s="228">
        <v>26.7</v>
      </c>
      <c r="AE158" s="228">
        <v>22.4</v>
      </c>
      <c r="AF158" s="228">
        <v>4.3</v>
      </c>
      <c r="AG158" s="229">
        <v>5.3E-3</v>
      </c>
      <c r="AH158" s="228">
        <v>12.1</v>
      </c>
      <c r="AI158" s="228">
        <v>3.2</v>
      </c>
      <c r="AJ158" s="228">
        <v>8.9</v>
      </c>
      <c r="AK158" s="229">
        <v>2.3999999999999998E-3</v>
      </c>
      <c r="AL158" s="228">
        <v>14.4</v>
      </c>
      <c r="AM158" s="228">
        <v>14.1</v>
      </c>
      <c r="AN158" s="228">
        <v>0.3</v>
      </c>
      <c r="AO158" s="229">
        <v>2.8999999999999998E-3</v>
      </c>
      <c r="AP158" s="231">
        <v>4998.88</v>
      </c>
      <c r="AQ158" s="231">
        <v>4982.46</v>
      </c>
      <c r="AR158" s="228">
        <v>0</v>
      </c>
      <c r="AS158" s="228">
        <v>537</v>
      </c>
      <c r="AT158" s="228">
        <v>220</v>
      </c>
      <c r="AU158" s="228">
        <v>317</v>
      </c>
      <c r="AV158" s="229">
        <v>1.4396</v>
      </c>
      <c r="AW158" s="228">
        <v>510</v>
      </c>
      <c r="AX158" s="228">
        <v>212</v>
      </c>
      <c r="AY158" s="228">
        <v>297</v>
      </c>
      <c r="AZ158" s="229">
        <v>1.4007000000000001</v>
      </c>
      <c r="BA158" s="228">
        <v>25</v>
      </c>
      <c r="BB158" s="228">
        <v>6</v>
      </c>
      <c r="BC158" s="228">
        <v>18</v>
      </c>
      <c r="BD158" s="229">
        <v>3.0331000000000001</v>
      </c>
      <c r="BE158" s="228">
        <v>2</v>
      </c>
      <c r="BF158" s="228">
        <v>2</v>
      </c>
      <c r="BG158" s="228">
        <v>1</v>
      </c>
      <c r="BH158" s="229">
        <v>0.5161</v>
      </c>
      <c r="BI158" s="230">
        <v>1853</v>
      </c>
      <c r="BJ158" s="228">
        <v>661</v>
      </c>
      <c r="BK158" s="230">
        <v>1192</v>
      </c>
      <c r="BL158" s="229">
        <v>1.8044</v>
      </c>
      <c r="BM158" s="228">
        <v>748</v>
      </c>
      <c r="BN158" s="228">
        <v>248</v>
      </c>
      <c r="BO158" s="228">
        <v>500</v>
      </c>
      <c r="BP158" s="229">
        <v>2.0183</v>
      </c>
      <c r="BQ158" s="230">
        <v>3137</v>
      </c>
      <c r="BR158" s="230">
        <v>1128</v>
      </c>
      <c r="BS158" s="230">
        <v>2009</v>
      </c>
      <c r="BT158" s="229">
        <v>1.7803</v>
      </c>
      <c r="BU158" s="230">
        <v>828928</v>
      </c>
      <c r="BV158" s="230">
        <v>512785</v>
      </c>
      <c r="BW158" s="230">
        <v>316143</v>
      </c>
      <c r="BX158" s="229">
        <v>0.61650000000000005</v>
      </c>
      <c r="BY158" s="230">
        <v>1979</v>
      </c>
      <c r="BZ158" s="230">
        <v>2059</v>
      </c>
      <c r="CA158" s="228">
        <v>-80</v>
      </c>
      <c r="CB158" s="229">
        <v>-3.8600000000000002E-2</v>
      </c>
      <c r="CC158" s="230">
        <v>1918</v>
      </c>
      <c r="CD158" s="230">
        <v>1998</v>
      </c>
      <c r="CE158" s="228">
        <v>-80</v>
      </c>
      <c r="CF158" s="229">
        <v>-4.0300000000000002E-2</v>
      </c>
      <c r="CG158" s="228">
        <v>57</v>
      </c>
      <c r="CH158" s="228">
        <v>57</v>
      </c>
      <c r="CI158" s="228">
        <v>0</v>
      </c>
      <c r="CJ158" s="229">
        <v>8.9999999999999998E-4</v>
      </c>
      <c r="CK158" s="228">
        <v>5</v>
      </c>
      <c r="CL158" s="228">
        <v>4</v>
      </c>
      <c r="CM158" s="228">
        <v>1</v>
      </c>
      <c r="CN158" s="229">
        <v>0.21879999999999999</v>
      </c>
      <c r="CO158" s="228">
        <v>713</v>
      </c>
      <c r="CP158" s="228">
        <v>777</v>
      </c>
      <c r="CQ158" s="228">
        <v>-64</v>
      </c>
      <c r="CR158" s="229">
        <v>-8.1799999999999998E-2</v>
      </c>
      <c r="CS158" s="228">
        <v>464</v>
      </c>
      <c r="CT158" s="228">
        <v>463</v>
      </c>
      <c r="CU158" s="228">
        <v>1</v>
      </c>
      <c r="CV158" s="229">
        <v>2E-3</v>
      </c>
      <c r="CW158" s="230">
        <v>3156</v>
      </c>
      <c r="CX158" s="230">
        <v>3298</v>
      </c>
      <c r="CY158" s="228">
        <v>-142</v>
      </c>
      <c r="CZ158" s="229">
        <v>-4.3099999999999999E-2</v>
      </c>
      <c r="DA158" s="228">
        <v>34.29</v>
      </c>
      <c r="DB158" s="228">
        <v>36.270000000000003</v>
      </c>
      <c r="DC158" s="228">
        <v>-1.98</v>
      </c>
      <c r="DD158" s="228">
        <v>-1.98</v>
      </c>
      <c r="DE158" s="228">
        <v>40.92</v>
      </c>
      <c r="DF158" s="228">
        <v>40.65</v>
      </c>
      <c r="DG158" s="228">
        <v>-6.63</v>
      </c>
      <c r="DH158" s="228">
        <v>0.27</v>
      </c>
      <c r="DI158" s="228">
        <v>33.97</v>
      </c>
      <c r="DJ158" s="228">
        <v>36.299999999999997</v>
      </c>
      <c r="DK158" s="228">
        <v>-2.33</v>
      </c>
      <c r="DL158" s="228">
        <v>-2.33</v>
      </c>
      <c r="DM158" s="228">
        <v>35.090000000000003</v>
      </c>
      <c r="DN158" s="228">
        <v>36.18</v>
      </c>
      <c r="DO158" s="228">
        <v>-1.0900000000000001</v>
      </c>
      <c r="DP158" s="228">
        <v>-1.0900000000000001</v>
      </c>
      <c r="DQ158" s="228">
        <v>0.65</v>
      </c>
      <c r="DR158" s="228">
        <v>0.6</v>
      </c>
      <c r="DS158" s="228">
        <v>0.05</v>
      </c>
      <c r="DT158" s="229">
        <v>8.3299999999999999E-2</v>
      </c>
      <c r="DU158" s="231">
        <v>5500</v>
      </c>
      <c r="DV158" s="231">
        <v>5000</v>
      </c>
      <c r="DW158" s="228">
        <v>0.4</v>
      </c>
      <c r="DX158" s="228">
        <v>0.38</v>
      </c>
      <c r="DY158" s="228">
        <v>0.02</v>
      </c>
      <c r="DZ158" s="229">
        <v>5.2600000000000001E-2</v>
      </c>
      <c r="EA158" s="229">
        <v>3.1099999999999999E-2</v>
      </c>
      <c r="EB158" s="230">
        <v>120100</v>
      </c>
      <c r="EC158" s="229">
        <v>-2.8999999999999998E-3</v>
      </c>
      <c r="ED158" s="229">
        <v>3.1099999999999999E-2</v>
      </c>
      <c r="EE158" s="228">
        <v>-16.420000000000002</v>
      </c>
      <c r="EF158" s="229">
        <v>-3.3E-3</v>
      </c>
      <c r="EG158" s="230">
        <v>302910</v>
      </c>
      <c r="EH158" s="230">
        <v>254306</v>
      </c>
      <c r="EI158" s="229">
        <v>0.19109999999999999</v>
      </c>
      <c r="EJ158" s="229">
        <v>0.3654</v>
      </c>
      <c r="EK158" s="231">
        <v>1935.76</v>
      </c>
      <c r="EL158" s="228">
        <v>722.76</v>
      </c>
      <c r="EM158" s="228">
        <v>532.83000000000004</v>
      </c>
      <c r="EN158" s="228">
        <v>47.83</v>
      </c>
      <c r="EO158" s="231">
        <v>3191.36</v>
      </c>
      <c r="EP158" s="231">
        <v>1127.2</v>
      </c>
      <c r="EQ158" s="231">
        <v>2064.16</v>
      </c>
      <c r="ER158" s="229">
        <v>1.8311999999999999</v>
      </c>
      <c r="ES158" s="228">
        <v>744.19</v>
      </c>
      <c r="ET158" s="228">
        <v>441.38</v>
      </c>
      <c r="EU158" s="231">
        <v>1978.98</v>
      </c>
      <c r="EV158" s="231">
        <v>16286398</v>
      </c>
      <c r="EW158" s="231">
        <v>3164.55</v>
      </c>
      <c r="EX158" s="231">
        <v>3216.25</v>
      </c>
      <c r="EY158" s="228">
        <v>-51.7</v>
      </c>
      <c r="EZ158" s="229">
        <v>-1.61E-2</v>
      </c>
      <c r="FA158" s="229">
        <v>0.38440000000000002</v>
      </c>
      <c r="FB158" s="227" t="s">
        <v>691</v>
      </c>
      <c r="FC158">
        <f t="shared" si="3"/>
        <v>0</v>
      </c>
    </row>
    <row r="159" spans="1:159" ht="17.25" thickBot="1" x14ac:dyDescent="0.3">
      <c r="A159" s="226">
        <v>46148</v>
      </c>
      <c r="B159" s="227" t="s">
        <v>193</v>
      </c>
      <c r="C159" s="227" t="s">
        <v>272</v>
      </c>
      <c r="D159" s="228">
        <v>1900</v>
      </c>
      <c r="E159" s="228">
        <v>20</v>
      </c>
      <c r="F159" s="228">
        <v>284.5</v>
      </c>
      <c r="G159" s="228">
        <v>283.60000000000002</v>
      </c>
      <c r="H159" s="228">
        <v>0.9</v>
      </c>
      <c r="I159" s="229">
        <v>3.2000000000000002E-3</v>
      </c>
      <c r="J159" s="228">
        <v>283.3</v>
      </c>
      <c r="K159" s="228">
        <v>282.55</v>
      </c>
      <c r="L159" s="228">
        <v>0.75</v>
      </c>
      <c r="M159" s="229">
        <v>2.7000000000000001E-3</v>
      </c>
      <c r="N159" s="228">
        <v>284.5</v>
      </c>
      <c r="O159" s="228">
        <v>283.60000000000002</v>
      </c>
      <c r="P159" s="228">
        <v>0.9</v>
      </c>
      <c r="Q159" s="229">
        <v>3.2000000000000002E-3</v>
      </c>
      <c r="R159" s="228">
        <v>283.60000000000002</v>
      </c>
      <c r="S159" s="228">
        <v>282.85000000000002</v>
      </c>
      <c r="T159" s="228">
        <v>0.75</v>
      </c>
      <c r="U159" s="229">
        <v>2.7000000000000001E-3</v>
      </c>
      <c r="V159" s="228">
        <v>282.8</v>
      </c>
      <c r="W159" s="228">
        <v>281.75</v>
      </c>
      <c r="X159" s="228">
        <v>1.05</v>
      </c>
      <c r="Y159" s="229">
        <v>3.7000000000000002E-3</v>
      </c>
      <c r="Z159" s="228">
        <v>1.2</v>
      </c>
      <c r="AA159" s="228">
        <v>1.05</v>
      </c>
      <c r="AB159" s="228">
        <v>0.15</v>
      </c>
      <c r="AC159" s="229">
        <v>4.1999999999999997E-3</v>
      </c>
      <c r="AD159" s="228">
        <v>1.2</v>
      </c>
      <c r="AE159" s="228">
        <v>1.05</v>
      </c>
      <c r="AF159" s="228">
        <v>0.15</v>
      </c>
      <c r="AG159" s="229">
        <v>4.1999999999999997E-3</v>
      </c>
      <c r="AH159" s="228">
        <v>0.3</v>
      </c>
      <c r="AI159" s="228">
        <v>0.3</v>
      </c>
      <c r="AJ159" s="228">
        <v>0</v>
      </c>
      <c r="AK159" s="229">
        <v>1.1000000000000001E-3</v>
      </c>
      <c r="AL159" s="228">
        <v>-0.5</v>
      </c>
      <c r="AM159" s="228">
        <v>-0.8</v>
      </c>
      <c r="AN159" s="228">
        <v>0.3</v>
      </c>
      <c r="AO159" s="229">
        <v>-1.8E-3</v>
      </c>
      <c r="AP159" s="228">
        <v>282.86</v>
      </c>
      <c r="AQ159" s="228">
        <v>281.87</v>
      </c>
      <c r="AR159" s="228">
        <v>0</v>
      </c>
      <c r="AS159" s="228">
        <v>150</v>
      </c>
      <c r="AT159" s="228">
        <v>421</v>
      </c>
      <c r="AU159" s="228">
        <v>-270</v>
      </c>
      <c r="AV159" s="229">
        <v>-0.64239999999999997</v>
      </c>
      <c r="AW159" s="228">
        <v>144</v>
      </c>
      <c r="AX159" s="228">
        <v>411</v>
      </c>
      <c r="AY159" s="228">
        <v>-266</v>
      </c>
      <c r="AZ159" s="229">
        <v>-0.64880000000000004</v>
      </c>
      <c r="BA159" s="228">
        <v>5</v>
      </c>
      <c r="BB159" s="228">
        <v>8</v>
      </c>
      <c r="BC159" s="228">
        <v>-3</v>
      </c>
      <c r="BD159" s="229">
        <v>-0.33110000000000001</v>
      </c>
      <c r="BE159" s="228">
        <v>1</v>
      </c>
      <c r="BF159" s="228">
        <v>2</v>
      </c>
      <c r="BG159" s="228">
        <v>-1</v>
      </c>
      <c r="BH159" s="229">
        <v>-0.6</v>
      </c>
      <c r="BI159" s="228">
        <v>748</v>
      </c>
      <c r="BJ159" s="230">
        <v>1664</v>
      </c>
      <c r="BK159" s="228">
        <v>-916</v>
      </c>
      <c r="BL159" s="229">
        <v>-0.55049999999999999</v>
      </c>
      <c r="BM159" s="228">
        <v>206</v>
      </c>
      <c r="BN159" s="228">
        <v>609</v>
      </c>
      <c r="BO159" s="228">
        <v>-403</v>
      </c>
      <c r="BP159" s="229">
        <v>-0.66120000000000001</v>
      </c>
      <c r="BQ159" s="230">
        <v>1105</v>
      </c>
      <c r="BR159" s="230">
        <v>2693</v>
      </c>
      <c r="BS159" s="230">
        <v>-1589</v>
      </c>
      <c r="BT159" s="229">
        <v>-0.58989999999999998</v>
      </c>
      <c r="BU159" s="230">
        <v>4300497</v>
      </c>
      <c r="BV159" s="230">
        <v>13499273</v>
      </c>
      <c r="BW159" s="230">
        <v>-9198776</v>
      </c>
      <c r="BX159" s="229">
        <v>-0.68140000000000001</v>
      </c>
      <c r="BY159" s="228">
        <v>952</v>
      </c>
      <c r="BZ159" s="228">
        <v>938</v>
      </c>
      <c r="CA159" s="228">
        <v>14</v>
      </c>
      <c r="CB159" s="229">
        <v>1.44E-2</v>
      </c>
      <c r="CC159" s="228">
        <v>936</v>
      </c>
      <c r="CD159" s="228">
        <v>925</v>
      </c>
      <c r="CE159" s="228">
        <v>11</v>
      </c>
      <c r="CF159" s="229">
        <v>1.2200000000000001E-2</v>
      </c>
      <c r="CG159" s="228">
        <v>14</v>
      </c>
      <c r="CH159" s="228">
        <v>11</v>
      </c>
      <c r="CI159" s="228">
        <v>2</v>
      </c>
      <c r="CJ159" s="229">
        <v>0.1981</v>
      </c>
      <c r="CK159" s="228">
        <v>2</v>
      </c>
      <c r="CL159" s="228">
        <v>2</v>
      </c>
      <c r="CM159" s="228">
        <v>0</v>
      </c>
      <c r="CN159" s="229">
        <v>-2.63E-2</v>
      </c>
      <c r="CO159" s="228">
        <v>357</v>
      </c>
      <c r="CP159" s="228">
        <v>308</v>
      </c>
      <c r="CQ159" s="228">
        <v>50</v>
      </c>
      <c r="CR159" s="229">
        <v>0.16170000000000001</v>
      </c>
      <c r="CS159" s="228">
        <v>305</v>
      </c>
      <c r="CT159" s="228">
        <v>285</v>
      </c>
      <c r="CU159" s="228">
        <v>20</v>
      </c>
      <c r="CV159" s="229">
        <v>6.9199999999999998E-2</v>
      </c>
      <c r="CW159" s="230">
        <v>1614</v>
      </c>
      <c r="CX159" s="230">
        <v>1531</v>
      </c>
      <c r="CY159" s="228">
        <v>83</v>
      </c>
      <c r="CZ159" s="229">
        <v>5.4199999999999998E-2</v>
      </c>
      <c r="DA159" s="228">
        <v>31.57</v>
      </c>
      <c r="DB159" s="228">
        <v>32.42</v>
      </c>
      <c r="DC159" s="228">
        <v>-0.85</v>
      </c>
      <c r="DD159" s="228">
        <v>-0.85</v>
      </c>
      <c r="DE159" s="228">
        <v>38.35</v>
      </c>
      <c r="DF159" s="228">
        <v>38.450000000000003</v>
      </c>
      <c r="DG159" s="228">
        <v>-6.78</v>
      </c>
      <c r="DH159" s="228">
        <v>-0.1</v>
      </c>
      <c r="DI159" s="228">
        <v>31.74</v>
      </c>
      <c r="DJ159" s="228">
        <v>32.15</v>
      </c>
      <c r="DK159" s="228">
        <v>-0.41</v>
      </c>
      <c r="DL159" s="228">
        <v>-0.41</v>
      </c>
      <c r="DM159" s="228">
        <v>30.97</v>
      </c>
      <c r="DN159" s="228">
        <v>33.17</v>
      </c>
      <c r="DO159" s="228">
        <v>-2.2000000000000002</v>
      </c>
      <c r="DP159" s="228">
        <v>-2.2000000000000002</v>
      </c>
      <c r="DQ159" s="228">
        <v>0.85</v>
      </c>
      <c r="DR159" s="228">
        <v>0.93</v>
      </c>
      <c r="DS159" s="228">
        <v>-0.08</v>
      </c>
      <c r="DT159" s="229">
        <v>-8.5999999999999993E-2</v>
      </c>
      <c r="DU159" s="228">
        <v>300</v>
      </c>
      <c r="DV159" s="228">
        <v>280</v>
      </c>
      <c r="DW159" s="228">
        <v>0.28000000000000003</v>
      </c>
      <c r="DX159" s="228">
        <v>0.37</v>
      </c>
      <c r="DY159" s="228">
        <v>-0.09</v>
      </c>
      <c r="DZ159" s="229">
        <v>-0.2432</v>
      </c>
      <c r="EA159" s="229">
        <v>1.6500000000000001E-2</v>
      </c>
      <c r="EB159" s="230">
        <v>475000</v>
      </c>
      <c r="EC159" s="229">
        <v>-3.2000000000000002E-3</v>
      </c>
      <c r="ED159" s="229">
        <v>1.6500000000000001E-2</v>
      </c>
      <c r="EE159" s="228">
        <v>-0.99</v>
      </c>
      <c r="EF159" s="229">
        <v>-3.5000000000000001E-3</v>
      </c>
      <c r="EG159" s="230">
        <v>2501468</v>
      </c>
      <c r="EH159" s="230">
        <v>5702038</v>
      </c>
      <c r="EI159" s="229">
        <v>-0.56130000000000002</v>
      </c>
      <c r="EJ159" s="229">
        <v>0.58169999999999999</v>
      </c>
      <c r="EK159" s="228">
        <v>798.01</v>
      </c>
      <c r="EL159" s="228">
        <v>203.02</v>
      </c>
      <c r="EM159" s="228">
        <v>149.54</v>
      </c>
      <c r="EN159" s="228">
        <v>31.87</v>
      </c>
      <c r="EO159" s="231">
        <v>1150.57</v>
      </c>
      <c r="EP159" s="231">
        <v>2754.73</v>
      </c>
      <c r="EQ159" s="231">
        <v>-1604.16</v>
      </c>
      <c r="ER159" s="229">
        <v>-0.58230000000000004</v>
      </c>
      <c r="ES159" s="228">
        <v>371.27</v>
      </c>
      <c r="ET159" s="228">
        <v>289.62</v>
      </c>
      <c r="EU159" s="228">
        <v>951.75</v>
      </c>
      <c r="EV159" s="231">
        <v>112500013</v>
      </c>
      <c r="EW159" s="231">
        <v>1612.64</v>
      </c>
      <c r="EX159" s="231">
        <v>1522.81</v>
      </c>
      <c r="EY159" s="228">
        <v>89.83</v>
      </c>
      <c r="EZ159" s="229">
        <v>5.8999999999999997E-2</v>
      </c>
      <c r="FA159" s="229">
        <v>0.50429999999999997</v>
      </c>
      <c r="FB159" s="227" t="s">
        <v>555</v>
      </c>
      <c r="FC159">
        <f t="shared" si="3"/>
        <v>0</v>
      </c>
    </row>
    <row r="160" spans="1:159" ht="17.25" thickBot="1" x14ac:dyDescent="0.3">
      <c r="A160" s="226">
        <v>46148</v>
      </c>
      <c r="B160" s="227" t="s">
        <v>175</v>
      </c>
      <c r="C160" s="227" t="s">
        <v>273</v>
      </c>
      <c r="D160" s="228">
        <v>1300</v>
      </c>
      <c r="E160" s="228">
        <v>20</v>
      </c>
      <c r="F160" s="228">
        <v>466.35</v>
      </c>
      <c r="G160" s="228">
        <v>459.1</v>
      </c>
      <c r="H160" s="228">
        <v>7.25</v>
      </c>
      <c r="I160" s="229">
        <v>1.5800000000000002E-2</v>
      </c>
      <c r="J160" s="228">
        <v>463.9</v>
      </c>
      <c r="K160" s="228">
        <v>456.9</v>
      </c>
      <c r="L160" s="228">
        <v>7</v>
      </c>
      <c r="M160" s="229">
        <v>1.5299999999999999E-2</v>
      </c>
      <c r="N160" s="228">
        <v>466.35</v>
      </c>
      <c r="O160" s="228">
        <v>459.1</v>
      </c>
      <c r="P160" s="228">
        <v>7.25</v>
      </c>
      <c r="Q160" s="229">
        <v>1.5800000000000002E-2</v>
      </c>
      <c r="R160" s="228">
        <v>467.4</v>
      </c>
      <c r="S160" s="228">
        <v>461</v>
      </c>
      <c r="T160" s="228">
        <v>6.4</v>
      </c>
      <c r="U160" s="229">
        <v>1.3899999999999999E-2</v>
      </c>
      <c r="V160" s="228">
        <v>468.4</v>
      </c>
      <c r="W160" s="228">
        <v>462.85</v>
      </c>
      <c r="X160" s="228">
        <v>5.55</v>
      </c>
      <c r="Y160" s="229">
        <v>1.2E-2</v>
      </c>
      <c r="Z160" s="228">
        <v>2.4500000000000002</v>
      </c>
      <c r="AA160" s="228">
        <v>2.2000000000000002</v>
      </c>
      <c r="AB160" s="228">
        <v>0.25</v>
      </c>
      <c r="AC160" s="229">
        <v>5.3E-3</v>
      </c>
      <c r="AD160" s="228">
        <v>2.4500000000000002</v>
      </c>
      <c r="AE160" s="228">
        <v>2.2000000000000002</v>
      </c>
      <c r="AF160" s="228">
        <v>0.25</v>
      </c>
      <c r="AG160" s="229">
        <v>5.3E-3</v>
      </c>
      <c r="AH160" s="228">
        <v>3.5</v>
      </c>
      <c r="AI160" s="228">
        <v>4.0999999999999996</v>
      </c>
      <c r="AJ160" s="228">
        <v>-0.6</v>
      </c>
      <c r="AK160" s="229">
        <v>7.4999999999999997E-3</v>
      </c>
      <c r="AL160" s="228">
        <v>4.5</v>
      </c>
      <c r="AM160" s="228">
        <v>5.95</v>
      </c>
      <c r="AN160" s="228">
        <v>-1.45</v>
      </c>
      <c r="AO160" s="229">
        <v>9.7000000000000003E-3</v>
      </c>
      <c r="AP160" s="228">
        <v>460.92</v>
      </c>
      <c r="AQ160" s="228">
        <v>463.23</v>
      </c>
      <c r="AR160" s="228">
        <v>0</v>
      </c>
      <c r="AS160" s="228">
        <v>276</v>
      </c>
      <c r="AT160" s="228">
        <v>355</v>
      </c>
      <c r="AU160" s="228">
        <v>-79</v>
      </c>
      <c r="AV160" s="229">
        <v>-0.22189999999999999</v>
      </c>
      <c r="AW160" s="228">
        <v>245</v>
      </c>
      <c r="AX160" s="228">
        <v>336</v>
      </c>
      <c r="AY160" s="228">
        <v>-91</v>
      </c>
      <c r="AZ160" s="229">
        <v>-0.27210000000000001</v>
      </c>
      <c r="BA160" s="228">
        <v>24</v>
      </c>
      <c r="BB160" s="228">
        <v>17</v>
      </c>
      <c r="BC160" s="228">
        <v>7</v>
      </c>
      <c r="BD160" s="229">
        <v>0.41699999999999998</v>
      </c>
      <c r="BE160" s="228">
        <v>7</v>
      </c>
      <c r="BF160" s="228">
        <v>2</v>
      </c>
      <c r="BG160" s="228">
        <v>6</v>
      </c>
      <c r="BH160" s="229">
        <v>3.68</v>
      </c>
      <c r="BI160" s="228">
        <v>749</v>
      </c>
      <c r="BJ160" s="230">
        <v>1237</v>
      </c>
      <c r="BK160" s="228">
        <v>-488</v>
      </c>
      <c r="BL160" s="229">
        <v>-0.39429999999999998</v>
      </c>
      <c r="BM160" s="228">
        <v>329</v>
      </c>
      <c r="BN160" s="228">
        <v>530</v>
      </c>
      <c r="BO160" s="228">
        <v>-201</v>
      </c>
      <c r="BP160" s="229">
        <v>-0.37869999999999998</v>
      </c>
      <c r="BQ160" s="230">
        <v>1355</v>
      </c>
      <c r="BR160" s="230">
        <v>2122</v>
      </c>
      <c r="BS160" s="228">
        <v>-767</v>
      </c>
      <c r="BT160" s="229">
        <v>-0.36159999999999998</v>
      </c>
      <c r="BU160" s="230">
        <v>5431208</v>
      </c>
      <c r="BV160" s="230">
        <v>7883188</v>
      </c>
      <c r="BW160" s="230">
        <v>-2451980</v>
      </c>
      <c r="BX160" s="229">
        <v>-0.311</v>
      </c>
      <c r="BY160" s="230">
        <v>2711</v>
      </c>
      <c r="BZ160" s="230">
        <v>2691</v>
      </c>
      <c r="CA160" s="228">
        <v>20</v>
      </c>
      <c r="CB160" s="229">
        <v>7.4999999999999997E-3</v>
      </c>
      <c r="CC160" s="230">
        <v>2636</v>
      </c>
      <c r="CD160" s="230">
        <v>2619</v>
      </c>
      <c r="CE160" s="228">
        <v>17</v>
      </c>
      <c r="CF160" s="229">
        <v>6.6E-3</v>
      </c>
      <c r="CG160" s="228">
        <v>70</v>
      </c>
      <c r="CH160" s="228">
        <v>68</v>
      </c>
      <c r="CI160" s="228">
        <v>3</v>
      </c>
      <c r="CJ160" s="229">
        <v>3.7600000000000001E-2</v>
      </c>
      <c r="CK160" s="228">
        <v>5</v>
      </c>
      <c r="CL160" s="228">
        <v>4</v>
      </c>
      <c r="CM160" s="228">
        <v>1</v>
      </c>
      <c r="CN160" s="229">
        <v>0.1216</v>
      </c>
      <c r="CO160" s="228">
        <v>954</v>
      </c>
      <c r="CP160" s="228">
        <v>924</v>
      </c>
      <c r="CQ160" s="228">
        <v>29</v>
      </c>
      <c r="CR160" s="229">
        <v>3.15E-2</v>
      </c>
      <c r="CS160" s="228">
        <v>548</v>
      </c>
      <c r="CT160" s="228">
        <v>540</v>
      </c>
      <c r="CU160" s="228">
        <v>8</v>
      </c>
      <c r="CV160" s="229">
        <v>1.5699999999999999E-2</v>
      </c>
      <c r="CW160" s="230">
        <v>4213</v>
      </c>
      <c r="CX160" s="230">
        <v>4155</v>
      </c>
      <c r="CY160" s="228">
        <v>58</v>
      </c>
      <c r="CZ160" s="229">
        <v>1.3899999999999999E-2</v>
      </c>
      <c r="DA160" s="228">
        <v>34.79</v>
      </c>
      <c r="DB160" s="228">
        <v>35.75</v>
      </c>
      <c r="DC160" s="228">
        <v>-0.96</v>
      </c>
      <c r="DD160" s="228">
        <v>-0.96</v>
      </c>
      <c r="DE160" s="228">
        <v>41.75</v>
      </c>
      <c r="DF160" s="228">
        <v>41.8</v>
      </c>
      <c r="DG160" s="228">
        <v>-6.96</v>
      </c>
      <c r="DH160" s="228">
        <v>-0.05</v>
      </c>
      <c r="DI160" s="228">
        <v>34.78</v>
      </c>
      <c r="DJ160" s="228">
        <v>35.96</v>
      </c>
      <c r="DK160" s="228">
        <v>-1.18</v>
      </c>
      <c r="DL160" s="228">
        <v>-1.18</v>
      </c>
      <c r="DM160" s="228">
        <v>34.81</v>
      </c>
      <c r="DN160" s="228">
        <v>35.26</v>
      </c>
      <c r="DO160" s="228">
        <v>-0.45</v>
      </c>
      <c r="DP160" s="228">
        <v>-0.45</v>
      </c>
      <c r="DQ160" s="228">
        <v>0.57999999999999996</v>
      </c>
      <c r="DR160" s="228">
        <v>0.57999999999999996</v>
      </c>
      <c r="DS160" s="228">
        <v>0</v>
      </c>
      <c r="DT160" s="229">
        <v>0</v>
      </c>
      <c r="DU160" s="228">
        <v>500</v>
      </c>
      <c r="DV160" s="228">
        <v>450</v>
      </c>
      <c r="DW160" s="228">
        <v>0.44</v>
      </c>
      <c r="DX160" s="228">
        <v>0.43</v>
      </c>
      <c r="DY160" s="228">
        <v>0.01</v>
      </c>
      <c r="DZ160" s="229">
        <v>2.3300000000000001E-2</v>
      </c>
      <c r="EA160" s="229">
        <v>2.7799999999999998E-2</v>
      </c>
      <c r="EB160" s="230">
        <v>1549600</v>
      </c>
      <c r="EC160" s="229">
        <v>2.3E-3</v>
      </c>
      <c r="ED160" s="229">
        <v>2.7799999999999998E-2</v>
      </c>
      <c r="EE160" s="228">
        <v>2.31</v>
      </c>
      <c r="EF160" s="229">
        <v>5.0000000000000001E-3</v>
      </c>
      <c r="EG160" s="230">
        <v>2915626</v>
      </c>
      <c r="EH160" s="230">
        <v>3760355</v>
      </c>
      <c r="EI160" s="229">
        <v>-0.22459999999999999</v>
      </c>
      <c r="EJ160" s="229">
        <v>0.53680000000000005</v>
      </c>
      <c r="EK160" s="228">
        <v>778.75</v>
      </c>
      <c r="EL160" s="228">
        <v>324.99</v>
      </c>
      <c r="EM160" s="228">
        <v>273.05</v>
      </c>
      <c r="EN160" s="228">
        <v>71.94</v>
      </c>
      <c r="EO160" s="231">
        <v>1376.79</v>
      </c>
      <c r="EP160" s="231">
        <v>2141.37</v>
      </c>
      <c r="EQ160" s="228">
        <v>-764.58</v>
      </c>
      <c r="ER160" s="229">
        <v>-0.35709999999999997</v>
      </c>
      <c r="ES160" s="228">
        <v>984.25</v>
      </c>
      <c r="ET160" s="228">
        <v>524.76</v>
      </c>
      <c r="EU160" s="231">
        <v>2711.23</v>
      </c>
      <c r="EV160" s="231">
        <v>217835555</v>
      </c>
      <c r="EW160" s="231">
        <v>4220.24</v>
      </c>
      <c r="EX160" s="231">
        <v>4118.6499999999996</v>
      </c>
      <c r="EY160" s="228">
        <v>101.59</v>
      </c>
      <c r="EZ160" s="229">
        <v>2.47E-2</v>
      </c>
      <c r="FA160" s="229">
        <v>0.41470000000000001</v>
      </c>
      <c r="FB160" s="227" t="s">
        <v>555</v>
      </c>
      <c r="FC160">
        <f t="shared" si="3"/>
        <v>0</v>
      </c>
    </row>
    <row r="161" spans="1:159" ht="17.25" thickBot="1" x14ac:dyDescent="0.3">
      <c r="A161" s="226">
        <v>46148</v>
      </c>
      <c r="B161" s="227" t="s">
        <v>184</v>
      </c>
      <c r="C161" s="227" t="s">
        <v>676</v>
      </c>
      <c r="D161" s="228">
        <v>950</v>
      </c>
      <c r="E161" s="228">
        <v>20</v>
      </c>
      <c r="F161" s="228">
        <v>548.4</v>
      </c>
      <c r="G161" s="228">
        <v>534.15</v>
      </c>
      <c r="H161" s="228">
        <v>14.25</v>
      </c>
      <c r="I161" s="229">
        <v>2.6700000000000002E-2</v>
      </c>
      <c r="J161" s="228">
        <v>544.5</v>
      </c>
      <c r="K161" s="228">
        <v>532.35</v>
      </c>
      <c r="L161" s="228">
        <v>12.15</v>
      </c>
      <c r="M161" s="229">
        <v>2.2800000000000001E-2</v>
      </c>
      <c r="N161" s="228">
        <v>548.4</v>
      </c>
      <c r="O161" s="228">
        <v>534.15</v>
      </c>
      <c r="P161" s="228">
        <v>14.25</v>
      </c>
      <c r="Q161" s="229">
        <v>2.6700000000000002E-2</v>
      </c>
      <c r="R161" s="228">
        <v>546.29999999999995</v>
      </c>
      <c r="S161" s="228">
        <v>531.75</v>
      </c>
      <c r="T161" s="228">
        <v>14.55</v>
      </c>
      <c r="U161" s="229">
        <v>2.7400000000000001E-2</v>
      </c>
      <c r="V161" s="228">
        <v>546</v>
      </c>
      <c r="W161" s="228">
        <v>529.4</v>
      </c>
      <c r="X161" s="228">
        <v>16.600000000000001</v>
      </c>
      <c r="Y161" s="229">
        <v>3.1399999999999997E-2</v>
      </c>
      <c r="Z161" s="228">
        <v>3.9</v>
      </c>
      <c r="AA161" s="228">
        <v>1.8</v>
      </c>
      <c r="AB161" s="228">
        <v>2.1</v>
      </c>
      <c r="AC161" s="229">
        <v>7.1999999999999998E-3</v>
      </c>
      <c r="AD161" s="228">
        <v>3.9</v>
      </c>
      <c r="AE161" s="228">
        <v>1.8</v>
      </c>
      <c r="AF161" s="228">
        <v>2.1</v>
      </c>
      <c r="AG161" s="229">
        <v>7.1999999999999998E-3</v>
      </c>
      <c r="AH161" s="228">
        <v>1.8</v>
      </c>
      <c r="AI161" s="228">
        <v>-0.6</v>
      </c>
      <c r="AJ161" s="228">
        <v>2.4</v>
      </c>
      <c r="AK161" s="229">
        <v>3.3E-3</v>
      </c>
      <c r="AL161" s="228">
        <v>1.5</v>
      </c>
      <c r="AM161" s="228">
        <v>-2.95</v>
      </c>
      <c r="AN161" s="228">
        <v>4.45</v>
      </c>
      <c r="AO161" s="229">
        <v>2.8E-3</v>
      </c>
      <c r="AP161" s="228">
        <v>543.86</v>
      </c>
      <c r="AQ161" s="228">
        <v>541.01</v>
      </c>
      <c r="AR161" s="228">
        <v>0</v>
      </c>
      <c r="AS161" s="228">
        <v>117</v>
      </c>
      <c r="AT161" s="228">
        <v>105</v>
      </c>
      <c r="AU161" s="228">
        <v>12</v>
      </c>
      <c r="AV161" s="229">
        <v>0.11070000000000001</v>
      </c>
      <c r="AW161" s="228">
        <v>112</v>
      </c>
      <c r="AX161" s="228">
        <v>94</v>
      </c>
      <c r="AY161" s="228">
        <v>17</v>
      </c>
      <c r="AZ161" s="229">
        <v>0.18479999999999999</v>
      </c>
      <c r="BA161" s="228">
        <v>4</v>
      </c>
      <c r="BB161" s="228">
        <v>7</v>
      </c>
      <c r="BC161" s="228">
        <v>-3</v>
      </c>
      <c r="BD161" s="229">
        <v>-0.47789999999999999</v>
      </c>
      <c r="BE161" s="228">
        <v>1</v>
      </c>
      <c r="BF161" s="228">
        <v>4</v>
      </c>
      <c r="BG161" s="228">
        <v>-2</v>
      </c>
      <c r="BH161" s="229">
        <v>-0.64790000000000003</v>
      </c>
      <c r="BI161" s="228">
        <v>314</v>
      </c>
      <c r="BJ161" s="228">
        <v>254</v>
      </c>
      <c r="BK161" s="228">
        <v>59</v>
      </c>
      <c r="BL161" s="229">
        <v>0.2339</v>
      </c>
      <c r="BM161" s="228">
        <v>138</v>
      </c>
      <c r="BN161" s="228">
        <v>85</v>
      </c>
      <c r="BO161" s="228">
        <v>53</v>
      </c>
      <c r="BP161" s="229">
        <v>0.62409999999999999</v>
      </c>
      <c r="BQ161" s="228">
        <v>568</v>
      </c>
      <c r="BR161" s="228">
        <v>444</v>
      </c>
      <c r="BS161" s="228">
        <v>124</v>
      </c>
      <c r="BT161" s="229">
        <v>0.27929999999999999</v>
      </c>
      <c r="BU161" s="230">
        <v>1711687</v>
      </c>
      <c r="BV161" s="230">
        <v>1441258</v>
      </c>
      <c r="BW161" s="230">
        <v>270429</v>
      </c>
      <c r="BX161" s="229">
        <v>0.18759999999999999</v>
      </c>
      <c r="BY161" s="228">
        <v>628</v>
      </c>
      <c r="BZ161" s="228">
        <v>626</v>
      </c>
      <c r="CA161" s="228">
        <v>2</v>
      </c>
      <c r="CB161" s="229">
        <v>2.8E-3</v>
      </c>
      <c r="CC161" s="228">
        <v>575</v>
      </c>
      <c r="CD161" s="228">
        <v>574</v>
      </c>
      <c r="CE161" s="228">
        <v>2</v>
      </c>
      <c r="CF161" s="229">
        <v>2.7000000000000001E-3</v>
      </c>
      <c r="CG161" s="228">
        <v>49</v>
      </c>
      <c r="CH161" s="228">
        <v>49</v>
      </c>
      <c r="CI161" s="228">
        <v>0</v>
      </c>
      <c r="CJ161" s="229">
        <v>-3.2000000000000002E-3</v>
      </c>
      <c r="CK161" s="228">
        <v>3</v>
      </c>
      <c r="CL161" s="228">
        <v>3</v>
      </c>
      <c r="CM161" s="228">
        <v>0</v>
      </c>
      <c r="CN161" s="229">
        <v>0.12959999999999999</v>
      </c>
      <c r="CO161" s="228">
        <v>246</v>
      </c>
      <c r="CP161" s="228">
        <v>232</v>
      </c>
      <c r="CQ161" s="228">
        <v>13</v>
      </c>
      <c r="CR161" s="229">
        <v>5.6899999999999999E-2</v>
      </c>
      <c r="CS161" s="228">
        <v>203</v>
      </c>
      <c r="CT161" s="228">
        <v>201</v>
      </c>
      <c r="CU161" s="228">
        <v>2</v>
      </c>
      <c r="CV161" s="229">
        <v>9.1000000000000004E-3</v>
      </c>
      <c r="CW161" s="230">
        <v>1077</v>
      </c>
      <c r="CX161" s="230">
        <v>1060</v>
      </c>
      <c r="CY161" s="228">
        <v>17</v>
      </c>
      <c r="CZ161" s="229">
        <v>1.5900000000000001E-2</v>
      </c>
      <c r="DA161" s="228">
        <v>51.14</v>
      </c>
      <c r="DB161" s="228">
        <v>52.87</v>
      </c>
      <c r="DC161" s="228">
        <v>-1.73</v>
      </c>
      <c r="DD161" s="228">
        <v>-1.73</v>
      </c>
      <c r="DE161" s="228">
        <v>66.790000000000006</v>
      </c>
      <c r="DF161" s="228">
        <v>66.87</v>
      </c>
      <c r="DG161" s="228">
        <v>-15.65</v>
      </c>
      <c r="DH161" s="228">
        <v>-0.08</v>
      </c>
      <c r="DI161" s="228">
        <v>50.9</v>
      </c>
      <c r="DJ161" s="228">
        <v>52.84</v>
      </c>
      <c r="DK161" s="228">
        <v>-1.94</v>
      </c>
      <c r="DL161" s="228">
        <v>-1.94</v>
      </c>
      <c r="DM161" s="228">
        <v>51.69</v>
      </c>
      <c r="DN161" s="228">
        <v>52.96</v>
      </c>
      <c r="DO161" s="228">
        <v>-1.27</v>
      </c>
      <c r="DP161" s="228">
        <v>-1.27</v>
      </c>
      <c r="DQ161" s="228">
        <v>0.83</v>
      </c>
      <c r="DR161" s="228">
        <v>0.87</v>
      </c>
      <c r="DS161" s="228">
        <v>-0.04</v>
      </c>
      <c r="DT161" s="229">
        <v>-4.5999999999999999E-2</v>
      </c>
      <c r="DU161" s="228">
        <v>600</v>
      </c>
      <c r="DV161" s="228">
        <v>500</v>
      </c>
      <c r="DW161" s="228">
        <v>0.44</v>
      </c>
      <c r="DX161" s="228">
        <v>0.33</v>
      </c>
      <c r="DY161" s="228">
        <v>0.11</v>
      </c>
      <c r="DZ161" s="229">
        <v>0.33329999999999999</v>
      </c>
      <c r="EA161" s="229">
        <v>8.3699999999999997E-2</v>
      </c>
      <c r="EB161" s="230">
        <v>953800</v>
      </c>
      <c r="EC161" s="229">
        <v>-3.8E-3</v>
      </c>
      <c r="ED161" s="229">
        <v>8.3699999999999997E-2</v>
      </c>
      <c r="EE161" s="228">
        <v>-2.85</v>
      </c>
      <c r="EF161" s="229">
        <v>-5.1999999999999998E-3</v>
      </c>
      <c r="EG161" s="230">
        <v>583661</v>
      </c>
      <c r="EH161" s="230">
        <v>373979</v>
      </c>
      <c r="EI161" s="229">
        <v>0.56069999999999998</v>
      </c>
      <c r="EJ161" s="229">
        <v>0.34100000000000003</v>
      </c>
      <c r="EK161" s="228">
        <v>338.6</v>
      </c>
      <c r="EL161" s="228">
        <v>132.82</v>
      </c>
      <c r="EM161" s="228">
        <v>115.55</v>
      </c>
      <c r="EN161" s="228">
        <v>29.27</v>
      </c>
      <c r="EO161" s="228">
        <v>586.98</v>
      </c>
      <c r="EP161" s="228">
        <v>459.76</v>
      </c>
      <c r="EQ161" s="228">
        <v>127.22</v>
      </c>
      <c r="ER161" s="229">
        <v>0.2767</v>
      </c>
      <c r="ES161" s="228">
        <v>257.92</v>
      </c>
      <c r="ET161" s="228">
        <v>186.39</v>
      </c>
      <c r="EU161" s="228">
        <v>627.53</v>
      </c>
      <c r="EV161" s="231">
        <v>24101986</v>
      </c>
      <c r="EW161" s="231">
        <v>1071.8399999999999</v>
      </c>
      <c r="EX161" s="231">
        <v>1039.25</v>
      </c>
      <c r="EY161" s="228">
        <v>32.590000000000003</v>
      </c>
      <c r="EZ161" s="229">
        <v>3.1399999999999997E-2</v>
      </c>
      <c r="FA161" s="229">
        <v>0.8145</v>
      </c>
      <c r="FB161" s="227" t="s">
        <v>555</v>
      </c>
      <c r="FC161">
        <f t="shared" si="3"/>
        <v>0</v>
      </c>
    </row>
    <row r="162" spans="1:159" ht="17.25" thickBot="1" x14ac:dyDescent="0.3">
      <c r="A162" s="226">
        <v>46148</v>
      </c>
      <c r="B162" s="227" t="s">
        <v>206</v>
      </c>
      <c r="C162" s="227" t="s">
        <v>644</v>
      </c>
      <c r="D162" s="228">
        <v>350</v>
      </c>
      <c r="E162" s="228">
        <v>20</v>
      </c>
      <c r="F162" s="231">
        <v>1846.4</v>
      </c>
      <c r="G162" s="231">
        <v>1804.7</v>
      </c>
      <c r="H162" s="228">
        <v>41.7</v>
      </c>
      <c r="I162" s="229">
        <v>2.3099999999999999E-2</v>
      </c>
      <c r="J162" s="231">
        <v>1839.1</v>
      </c>
      <c r="K162" s="231">
        <v>1793.9</v>
      </c>
      <c r="L162" s="228">
        <v>45.2</v>
      </c>
      <c r="M162" s="229">
        <v>2.52E-2</v>
      </c>
      <c r="N162" s="231">
        <v>1846.4</v>
      </c>
      <c r="O162" s="231">
        <v>1804.7</v>
      </c>
      <c r="P162" s="228">
        <v>41.7</v>
      </c>
      <c r="Q162" s="229">
        <v>2.3099999999999999E-2</v>
      </c>
      <c r="R162" s="231">
        <v>1850.2</v>
      </c>
      <c r="S162" s="231">
        <v>1814.2</v>
      </c>
      <c r="T162" s="228">
        <v>36</v>
      </c>
      <c r="U162" s="229">
        <v>1.9800000000000002E-2</v>
      </c>
      <c r="V162" s="228">
        <v>0</v>
      </c>
      <c r="W162" s="228">
        <v>0</v>
      </c>
      <c r="X162" s="228">
        <v>0</v>
      </c>
      <c r="Y162" s="229">
        <v>0</v>
      </c>
      <c r="Z162" s="228">
        <v>7.3</v>
      </c>
      <c r="AA162" s="228">
        <v>10.8</v>
      </c>
      <c r="AB162" s="228">
        <v>-3.5</v>
      </c>
      <c r="AC162" s="229">
        <v>4.0000000000000001E-3</v>
      </c>
      <c r="AD162" s="228">
        <v>7.3</v>
      </c>
      <c r="AE162" s="228">
        <v>10.8</v>
      </c>
      <c r="AF162" s="228">
        <v>-3.5</v>
      </c>
      <c r="AG162" s="229">
        <v>4.0000000000000001E-3</v>
      </c>
      <c r="AH162" s="228">
        <v>11.1</v>
      </c>
      <c r="AI162" s="228">
        <v>20.3</v>
      </c>
      <c r="AJ162" s="228">
        <v>-9.1999999999999993</v>
      </c>
      <c r="AK162" s="229">
        <v>6.0000000000000001E-3</v>
      </c>
      <c r="AL162" s="228">
        <v>0</v>
      </c>
      <c r="AM162" s="228">
        <v>0</v>
      </c>
      <c r="AN162" s="228">
        <v>0</v>
      </c>
      <c r="AO162" s="229">
        <v>0</v>
      </c>
      <c r="AP162" s="231">
        <v>1831.97</v>
      </c>
      <c r="AQ162" s="231">
        <v>1844.29</v>
      </c>
      <c r="AR162" s="228">
        <v>0</v>
      </c>
      <c r="AS162" s="228">
        <v>85</v>
      </c>
      <c r="AT162" s="228">
        <v>52</v>
      </c>
      <c r="AU162" s="228">
        <v>32</v>
      </c>
      <c r="AV162" s="229">
        <v>0.61580000000000001</v>
      </c>
      <c r="AW162" s="228">
        <v>83</v>
      </c>
      <c r="AX162" s="228">
        <v>52</v>
      </c>
      <c r="AY162" s="228">
        <v>31</v>
      </c>
      <c r="AZ162" s="229">
        <v>0.59360000000000002</v>
      </c>
      <c r="BA162" s="228">
        <v>2</v>
      </c>
      <c r="BB162" s="228">
        <v>0</v>
      </c>
      <c r="BC162" s="228">
        <v>1</v>
      </c>
      <c r="BD162" s="229">
        <v>4.2</v>
      </c>
      <c r="BE162" s="228">
        <v>0</v>
      </c>
      <c r="BF162" s="228">
        <v>0</v>
      </c>
      <c r="BG162" s="228">
        <v>0</v>
      </c>
      <c r="BH162" s="229">
        <v>0</v>
      </c>
      <c r="BI162" s="228">
        <v>250</v>
      </c>
      <c r="BJ162" s="228">
        <v>181</v>
      </c>
      <c r="BK162" s="228">
        <v>69</v>
      </c>
      <c r="BL162" s="229">
        <v>0.3826</v>
      </c>
      <c r="BM162" s="228">
        <v>73</v>
      </c>
      <c r="BN162" s="228">
        <v>88</v>
      </c>
      <c r="BO162" s="228">
        <v>-15</v>
      </c>
      <c r="BP162" s="229">
        <v>-0.16830000000000001</v>
      </c>
      <c r="BQ162" s="228">
        <v>408</v>
      </c>
      <c r="BR162" s="228">
        <v>321</v>
      </c>
      <c r="BS162" s="228">
        <v>87</v>
      </c>
      <c r="BT162" s="229">
        <v>0.27050000000000002</v>
      </c>
      <c r="BU162" s="230">
        <v>395344</v>
      </c>
      <c r="BV162" s="230">
        <v>226510</v>
      </c>
      <c r="BW162" s="230">
        <v>168834</v>
      </c>
      <c r="BX162" s="229">
        <v>0.74539999999999995</v>
      </c>
      <c r="BY162" s="228">
        <v>759</v>
      </c>
      <c r="BZ162" s="228">
        <v>752</v>
      </c>
      <c r="CA162" s="228">
        <v>8</v>
      </c>
      <c r="CB162" s="229">
        <v>1.03E-2</v>
      </c>
      <c r="CC162" s="228">
        <v>691</v>
      </c>
      <c r="CD162" s="228">
        <v>684</v>
      </c>
      <c r="CE162" s="228">
        <v>7</v>
      </c>
      <c r="CF162" s="229">
        <v>9.7999999999999997E-3</v>
      </c>
      <c r="CG162" s="228">
        <v>68</v>
      </c>
      <c r="CH162" s="228">
        <v>67</v>
      </c>
      <c r="CI162" s="228">
        <v>1</v>
      </c>
      <c r="CJ162" s="229">
        <v>1.54E-2</v>
      </c>
      <c r="CK162" s="228">
        <v>0</v>
      </c>
      <c r="CL162" s="228">
        <v>0</v>
      </c>
      <c r="CM162" s="228">
        <v>0</v>
      </c>
      <c r="CN162" s="229">
        <v>0</v>
      </c>
      <c r="CO162" s="228">
        <v>197</v>
      </c>
      <c r="CP162" s="228">
        <v>190</v>
      </c>
      <c r="CQ162" s="228">
        <v>7</v>
      </c>
      <c r="CR162" s="229">
        <v>3.9199999999999999E-2</v>
      </c>
      <c r="CS162" s="228">
        <v>121</v>
      </c>
      <c r="CT162" s="228">
        <v>127</v>
      </c>
      <c r="CU162" s="228">
        <v>-6</v>
      </c>
      <c r="CV162" s="229">
        <v>-4.58E-2</v>
      </c>
      <c r="CW162" s="230">
        <v>1077</v>
      </c>
      <c r="CX162" s="230">
        <v>1068</v>
      </c>
      <c r="CY162" s="228">
        <v>9</v>
      </c>
      <c r="CZ162" s="229">
        <v>8.8000000000000005E-3</v>
      </c>
      <c r="DA162" s="228">
        <v>29.15</v>
      </c>
      <c r="DB162" s="228">
        <v>30.63</v>
      </c>
      <c r="DC162" s="228">
        <v>-1.48</v>
      </c>
      <c r="DD162" s="228">
        <v>-1.48</v>
      </c>
      <c r="DE162" s="228">
        <v>39.49</v>
      </c>
      <c r="DF162" s="228">
        <v>39.44</v>
      </c>
      <c r="DG162" s="228">
        <v>-10.34</v>
      </c>
      <c r="DH162" s="228">
        <v>0.05</v>
      </c>
      <c r="DI162" s="228">
        <v>28.52</v>
      </c>
      <c r="DJ162" s="228">
        <v>30.13</v>
      </c>
      <c r="DK162" s="228">
        <v>-1.61</v>
      </c>
      <c r="DL162" s="228">
        <v>-1.61</v>
      </c>
      <c r="DM162" s="228">
        <v>31.32</v>
      </c>
      <c r="DN162" s="228">
        <v>31.67</v>
      </c>
      <c r="DO162" s="228">
        <v>-0.35</v>
      </c>
      <c r="DP162" s="228">
        <v>-0.35</v>
      </c>
      <c r="DQ162" s="228">
        <v>0.62</v>
      </c>
      <c r="DR162" s="228">
        <v>0.67</v>
      </c>
      <c r="DS162" s="228">
        <v>-0.05</v>
      </c>
      <c r="DT162" s="229">
        <v>-7.46E-2</v>
      </c>
      <c r="DU162" s="231">
        <v>1800</v>
      </c>
      <c r="DV162" s="231">
        <v>1800</v>
      </c>
      <c r="DW162" s="228">
        <v>0.28999999999999998</v>
      </c>
      <c r="DX162" s="228">
        <v>0.48</v>
      </c>
      <c r="DY162" s="228">
        <v>-0.19</v>
      </c>
      <c r="DZ162" s="229">
        <v>-0.39579999999999999</v>
      </c>
      <c r="EA162" s="229">
        <v>0.09</v>
      </c>
      <c r="EB162" s="230">
        <v>364350</v>
      </c>
      <c r="EC162" s="229">
        <v>2.0999999999999999E-3</v>
      </c>
      <c r="ED162" s="229">
        <v>0.09</v>
      </c>
      <c r="EE162" s="228">
        <v>12.32</v>
      </c>
      <c r="EF162" s="229">
        <v>6.7000000000000002E-3</v>
      </c>
      <c r="EG162" s="230">
        <v>218201</v>
      </c>
      <c r="EH162" s="230">
        <v>115528</v>
      </c>
      <c r="EI162" s="229">
        <v>0.88870000000000005</v>
      </c>
      <c r="EJ162" s="229">
        <v>0.55189999999999995</v>
      </c>
      <c r="EK162" s="228">
        <v>261.95999999999998</v>
      </c>
      <c r="EL162" s="228">
        <v>70.84</v>
      </c>
      <c r="EM162" s="228">
        <v>84.14</v>
      </c>
      <c r="EN162" s="228">
        <v>16.260000000000002</v>
      </c>
      <c r="EO162" s="228">
        <v>416.94</v>
      </c>
      <c r="EP162" s="228">
        <v>322.32</v>
      </c>
      <c r="EQ162" s="228">
        <v>94.62</v>
      </c>
      <c r="ER162" s="229">
        <v>0.29360000000000003</v>
      </c>
      <c r="ES162" s="228">
        <v>200.43</v>
      </c>
      <c r="ET162" s="228">
        <v>114.1</v>
      </c>
      <c r="EU162" s="228">
        <v>759.41</v>
      </c>
      <c r="EV162" s="231">
        <v>21502901</v>
      </c>
      <c r="EW162" s="231">
        <v>1073.93</v>
      </c>
      <c r="EX162" s="231">
        <v>1045.77</v>
      </c>
      <c r="EY162" s="228">
        <v>28.16</v>
      </c>
      <c r="EZ162" s="229">
        <v>2.69E-2</v>
      </c>
      <c r="FA162" s="229">
        <v>0.27139999999999997</v>
      </c>
      <c r="FB162" s="227" t="s">
        <v>555</v>
      </c>
      <c r="FC162">
        <f t="shared" si="3"/>
        <v>0</v>
      </c>
    </row>
    <row r="163" spans="1:159" ht="17.25" thickBot="1" x14ac:dyDescent="0.3">
      <c r="A163" s="226">
        <v>46148</v>
      </c>
      <c r="B163" s="227" t="s">
        <v>168</v>
      </c>
      <c r="C163" s="227" t="s">
        <v>274</v>
      </c>
      <c r="D163" s="228">
        <v>500</v>
      </c>
      <c r="E163" s="228">
        <v>20</v>
      </c>
      <c r="F163" s="231">
        <v>1431.3</v>
      </c>
      <c r="G163" s="231">
        <v>1372.1</v>
      </c>
      <c r="H163" s="228">
        <v>59.2</v>
      </c>
      <c r="I163" s="229">
        <v>4.3099999999999999E-2</v>
      </c>
      <c r="J163" s="231">
        <v>1421.5</v>
      </c>
      <c r="K163" s="231">
        <v>1364.2</v>
      </c>
      <c r="L163" s="228">
        <v>57.3</v>
      </c>
      <c r="M163" s="229">
        <v>4.2000000000000003E-2</v>
      </c>
      <c r="N163" s="231">
        <v>1431.3</v>
      </c>
      <c r="O163" s="231">
        <v>1372.1</v>
      </c>
      <c r="P163" s="228">
        <v>59.2</v>
      </c>
      <c r="Q163" s="229">
        <v>4.3099999999999999E-2</v>
      </c>
      <c r="R163" s="231">
        <v>1441.6</v>
      </c>
      <c r="S163" s="231">
        <v>1381.9</v>
      </c>
      <c r="T163" s="228">
        <v>59.7</v>
      </c>
      <c r="U163" s="229">
        <v>4.3200000000000002E-2</v>
      </c>
      <c r="V163" s="231">
        <v>1437.4</v>
      </c>
      <c r="W163" s="231">
        <v>1375.2</v>
      </c>
      <c r="X163" s="228">
        <v>62.2</v>
      </c>
      <c r="Y163" s="229">
        <v>4.5199999999999997E-2</v>
      </c>
      <c r="Z163" s="228">
        <v>9.8000000000000007</v>
      </c>
      <c r="AA163" s="228">
        <v>7.9</v>
      </c>
      <c r="AB163" s="228">
        <v>1.9</v>
      </c>
      <c r="AC163" s="229">
        <v>6.8999999999999999E-3</v>
      </c>
      <c r="AD163" s="228">
        <v>9.8000000000000007</v>
      </c>
      <c r="AE163" s="228">
        <v>7.9</v>
      </c>
      <c r="AF163" s="228">
        <v>1.9</v>
      </c>
      <c r="AG163" s="229">
        <v>6.8999999999999999E-3</v>
      </c>
      <c r="AH163" s="228">
        <v>20.100000000000001</v>
      </c>
      <c r="AI163" s="228">
        <v>17.7</v>
      </c>
      <c r="AJ163" s="228">
        <v>2.4</v>
      </c>
      <c r="AK163" s="229">
        <v>1.41E-2</v>
      </c>
      <c r="AL163" s="228">
        <v>15.9</v>
      </c>
      <c r="AM163" s="228">
        <v>11</v>
      </c>
      <c r="AN163" s="228">
        <v>4.9000000000000004</v>
      </c>
      <c r="AO163" s="229">
        <v>1.12E-2</v>
      </c>
      <c r="AP163" s="231">
        <v>1419.68</v>
      </c>
      <c r="AQ163" s="231">
        <v>1430.29</v>
      </c>
      <c r="AR163" s="228">
        <v>0</v>
      </c>
      <c r="AS163" s="228">
        <v>456</v>
      </c>
      <c r="AT163" s="228">
        <v>115</v>
      </c>
      <c r="AU163" s="228">
        <v>341</v>
      </c>
      <c r="AV163" s="229">
        <v>2.9645000000000001</v>
      </c>
      <c r="AW163" s="228">
        <v>446</v>
      </c>
      <c r="AX163" s="228">
        <v>112</v>
      </c>
      <c r="AY163" s="228">
        <v>334</v>
      </c>
      <c r="AZ163" s="229">
        <v>2.9878</v>
      </c>
      <c r="BA163" s="228">
        <v>8</v>
      </c>
      <c r="BB163" s="228">
        <v>3</v>
      </c>
      <c r="BC163" s="228">
        <v>6</v>
      </c>
      <c r="BD163" s="229">
        <v>2.1351</v>
      </c>
      <c r="BE163" s="228">
        <v>1</v>
      </c>
      <c r="BF163" s="228">
        <v>0</v>
      </c>
      <c r="BG163" s="228">
        <v>1</v>
      </c>
      <c r="BH163" s="229">
        <v>2</v>
      </c>
      <c r="BI163" s="230">
        <v>1033</v>
      </c>
      <c r="BJ163" s="228">
        <v>129</v>
      </c>
      <c r="BK163" s="228">
        <v>904</v>
      </c>
      <c r="BL163" s="229">
        <v>7.0284000000000004</v>
      </c>
      <c r="BM163" s="228">
        <v>385</v>
      </c>
      <c r="BN163" s="228">
        <v>79</v>
      </c>
      <c r="BO163" s="228">
        <v>306</v>
      </c>
      <c r="BP163" s="229">
        <v>3.8714</v>
      </c>
      <c r="BQ163" s="230">
        <v>1874</v>
      </c>
      <c r="BR163" s="228">
        <v>323</v>
      </c>
      <c r="BS163" s="230">
        <v>1551</v>
      </c>
      <c r="BT163" s="229">
        <v>4.8075000000000001</v>
      </c>
      <c r="BU163" s="230">
        <v>2315001</v>
      </c>
      <c r="BV163" s="230">
        <v>638901</v>
      </c>
      <c r="BW163" s="230">
        <v>1676100</v>
      </c>
      <c r="BX163" s="229">
        <v>2.6234000000000002</v>
      </c>
      <c r="BY163" s="230">
        <v>1104</v>
      </c>
      <c r="BZ163" s="230">
        <v>1018</v>
      </c>
      <c r="CA163" s="228">
        <v>86</v>
      </c>
      <c r="CB163" s="229">
        <v>8.4400000000000003E-2</v>
      </c>
      <c r="CC163" s="230">
        <v>1091</v>
      </c>
      <c r="CD163" s="230">
        <v>1006</v>
      </c>
      <c r="CE163" s="228">
        <v>86</v>
      </c>
      <c r="CF163" s="229">
        <v>8.5099999999999995E-2</v>
      </c>
      <c r="CG163" s="228">
        <v>10</v>
      </c>
      <c r="CH163" s="228">
        <v>10</v>
      </c>
      <c r="CI163" s="228">
        <v>1</v>
      </c>
      <c r="CJ163" s="229">
        <v>8.1500000000000003E-2</v>
      </c>
      <c r="CK163" s="228">
        <v>2</v>
      </c>
      <c r="CL163" s="228">
        <v>2</v>
      </c>
      <c r="CM163" s="228">
        <v>-1</v>
      </c>
      <c r="CN163" s="229">
        <v>-0.2059</v>
      </c>
      <c r="CO163" s="228">
        <v>238</v>
      </c>
      <c r="CP163" s="228">
        <v>180</v>
      </c>
      <c r="CQ163" s="228">
        <v>58</v>
      </c>
      <c r="CR163" s="229">
        <v>0.32119999999999999</v>
      </c>
      <c r="CS163" s="228">
        <v>135</v>
      </c>
      <c r="CT163" s="228">
        <v>109</v>
      </c>
      <c r="CU163" s="228">
        <v>26</v>
      </c>
      <c r="CV163" s="229">
        <v>0.23949999999999999</v>
      </c>
      <c r="CW163" s="230">
        <v>1477</v>
      </c>
      <c r="CX163" s="230">
        <v>1307</v>
      </c>
      <c r="CY163" s="228">
        <v>170</v>
      </c>
      <c r="CZ163" s="229">
        <v>0.13</v>
      </c>
      <c r="DA163" s="228">
        <v>29.33</v>
      </c>
      <c r="DB163" s="228">
        <v>28.39</v>
      </c>
      <c r="DC163" s="228">
        <v>0.94</v>
      </c>
      <c r="DD163" s="228">
        <v>0.94</v>
      </c>
      <c r="DE163" s="228">
        <v>26.31</v>
      </c>
      <c r="DF163" s="228">
        <v>25.74</v>
      </c>
      <c r="DG163" s="228">
        <v>3.02</v>
      </c>
      <c r="DH163" s="228">
        <v>0.56999999999999995</v>
      </c>
      <c r="DI163" s="228">
        <v>28.98</v>
      </c>
      <c r="DJ163" s="228">
        <v>27.94</v>
      </c>
      <c r="DK163" s="228">
        <v>1.04</v>
      </c>
      <c r="DL163" s="228">
        <v>1.04</v>
      </c>
      <c r="DM163" s="228">
        <v>30.27</v>
      </c>
      <c r="DN163" s="228">
        <v>29.14</v>
      </c>
      <c r="DO163" s="228">
        <v>1.1299999999999999</v>
      </c>
      <c r="DP163" s="228">
        <v>1.1299999999999999</v>
      </c>
      <c r="DQ163" s="228">
        <v>0.56999999999999995</v>
      </c>
      <c r="DR163" s="228">
        <v>0.61</v>
      </c>
      <c r="DS163" s="228">
        <v>-0.04</v>
      </c>
      <c r="DT163" s="229">
        <v>-6.5600000000000006E-2</v>
      </c>
      <c r="DU163" s="231">
        <v>1400</v>
      </c>
      <c r="DV163" s="231">
        <v>1400</v>
      </c>
      <c r="DW163" s="228">
        <v>0.37</v>
      </c>
      <c r="DX163" s="228">
        <v>0.61</v>
      </c>
      <c r="DY163" s="228">
        <v>-0.24</v>
      </c>
      <c r="DZ163" s="229">
        <v>-0.39340000000000003</v>
      </c>
      <c r="EA163" s="229">
        <v>1.12E-2</v>
      </c>
      <c r="EB163" s="230">
        <v>84500</v>
      </c>
      <c r="EC163" s="229">
        <v>7.1999999999999998E-3</v>
      </c>
      <c r="ED163" s="229">
        <v>1.12E-2</v>
      </c>
      <c r="EE163" s="228">
        <v>10.61</v>
      </c>
      <c r="EF163" s="229">
        <v>7.4999999999999997E-3</v>
      </c>
      <c r="EG163" s="230">
        <v>1154491</v>
      </c>
      <c r="EH163" s="230">
        <v>379587</v>
      </c>
      <c r="EI163" s="229">
        <v>2.0413999999999999</v>
      </c>
      <c r="EJ163" s="229">
        <v>0.49869999999999998</v>
      </c>
      <c r="EK163" s="231">
        <v>1068.27</v>
      </c>
      <c r="EL163" s="228">
        <v>375.74</v>
      </c>
      <c r="EM163" s="228">
        <v>452.02</v>
      </c>
      <c r="EN163" s="228">
        <v>19.38</v>
      </c>
      <c r="EO163" s="231">
        <v>1896.03</v>
      </c>
      <c r="EP163" s="228">
        <v>314.8</v>
      </c>
      <c r="EQ163" s="231">
        <v>1581.23</v>
      </c>
      <c r="ER163" s="229">
        <v>5.0229999999999997</v>
      </c>
      <c r="ES163" s="228">
        <v>244.04</v>
      </c>
      <c r="ET163" s="228">
        <v>128.66999999999999</v>
      </c>
      <c r="EU163" s="231">
        <v>1103.83</v>
      </c>
      <c r="EV163" s="231">
        <v>31214205</v>
      </c>
      <c r="EW163" s="231">
        <v>1476.55</v>
      </c>
      <c r="EX163" s="231">
        <v>1261.06</v>
      </c>
      <c r="EY163" s="228">
        <v>215.49</v>
      </c>
      <c r="EZ163" s="229">
        <v>0.1709</v>
      </c>
      <c r="FA163" s="229">
        <v>0.3306</v>
      </c>
      <c r="FB163" s="227" t="s">
        <v>555</v>
      </c>
      <c r="FC163">
        <f t="shared" si="3"/>
        <v>0</v>
      </c>
    </row>
    <row r="164" spans="1:159" ht="17.25" thickBot="1" x14ac:dyDescent="0.3">
      <c r="A164" s="226">
        <v>46148</v>
      </c>
      <c r="B164" s="227" t="s">
        <v>498</v>
      </c>
      <c r="C164" s="227" t="s">
        <v>483</v>
      </c>
      <c r="D164" s="228">
        <v>175</v>
      </c>
      <c r="E164" s="228">
        <v>20</v>
      </c>
      <c r="F164" s="231">
        <v>3091.6</v>
      </c>
      <c r="G164" s="231">
        <v>3027</v>
      </c>
      <c r="H164" s="228">
        <v>64.599999999999994</v>
      </c>
      <c r="I164" s="229">
        <v>2.1299999999999999E-2</v>
      </c>
      <c r="J164" s="231">
        <v>3071</v>
      </c>
      <c r="K164" s="231">
        <v>3014.3</v>
      </c>
      <c r="L164" s="228">
        <v>56.7</v>
      </c>
      <c r="M164" s="229">
        <v>1.8800000000000001E-2</v>
      </c>
      <c r="N164" s="231">
        <v>3091.6</v>
      </c>
      <c r="O164" s="231">
        <v>3027</v>
      </c>
      <c r="P164" s="228">
        <v>64.599999999999994</v>
      </c>
      <c r="Q164" s="229">
        <v>2.1299999999999999E-2</v>
      </c>
      <c r="R164" s="231">
        <v>3075.3</v>
      </c>
      <c r="S164" s="231">
        <v>3016.4</v>
      </c>
      <c r="T164" s="228">
        <v>58.9</v>
      </c>
      <c r="U164" s="229">
        <v>1.95E-2</v>
      </c>
      <c r="V164" s="231">
        <v>3066.4</v>
      </c>
      <c r="W164" s="231">
        <v>2981.2</v>
      </c>
      <c r="X164" s="228">
        <v>85.2</v>
      </c>
      <c r="Y164" s="229">
        <v>2.86E-2</v>
      </c>
      <c r="Z164" s="228">
        <v>20.6</v>
      </c>
      <c r="AA164" s="228">
        <v>12.7</v>
      </c>
      <c r="AB164" s="228">
        <v>7.9</v>
      </c>
      <c r="AC164" s="229">
        <v>6.7000000000000002E-3</v>
      </c>
      <c r="AD164" s="228">
        <v>20.6</v>
      </c>
      <c r="AE164" s="228">
        <v>12.7</v>
      </c>
      <c r="AF164" s="228">
        <v>7.9</v>
      </c>
      <c r="AG164" s="229">
        <v>6.7000000000000002E-3</v>
      </c>
      <c r="AH164" s="228">
        <v>4.3</v>
      </c>
      <c r="AI164" s="228">
        <v>2.1</v>
      </c>
      <c r="AJ164" s="228">
        <v>2.2000000000000002</v>
      </c>
      <c r="AK164" s="229">
        <v>1.4E-3</v>
      </c>
      <c r="AL164" s="228">
        <v>-4.5999999999999996</v>
      </c>
      <c r="AM164" s="228">
        <v>-33.1</v>
      </c>
      <c r="AN164" s="228">
        <v>28.5</v>
      </c>
      <c r="AO164" s="229">
        <v>-1.5E-3</v>
      </c>
      <c r="AP164" s="231">
        <v>3083.38</v>
      </c>
      <c r="AQ164" s="231">
        <v>3065.73</v>
      </c>
      <c r="AR164" s="228">
        <v>0</v>
      </c>
      <c r="AS164" s="228">
        <v>172</v>
      </c>
      <c r="AT164" s="228">
        <v>81</v>
      </c>
      <c r="AU164" s="228">
        <v>92</v>
      </c>
      <c r="AV164" s="229">
        <v>1.1362000000000001</v>
      </c>
      <c r="AW164" s="228">
        <v>160</v>
      </c>
      <c r="AX164" s="228">
        <v>78</v>
      </c>
      <c r="AY164" s="228">
        <v>82</v>
      </c>
      <c r="AZ164" s="229">
        <v>1.0542</v>
      </c>
      <c r="BA164" s="228">
        <v>11</v>
      </c>
      <c r="BB164" s="228">
        <v>3</v>
      </c>
      <c r="BC164" s="228">
        <v>8</v>
      </c>
      <c r="BD164" s="229">
        <v>3.0625</v>
      </c>
      <c r="BE164" s="228">
        <v>2</v>
      </c>
      <c r="BF164" s="228">
        <v>0</v>
      </c>
      <c r="BG164" s="228">
        <v>2</v>
      </c>
      <c r="BH164" s="229">
        <v>7.5</v>
      </c>
      <c r="BI164" s="228">
        <v>283</v>
      </c>
      <c r="BJ164" s="228">
        <v>141</v>
      </c>
      <c r="BK164" s="228">
        <v>142</v>
      </c>
      <c r="BL164" s="229">
        <v>1.0104</v>
      </c>
      <c r="BM164" s="228">
        <v>80</v>
      </c>
      <c r="BN164" s="228">
        <v>44</v>
      </c>
      <c r="BO164" s="228">
        <v>36</v>
      </c>
      <c r="BP164" s="229">
        <v>0.82679999999999998</v>
      </c>
      <c r="BQ164" s="228">
        <v>536</v>
      </c>
      <c r="BR164" s="228">
        <v>266</v>
      </c>
      <c r="BS164" s="228">
        <v>270</v>
      </c>
      <c r="BT164" s="229">
        <v>1.0181</v>
      </c>
      <c r="BU164" s="230">
        <v>322641</v>
      </c>
      <c r="BV164" s="230">
        <v>191446</v>
      </c>
      <c r="BW164" s="230">
        <v>131195</v>
      </c>
      <c r="BX164" s="229">
        <v>0.68530000000000002</v>
      </c>
      <c r="BY164" s="228">
        <v>856</v>
      </c>
      <c r="BZ164" s="228">
        <v>842</v>
      </c>
      <c r="CA164" s="228">
        <v>13</v>
      </c>
      <c r="CB164" s="229">
        <v>1.5699999999999999E-2</v>
      </c>
      <c r="CC164" s="228">
        <v>833</v>
      </c>
      <c r="CD164" s="228">
        <v>824</v>
      </c>
      <c r="CE164" s="228">
        <v>9</v>
      </c>
      <c r="CF164" s="229">
        <v>1.1299999999999999E-2</v>
      </c>
      <c r="CG164" s="228">
        <v>20</v>
      </c>
      <c r="CH164" s="228">
        <v>17</v>
      </c>
      <c r="CI164" s="228">
        <v>3</v>
      </c>
      <c r="CJ164" s="229">
        <v>0.15240000000000001</v>
      </c>
      <c r="CK164" s="228">
        <v>3</v>
      </c>
      <c r="CL164" s="228">
        <v>1</v>
      </c>
      <c r="CM164" s="228">
        <v>1</v>
      </c>
      <c r="CN164" s="229">
        <v>1</v>
      </c>
      <c r="CO164" s="228">
        <v>307</v>
      </c>
      <c r="CP164" s="228">
        <v>304</v>
      </c>
      <c r="CQ164" s="228">
        <v>3</v>
      </c>
      <c r="CR164" s="229">
        <v>1.03E-2</v>
      </c>
      <c r="CS164" s="228">
        <v>159</v>
      </c>
      <c r="CT164" s="228">
        <v>163</v>
      </c>
      <c r="CU164" s="228">
        <v>-5</v>
      </c>
      <c r="CV164" s="229">
        <v>-2.9499999999999998E-2</v>
      </c>
      <c r="CW164" s="230">
        <v>1322</v>
      </c>
      <c r="CX164" s="230">
        <v>1310</v>
      </c>
      <c r="CY164" s="228">
        <v>12</v>
      </c>
      <c r="CZ164" s="229">
        <v>8.8000000000000005E-3</v>
      </c>
      <c r="DA164" s="228">
        <v>34.979999999999997</v>
      </c>
      <c r="DB164" s="228">
        <v>34.92</v>
      </c>
      <c r="DC164" s="228">
        <v>0.06</v>
      </c>
      <c r="DD164" s="228">
        <v>0.06</v>
      </c>
      <c r="DE164" s="228">
        <v>31.26</v>
      </c>
      <c r="DF164" s="228">
        <v>31.21</v>
      </c>
      <c r="DG164" s="228">
        <v>3.72</v>
      </c>
      <c r="DH164" s="228">
        <v>0.05</v>
      </c>
      <c r="DI164" s="228">
        <v>34.86</v>
      </c>
      <c r="DJ164" s="228">
        <v>34.79</v>
      </c>
      <c r="DK164" s="228">
        <v>7.0000000000000007E-2</v>
      </c>
      <c r="DL164" s="228">
        <v>7.0000000000000007E-2</v>
      </c>
      <c r="DM164" s="228">
        <v>35.4</v>
      </c>
      <c r="DN164" s="228">
        <v>35.340000000000003</v>
      </c>
      <c r="DO164" s="228">
        <v>0.06</v>
      </c>
      <c r="DP164" s="228">
        <v>0.06</v>
      </c>
      <c r="DQ164" s="228">
        <v>0.52</v>
      </c>
      <c r="DR164" s="228">
        <v>0.54</v>
      </c>
      <c r="DS164" s="228">
        <v>-0.02</v>
      </c>
      <c r="DT164" s="229">
        <v>-3.6999999999999998E-2</v>
      </c>
      <c r="DU164" s="231">
        <v>3480</v>
      </c>
      <c r="DV164" s="231">
        <v>3000</v>
      </c>
      <c r="DW164" s="228">
        <v>0.28000000000000003</v>
      </c>
      <c r="DX164" s="228">
        <v>0.31</v>
      </c>
      <c r="DY164" s="228">
        <v>-0.03</v>
      </c>
      <c r="DZ164" s="229">
        <v>-9.6799999999999997E-2</v>
      </c>
      <c r="EA164" s="229">
        <v>2.6100000000000002E-2</v>
      </c>
      <c r="EB164" s="230">
        <v>59500</v>
      </c>
      <c r="EC164" s="229">
        <v>-5.3E-3</v>
      </c>
      <c r="ED164" s="229">
        <v>2.6100000000000002E-2</v>
      </c>
      <c r="EE164" s="228">
        <v>-17.649999999999999</v>
      </c>
      <c r="EF164" s="229">
        <v>-5.7000000000000002E-3</v>
      </c>
      <c r="EG164" s="230">
        <v>166780</v>
      </c>
      <c r="EH164" s="230">
        <v>81682</v>
      </c>
      <c r="EI164" s="229">
        <v>1.0418000000000001</v>
      </c>
      <c r="EJ164" s="229">
        <v>0.51690000000000003</v>
      </c>
      <c r="EK164" s="228">
        <v>299.05</v>
      </c>
      <c r="EL164" s="228">
        <v>80.56</v>
      </c>
      <c r="EM164" s="228">
        <v>171.67</v>
      </c>
      <c r="EN164" s="228">
        <v>19.27</v>
      </c>
      <c r="EO164" s="228">
        <v>551.29</v>
      </c>
      <c r="EP164" s="228">
        <v>272.86</v>
      </c>
      <c r="EQ164" s="228">
        <v>278.42</v>
      </c>
      <c r="ER164" s="229">
        <v>1.0204</v>
      </c>
      <c r="ES164" s="228">
        <v>324.77</v>
      </c>
      <c r="ET164" s="228">
        <v>151.41999999999999</v>
      </c>
      <c r="EU164" s="228">
        <v>855.57</v>
      </c>
      <c r="EV164" s="231">
        <v>8178275</v>
      </c>
      <c r="EW164" s="231">
        <v>1331.76</v>
      </c>
      <c r="EX164" s="231">
        <v>1300.99</v>
      </c>
      <c r="EY164" s="228">
        <v>30.77</v>
      </c>
      <c r="EZ164" s="229">
        <v>2.3699999999999999E-2</v>
      </c>
      <c r="FA164" s="229">
        <v>0.52280000000000004</v>
      </c>
      <c r="FB164" s="227" t="s">
        <v>555</v>
      </c>
      <c r="FC164">
        <f t="shared" si="3"/>
        <v>0</v>
      </c>
    </row>
    <row r="165" spans="1:159" ht="17.25" thickBot="1" x14ac:dyDescent="0.3">
      <c r="A165" s="226">
        <v>46148</v>
      </c>
      <c r="B165" s="227" t="s">
        <v>172</v>
      </c>
      <c r="C165" s="227" t="s">
        <v>275</v>
      </c>
      <c r="D165" s="228">
        <v>8000</v>
      </c>
      <c r="E165" s="228">
        <v>20</v>
      </c>
      <c r="F165" s="228">
        <v>110.95</v>
      </c>
      <c r="G165" s="228">
        <v>108.16</v>
      </c>
      <c r="H165" s="228">
        <v>2.79</v>
      </c>
      <c r="I165" s="229">
        <v>2.58E-2</v>
      </c>
      <c r="J165" s="228">
        <v>110.18</v>
      </c>
      <c r="K165" s="228">
        <v>107.89</v>
      </c>
      <c r="L165" s="228">
        <v>2.29</v>
      </c>
      <c r="M165" s="229">
        <v>2.12E-2</v>
      </c>
      <c r="N165" s="228">
        <v>110.95</v>
      </c>
      <c r="O165" s="228">
        <v>108.16</v>
      </c>
      <c r="P165" s="228">
        <v>2.79</v>
      </c>
      <c r="Q165" s="229">
        <v>2.58E-2</v>
      </c>
      <c r="R165" s="228">
        <v>111.53</v>
      </c>
      <c r="S165" s="228">
        <v>108.95</v>
      </c>
      <c r="T165" s="228">
        <v>2.58</v>
      </c>
      <c r="U165" s="229">
        <v>2.3699999999999999E-2</v>
      </c>
      <c r="V165" s="228">
        <v>112.19</v>
      </c>
      <c r="W165" s="228">
        <v>109.37</v>
      </c>
      <c r="X165" s="228">
        <v>2.82</v>
      </c>
      <c r="Y165" s="229">
        <v>2.58E-2</v>
      </c>
      <c r="Z165" s="228">
        <v>0.77</v>
      </c>
      <c r="AA165" s="228">
        <v>0.27</v>
      </c>
      <c r="AB165" s="228">
        <v>0.5</v>
      </c>
      <c r="AC165" s="229">
        <v>7.0000000000000001E-3</v>
      </c>
      <c r="AD165" s="228">
        <v>0.77</v>
      </c>
      <c r="AE165" s="228">
        <v>0.27</v>
      </c>
      <c r="AF165" s="228">
        <v>0.5</v>
      </c>
      <c r="AG165" s="229">
        <v>7.0000000000000001E-3</v>
      </c>
      <c r="AH165" s="228">
        <v>1.35</v>
      </c>
      <c r="AI165" s="228">
        <v>1.06</v>
      </c>
      <c r="AJ165" s="228">
        <v>0.28999999999999998</v>
      </c>
      <c r="AK165" s="229">
        <v>1.23E-2</v>
      </c>
      <c r="AL165" s="228">
        <v>2.0099999999999998</v>
      </c>
      <c r="AM165" s="228">
        <v>1.48</v>
      </c>
      <c r="AN165" s="228">
        <v>0.53</v>
      </c>
      <c r="AO165" s="229">
        <v>1.8200000000000001E-2</v>
      </c>
      <c r="AP165" s="228">
        <v>110.45</v>
      </c>
      <c r="AQ165" s="228">
        <v>111.15</v>
      </c>
      <c r="AR165" s="228">
        <v>0</v>
      </c>
      <c r="AS165" s="228">
        <v>887</v>
      </c>
      <c r="AT165" s="230">
        <v>1590</v>
      </c>
      <c r="AU165" s="228">
        <v>-703</v>
      </c>
      <c r="AV165" s="229">
        <v>-0.44230000000000003</v>
      </c>
      <c r="AW165" s="228">
        <v>796</v>
      </c>
      <c r="AX165" s="230">
        <v>1513</v>
      </c>
      <c r="AY165" s="228">
        <v>-717</v>
      </c>
      <c r="AZ165" s="229">
        <v>-0.47389999999999999</v>
      </c>
      <c r="BA165" s="228">
        <v>81</v>
      </c>
      <c r="BB165" s="228">
        <v>68</v>
      </c>
      <c r="BC165" s="228">
        <v>13</v>
      </c>
      <c r="BD165" s="229">
        <v>0.19739999999999999</v>
      </c>
      <c r="BE165" s="228">
        <v>10</v>
      </c>
      <c r="BF165" s="228">
        <v>9</v>
      </c>
      <c r="BG165" s="228">
        <v>0</v>
      </c>
      <c r="BH165" s="229">
        <v>1.8700000000000001E-2</v>
      </c>
      <c r="BI165" s="230">
        <v>2533</v>
      </c>
      <c r="BJ165" s="230">
        <v>4297</v>
      </c>
      <c r="BK165" s="230">
        <v>-1764</v>
      </c>
      <c r="BL165" s="229">
        <v>-0.41060000000000002</v>
      </c>
      <c r="BM165" s="230">
        <v>1699</v>
      </c>
      <c r="BN165" s="230">
        <v>2675</v>
      </c>
      <c r="BO165" s="228">
        <v>-976</v>
      </c>
      <c r="BP165" s="229">
        <v>-0.3649</v>
      </c>
      <c r="BQ165" s="230">
        <v>5118</v>
      </c>
      <c r="BR165" s="230">
        <v>8562</v>
      </c>
      <c r="BS165" s="230">
        <v>-3444</v>
      </c>
      <c r="BT165" s="229">
        <v>-0.4022</v>
      </c>
      <c r="BU165" s="230">
        <v>46628416</v>
      </c>
      <c r="BV165" s="230">
        <v>59830881</v>
      </c>
      <c r="BW165" s="230">
        <v>-13202465</v>
      </c>
      <c r="BX165" s="229">
        <v>-0.22070000000000001</v>
      </c>
      <c r="BY165" s="230">
        <v>3285</v>
      </c>
      <c r="BZ165" s="230">
        <v>3225</v>
      </c>
      <c r="CA165" s="228">
        <v>60</v>
      </c>
      <c r="CB165" s="229">
        <v>1.8599999999999998E-2</v>
      </c>
      <c r="CC165" s="230">
        <v>3017</v>
      </c>
      <c r="CD165" s="230">
        <v>2974</v>
      </c>
      <c r="CE165" s="228">
        <v>43</v>
      </c>
      <c r="CF165" s="229">
        <v>1.4500000000000001E-2</v>
      </c>
      <c r="CG165" s="228">
        <v>254</v>
      </c>
      <c r="CH165" s="228">
        <v>239</v>
      </c>
      <c r="CI165" s="228">
        <v>15</v>
      </c>
      <c r="CJ165" s="229">
        <v>6.2700000000000006E-2</v>
      </c>
      <c r="CK165" s="228">
        <v>14</v>
      </c>
      <c r="CL165" s="228">
        <v>12</v>
      </c>
      <c r="CM165" s="228">
        <v>2</v>
      </c>
      <c r="CN165" s="229">
        <v>0.15790000000000001</v>
      </c>
      <c r="CO165" s="230">
        <v>1175</v>
      </c>
      <c r="CP165" s="230">
        <v>1130</v>
      </c>
      <c r="CQ165" s="228">
        <v>45</v>
      </c>
      <c r="CR165" s="229">
        <v>3.9899999999999998E-2</v>
      </c>
      <c r="CS165" s="228">
        <v>804</v>
      </c>
      <c r="CT165" s="228">
        <v>761</v>
      </c>
      <c r="CU165" s="228">
        <v>43</v>
      </c>
      <c r="CV165" s="229">
        <v>5.7000000000000002E-2</v>
      </c>
      <c r="CW165" s="230">
        <v>5265</v>
      </c>
      <c r="CX165" s="230">
        <v>5116</v>
      </c>
      <c r="CY165" s="228">
        <v>149</v>
      </c>
      <c r="CZ165" s="229">
        <v>2.9000000000000001E-2</v>
      </c>
      <c r="DA165" s="228">
        <v>32.590000000000003</v>
      </c>
      <c r="DB165" s="228">
        <v>34.450000000000003</v>
      </c>
      <c r="DC165" s="228">
        <v>-1.86</v>
      </c>
      <c r="DD165" s="228">
        <v>-1.86</v>
      </c>
      <c r="DE165" s="228">
        <v>37.36</v>
      </c>
      <c r="DF165" s="228">
        <v>37.29</v>
      </c>
      <c r="DG165" s="228">
        <v>-4.7699999999999996</v>
      </c>
      <c r="DH165" s="228">
        <v>7.0000000000000007E-2</v>
      </c>
      <c r="DI165" s="228">
        <v>32.61</v>
      </c>
      <c r="DJ165" s="228">
        <v>34.93</v>
      </c>
      <c r="DK165" s="228">
        <v>-2.3199999999999998</v>
      </c>
      <c r="DL165" s="228">
        <v>-2.3199999999999998</v>
      </c>
      <c r="DM165" s="228">
        <v>32.56</v>
      </c>
      <c r="DN165" s="228">
        <v>33.67</v>
      </c>
      <c r="DO165" s="228">
        <v>-1.1100000000000001</v>
      </c>
      <c r="DP165" s="228">
        <v>-1.1100000000000001</v>
      </c>
      <c r="DQ165" s="228">
        <v>0.68</v>
      </c>
      <c r="DR165" s="228">
        <v>0.67</v>
      </c>
      <c r="DS165" s="228">
        <v>0.01</v>
      </c>
      <c r="DT165" s="229">
        <v>1.49E-2</v>
      </c>
      <c r="DU165" s="228">
        <v>120</v>
      </c>
      <c r="DV165" s="228">
        <v>110</v>
      </c>
      <c r="DW165" s="228">
        <v>0.67</v>
      </c>
      <c r="DX165" s="228">
        <v>0.62</v>
      </c>
      <c r="DY165" s="228">
        <v>0.05</v>
      </c>
      <c r="DZ165" s="229">
        <v>8.0600000000000005E-2</v>
      </c>
      <c r="EA165" s="229">
        <v>8.1500000000000003E-2</v>
      </c>
      <c r="EB165" s="230">
        <v>22616000</v>
      </c>
      <c r="EC165" s="229">
        <v>5.1999999999999998E-3</v>
      </c>
      <c r="ED165" s="229">
        <v>8.1500000000000003E-2</v>
      </c>
      <c r="EE165" s="228">
        <v>0.7</v>
      </c>
      <c r="EF165" s="229">
        <v>6.3E-3</v>
      </c>
      <c r="EG165" s="230">
        <v>18236913</v>
      </c>
      <c r="EH165" s="230">
        <v>11657139</v>
      </c>
      <c r="EI165" s="229">
        <v>0.56440000000000001</v>
      </c>
      <c r="EJ165" s="229">
        <v>0.3911</v>
      </c>
      <c r="EK165" s="231">
        <v>2652.28</v>
      </c>
      <c r="EL165" s="231">
        <v>1664.85</v>
      </c>
      <c r="EM165" s="228">
        <v>883.54</v>
      </c>
      <c r="EN165" s="228">
        <v>78.83</v>
      </c>
      <c r="EO165" s="231">
        <v>5200.67</v>
      </c>
      <c r="EP165" s="231">
        <v>8651.66</v>
      </c>
      <c r="EQ165" s="231">
        <v>-3451</v>
      </c>
      <c r="ER165" s="229">
        <v>-0.39889999999999998</v>
      </c>
      <c r="ES165" s="231">
        <v>1236.45</v>
      </c>
      <c r="ET165" s="228">
        <v>790.93</v>
      </c>
      <c r="EU165" s="231">
        <v>3286.49</v>
      </c>
      <c r="EV165" s="231">
        <v>515822637</v>
      </c>
      <c r="EW165" s="231">
        <v>5313.87</v>
      </c>
      <c r="EX165" s="231">
        <v>5081.88</v>
      </c>
      <c r="EY165" s="228">
        <v>231.99</v>
      </c>
      <c r="EZ165" s="229">
        <v>4.5699999999999998E-2</v>
      </c>
      <c r="FA165" s="229">
        <v>0.91990000000000005</v>
      </c>
      <c r="FB165" s="227" t="s">
        <v>555</v>
      </c>
      <c r="FC165">
        <f t="shared" si="3"/>
        <v>0</v>
      </c>
    </row>
    <row r="166" spans="1:159" ht="17.25" thickBot="1" x14ac:dyDescent="0.3">
      <c r="A166" s="226">
        <v>46148</v>
      </c>
      <c r="B166" s="227" t="s">
        <v>175</v>
      </c>
      <c r="C166" s="227" t="s">
        <v>667</v>
      </c>
      <c r="D166" s="228">
        <v>650</v>
      </c>
      <c r="E166" s="228">
        <v>20</v>
      </c>
      <c r="F166" s="231">
        <v>1070.4000000000001</v>
      </c>
      <c r="G166" s="231">
        <v>1048.3</v>
      </c>
      <c r="H166" s="228">
        <v>22.1</v>
      </c>
      <c r="I166" s="229">
        <v>2.1100000000000001E-2</v>
      </c>
      <c r="J166" s="231">
        <v>1065.0999999999999</v>
      </c>
      <c r="K166" s="231">
        <v>1042.0999999999999</v>
      </c>
      <c r="L166" s="228">
        <v>23</v>
      </c>
      <c r="M166" s="229">
        <v>2.2100000000000002E-2</v>
      </c>
      <c r="N166" s="231">
        <v>1070.4000000000001</v>
      </c>
      <c r="O166" s="231">
        <v>1048.3</v>
      </c>
      <c r="P166" s="228">
        <v>22.1</v>
      </c>
      <c r="Q166" s="229">
        <v>2.1100000000000001E-2</v>
      </c>
      <c r="R166" s="231">
        <v>1075.9000000000001</v>
      </c>
      <c r="S166" s="231">
        <v>1054.2</v>
      </c>
      <c r="T166" s="228">
        <v>21.7</v>
      </c>
      <c r="U166" s="229">
        <v>2.06E-2</v>
      </c>
      <c r="V166" s="231">
        <v>1075.9000000000001</v>
      </c>
      <c r="W166" s="231">
        <v>1058</v>
      </c>
      <c r="X166" s="228">
        <v>17.899999999999999</v>
      </c>
      <c r="Y166" s="229">
        <v>1.6899999999999998E-2</v>
      </c>
      <c r="Z166" s="228">
        <v>5.3</v>
      </c>
      <c r="AA166" s="228">
        <v>6.2</v>
      </c>
      <c r="AB166" s="228">
        <v>-0.9</v>
      </c>
      <c r="AC166" s="229">
        <v>5.0000000000000001E-3</v>
      </c>
      <c r="AD166" s="228">
        <v>5.3</v>
      </c>
      <c r="AE166" s="228">
        <v>6.2</v>
      </c>
      <c r="AF166" s="228">
        <v>-0.9</v>
      </c>
      <c r="AG166" s="229">
        <v>5.0000000000000001E-3</v>
      </c>
      <c r="AH166" s="228">
        <v>10.8</v>
      </c>
      <c r="AI166" s="228">
        <v>12.1</v>
      </c>
      <c r="AJ166" s="228">
        <v>-1.3</v>
      </c>
      <c r="AK166" s="229">
        <v>1.01E-2</v>
      </c>
      <c r="AL166" s="228">
        <v>10.8</v>
      </c>
      <c r="AM166" s="228">
        <v>15.9</v>
      </c>
      <c r="AN166" s="228">
        <v>-5.0999999999999996</v>
      </c>
      <c r="AO166" s="229">
        <v>1.01E-2</v>
      </c>
      <c r="AP166" s="231">
        <v>1064.18</v>
      </c>
      <c r="AQ166" s="231">
        <v>1067.58</v>
      </c>
      <c r="AR166" s="228">
        <v>0</v>
      </c>
      <c r="AS166" s="228">
        <v>155</v>
      </c>
      <c r="AT166" s="228">
        <v>87</v>
      </c>
      <c r="AU166" s="228">
        <v>68</v>
      </c>
      <c r="AV166" s="229">
        <v>0.78469999999999995</v>
      </c>
      <c r="AW166" s="228">
        <v>150</v>
      </c>
      <c r="AX166" s="228">
        <v>85</v>
      </c>
      <c r="AY166" s="228">
        <v>66</v>
      </c>
      <c r="AZ166" s="229">
        <v>0.77300000000000002</v>
      </c>
      <c r="BA166" s="228">
        <v>4</v>
      </c>
      <c r="BB166" s="228">
        <v>2</v>
      </c>
      <c r="BC166" s="228">
        <v>2</v>
      </c>
      <c r="BD166" s="229">
        <v>1.1599999999999999</v>
      </c>
      <c r="BE166" s="228">
        <v>0</v>
      </c>
      <c r="BF166" s="228">
        <v>0</v>
      </c>
      <c r="BG166" s="228">
        <v>0</v>
      </c>
      <c r="BH166" s="229">
        <v>0</v>
      </c>
      <c r="BI166" s="228">
        <v>348</v>
      </c>
      <c r="BJ166" s="228">
        <v>138</v>
      </c>
      <c r="BK166" s="228">
        <v>210</v>
      </c>
      <c r="BL166" s="229">
        <v>1.5275000000000001</v>
      </c>
      <c r="BM166" s="228">
        <v>89</v>
      </c>
      <c r="BN166" s="228">
        <v>46</v>
      </c>
      <c r="BO166" s="228">
        <v>44</v>
      </c>
      <c r="BP166" s="229">
        <v>0.96020000000000005</v>
      </c>
      <c r="BQ166" s="228">
        <v>592</v>
      </c>
      <c r="BR166" s="228">
        <v>270</v>
      </c>
      <c r="BS166" s="228">
        <v>322</v>
      </c>
      <c r="BT166" s="229">
        <v>1.1934</v>
      </c>
      <c r="BU166" s="230">
        <v>902965</v>
      </c>
      <c r="BV166" s="230">
        <v>910432</v>
      </c>
      <c r="BW166" s="230">
        <v>-7467</v>
      </c>
      <c r="BX166" s="229">
        <v>-8.2000000000000007E-3</v>
      </c>
      <c r="BY166" s="230">
        <v>1166</v>
      </c>
      <c r="BZ166" s="230">
        <v>1136</v>
      </c>
      <c r="CA166" s="228">
        <v>30</v>
      </c>
      <c r="CB166" s="229">
        <v>2.63E-2</v>
      </c>
      <c r="CC166" s="230">
        <v>1159</v>
      </c>
      <c r="CD166" s="230">
        <v>1130</v>
      </c>
      <c r="CE166" s="228">
        <v>29</v>
      </c>
      <c r="CF166" s="229">
        <v>2.5399999999999999E-2</v>
      </c>
      <c r="CG166" s="228">
        <v>7</v>
      </c>
      <c r="CH166" s="228">
        <v>6</v>
      </c>
      <c r="CI166" s="228">
        <v>1</v>
      </c>
      <c r="CJ166" s="229">
        <v>0.15479999999999999</v>
      </c>
      <c r="CK166" s="228">
        <v>0</v>
      </c>
      <c r="CL166" s="228">
        <v>0</v>
      </c>
      <c r="CM166" s="228">
        <v>0</v>
      </c>
      <c r="CN166" s="229">
        <v>4</v>
      </c>
      <c r="CO166" s="228">
        <v>240</v>
      </c>
      <c r="CP166" s="228">
        <v>214</v>
      </c>
      <c r="CQ166" s="228">
        <v>26</v>
      </c>
      <c r="CR166" s="229">
        <v>0.12139999999999999</v>
      </c>
      <c r="CS166" s="228">
        <v>141</v>
      </c>
      <c r="CT166" s="228">
        <v>138</v>
      </c>
      <c r="CU166" s="228">
        <v>3</v>
      </c>
      <c r="CV166" s="229">
        <v>2.2200000000000001E-2</v>
      </c>
      <c r="CW166" s="230">
        <v>1547</v>
      </c>
      <c r="CX166" s="230">
        <v>1488</v>
      </c>
      <c r="CY166" s="228">
        <v>59</v>
      </c>
      <c r="CZ166" s="229">
        <v>3.9600000000000003E-2</v>
      </c>
      <c r="DA166" s="228">
        <v>31.46</v>
      </c>
      <c r="DB166" s="228">
        <v>31.85</v>
      </c>
      <c r="DC166" s="228">
        <v>-0.39</v>
      </c>
      <c r="DD166" s="228">
        <v>-0.39</v>
      </c>
      <c r="DE166" s="228">
        <v>47.34</v>
      </c>
      <c r="DF166" s="228">
        <v>47.37</v>
      </c>
      <c r="DG166" s="228">
        <v>-15.88</v>
      </c>
      <c r="DH166" s="228">
        <v>-0.03</v>
      </c>
      <c r="DI166" s="228">
        <v>31.13</v>
      </c>
      <c r="DJ166" s="228">
        <v>31.17</v>
      </c>
      <c r="DK166" s="228">
        <v>-0.04</v>
      </c>
      <c r="DL166" s="228">
        <v>-0.04</v>
      </c>
      <c r="DM166" s="228">
        <v>32.71</v>
      </c>
      <c r="DN166" s="228">
        <v>33.880000000000003</v>
      </c>
      <c r="DO166" s="228">
        <v>-1.17</v>
      </c>
      <c r="DP166" s="228">
        <v>-1.17</v>
      </c>
      <c r="DQ166" s="228">
        <v>0.59</v>
      </c>
      <c r="DR166" s="228">
        <v>0.64</v>
      </c>
      <c r="DS166" s="228">
        <v>-0.05</v>
      </c>
      <c r="DT166" s="229">
        <v>-7.8100000000000003E-2</v>
      </c>
      <c r="DU166" s="231">
        <v>1140</v>
      </c>
      <c r="DV166" s="231">
        <v>1000</v>
      </c>
      <c r="DW166" s="228">
        <v>0.26</v>
      </c>
      <c r="DX166" s="228">
        <v>0.33</v>
      </c>
      <c r="DY166" s="228">
        <v>-7.0000000000000007E-2</v>
      </c>
      <c r="DZ166" s="229">
        <v>-0.21210000000000001</v>
      </c>
      <c r="EA166" s="229">
        <v>6.1000000000000004E-3</v>
      </c>
      <c r="EB166" s="230">
        <v>55250</v>
      </c>
      <c r="EC166" s="229">
        <v>5.1000000000000004E-3</v>
      </c>
      <c r="ED166" s="229">
        <v>6.1000000000000004E-3</v>
      </c>
      <c r="EE166" s="228">
        <v>3.4</v>
      </c>
      <c r="EF166" s="229">
        <v>3.2000000000000002E-3</v>
      </c>
      <c r="EG166" s="230">
        <v>486830</v>
      </c>
      <c r="EH166" s="230">
        <v>489424</v>
      </c>
      <c r="EI166" s="229">
        <v>-5.3E-3</v>
      </c>
      <c r="EJ166" s="229">
        <v>0.53910000000000002</v>
      </c>
      <c r="EK166" s="228">
        <v>363.91</v>
      </c>
      <c r="EL166" s="228">
        <v>87.65</v>
      </c>
      <c r="EM166" s="228">
        <v>153.71</v>
      </c>
      <c r="EN166" s="228">
        <v>18.809999999999999</v>
      </c>
      <c r="EO166" s="228">
        <v>605.27</v>
      </c>
      <c r="EP166" s="228">
        <v>273.37</v>
      </c>
      <c r="EQ166" s="228">
        <v>331.9</v>
      </c>
      <c r="ER166" s="229">
        <v>1.2141</v>
      </c>
      <c r="ES166" s="228">
        <v>244.83</v>
      </c>
      <c r="ET166" s="228">
        <v>129.85</v>
      </c>
      <c r="EU166" s="231">
        <v>1166.06</v>
      </c>
      <c r="EV166" s="231">
        <v>28118603</v>
      </c>
      <c r="EW166" s="231">
        <v>1540.75</v>
      </c>
      <c r="EX166" s="231">
        <v>1456.61</v>
      </c>
      <c r="EY166" s="228">
        <v>84.14</v>
      </c>
      <c r="EZ166" s="229">
        <v>5.7799999999999997E-2</v>
      </c>
      <c r="FA166" s="229">
        <v>0.51400000000000001</v>
      </c>
      <c r="FB166" s="227" t="s">
        <v>555</v>
      </c>
      <c r="FC166">
        <f t="shared" si="3"/>
        <v>0</v>
      </c>
    </row>
    <row r="167" spans="1:159" ht="17.25" thickBot="1" x14ac:dyDescent="0.3">
      <c r="A167" s="226">
        <v>46148</v>
      </c>
      <c r="B167" s="227" t="s">
        <v>614</v>
      </c>
      <c r="C167" s="227" t="s">
        <v>572</v>
      </c>
      <c r="D167" s="228">
        <v>350</v>
      </c>
      <c r="E167" s="228">
        <v>20</v>
      </c>
      <c r="F167" s="231">
        <v>1714.1</v>
      </c>
      <c r="G167" s="231">
        <v>1689.7</v>
      </c>
      <c r="H167" s="228">
        <v>24.4</v>
      </c>
      <c r="I167" s="229">
        <v>1.44E-2</v>
      </c>
      <c r="J167" s="231">
        <v>1701.8</v>
      </c>
      <c r="K167" s="231">
        <v>1680.5</v>
      </c>
      <c r="L167" s="228">
        <v>21.3</v>
      </c>
      <c r="M167" s="229">
        <v>1.2699999999999999E-2</v>
      </c>
      <c r="N167" s="231">
        <v>1714.1</v>
      </c>
      <c r="O167" s="231">
        <v>1689.7</v>
      </c>
      <c r="P167" s="228">
        <v>24.4</v>
      </c>
      <c r="Q167" s="229">
        <v>1.44E-2</v>
      </c>
      <c r="R167" s="231">
        <v>1725.4</v>
      </c>
      <c r="S167" s="231">
        <v>1700.9</v>
      </c>
      <c r="T167" s="228">
        <v>24.5</v>
      </c>
      <c r="U167" s="229">
        <v>1.44E-2</v>
      </c>
      <c r="V167" s="231">
        <v>1685</v>
      </c>
      <c r="W167" s="231">
        <v>1685</v>
      </c>
      <c r="X167" s="228">
        <v>0</v>
      </c>
      <c r="Y167" s="229">
        <v>0</v>
      </c>
      <c r="Z167" s="228">
        <v>12.3</v>
      </c>
      <c r="AA167" s="228">
        <v>9.1999999999999993</v>
      </c>
      <c r="AB167" s="228">
        <v>3.1</v>
      </c>
      <c r="AC167" s="229">
        <v>7.1999999999999998E-3</v>
      </c>
      <c r="AD167" s="228">
        <v>12.3</v>
      </c>
      <c r="AE167" s="228">
        <v>9.1999999999999993</v>
      </c>
      <c r="AF167" s="228">
        <v>3.1</v>
      </c>
      <c r="AG167" s="229">
        <v>7.1999999999999998E-3</v>
      </c>
      <c r="AH167" s="228">
        <v>23.6</v>
      </c>
      <c r="AI167" s="228">
        <v>20.399999999999999</v>
      </c>
      <c r="AJ167" s="228">
        <v>3.2</v>
      </c>
      <c r="AK167" s="229">
        <v>1.3899999999999999E-2</v>
      </c>
      <c r="AL167" s="228">
        <v>-16.8</v>
      </c>
      <c r="AM167" s="228">
        <v>4.5</v>
      </c>
      <c r="AN167" s="228">
        <v>-21.3</v>
      </c>
      <c r="AO167" s="229">
        <v>-9.9000000000000008E-3</v>
      </c>
      <c r="AP167" s="231">
        <v>1705.14</v>
      </c>
      <c r="AQ167" s="231">
        <v>1715.09</v>
      </c>
      <c r="AR167" s="228">
        <v>0</v>
      </c>
      <c r="AS167" s="228">
        <v>561</v>
      </c>
      <c r="AT167" s="228">
        <v>182</v>
      </c>
      <c r="AU167" s="228">
        <v>378</v>
      </c>
      <c r="AV167" s="229">
        <v>2.0773999999999999</v>
      </c>
      <c r="AW167" s="228">
        <v>553</v>
      </c>
      <c r="AX167" s="228">
        <v>179</v>
      </c>
      <c r="AY167" s="228">
        <v>374</v>
      </c>
      <c r="AZ167" s="229">
        <v>2.0914999999999999</v>
      </c>
      <c r="BA167" s="228">
        <v>7</v>
      </c>
      <c r="BB167" s="228">
        <v>3</v>
      </c>
      <c r="BC167" s="228">
        <v>4</v>
      </c>
      <c r="BD167" s="229">
        <v>1.2963</v>
      </c>
      <c r="BE167" s="228">
        <v>0</v>
      </c>
      <c r="BF167" s="228">
        <v>0</v>
      </c>
      <c r="BG167" s="228">
        <v>0</v>
      </c>
      <c r="BH167" s="229">
        <v>0</v>
      </c>
      <c r="BI167" s="230">
        <v>1045</v>
      </c>
      <c r="BJ167" s="228">
        <v>247</v>
      </c>
      <c r="BK167" s="228">
        <v>798</v>
      </c>
      <c r="BL167" s="229">
        <v>3.2332999999999998</v>
      </c>
      <c r="BM167" s="228">
        <v>639</v>
      </c>
      <c r="BN167" s="228">
        <v>105</v>
      </c>
      <c r="BO167" s="228">
        <v>534</v>
      </c>
      <c r="BP167" s="229">
        <v>5.1096000000000004</v>
      </c>
      <c r="BQ167" s="230">
        <v>2244</v>
      </c>
      <c r="BR167" s="228">
        <v>533</v>
      </c>
      <c r="BS167" s="230">
        <v>1710</v>
      </c>
      <c r="BT167" s="229">
        <v>3.2063000000000001</v>
      </c>
      <c r="BU167" s="230">
        <v>1831955</v>
      </c>
      <c r="BV167" s="230">
        <v>532766</v>
      </c>
      <c r="BW167" s="230">
        <v>1299189</v>
      </c>
      <c r="BX167" s="229">
        <v>2.4386000000000001</v>
      </c>
      <c r="BY167" s="230">
        <v>1538</v>
      </c>
      <c r="BZ167" s="230">
        <v>1439</v>
      </c>
      <c r="CA167" s="228">
        <v>99</v>
      </c>
      <c r="CB167" s="229">
        <v>6.88E-2</v>
      </c>
      <c r="CC167" s="230">
        <v>1507</v>
      </c>
      <c r="CD167" s="230">
        <v>1410</v>
      </c>
      <c r="CE167" s="228">
        <v>98</v>
      </c>
      <c r="CF167" s="229">
        <v>6.9400000000000003E-2</v>
      </c>
      <c r="CG167" s="228">
        <v>31</v>
      </c>
      <c r="CH167" s="228">
        <v>29</v>
      </c>
      <c r="CI167" s="228">
        <v>1</v>
      </c>
      <c r="CJ167" s="229">
        <v>4.0800000000000003E-2</v>
      </c>
      <c r="CK167" s="228">
        <v>0</v>
      </c>
      <c r="CL167" s="228">
        <v>0</v>
      </c>
      <c r="CM167" s="228">
        <v>0</v>
      </c>
      <c r="CN167" s="229">
        <v>0</v>
      </c>
      <c r="CO167" s="228">
        <v>288</v>
      </c>
      <c r="CP167" s="228">
        <v>210</v>
      </c>
      <c r="CQ167" s="228">
        <v>78</v>
      </c>
      <c r="CR167" s="229">
        <v>0.37369999999999998</v>
      </c>
      <c r="CS167" s="228">
        <v>183</v>
      </c>
      <c r="CT167" s="228">
        <v>124</v>
      </c>
      <c r="CU167" s="228">
        <v>59</v>
      </c>
      <c r="CV167" s="229">
        <v>0.47599999999999998</v>
      </c>
      <c r="CW167" s="230">
        <v>2009</v>
      </c>
      <c r="CX167" s="230">
        <v>1773</v>
      </c>
      <c r="CY167" s="228">
        <v>236</v>
      </c>
      <c r="CZ167" s="229">
        <v>0.1333</v>
      </c>
      <c r="DA167" s="228">
        <v>44.09</v>
      </c>
      <c r="DB167" s="228">
        <v>43.52</v>
      </c>
      <c r="DC167" s="228">
        <v>0.56999999999999995</v>
      </c>
      <c r="DD167" s="228">
        <v>0.56999999999999995</v>
      </c>
      <c r="DE167" s="228">
        <v>44.95</v>
      </c>
      <c r="DF167" s="228">
        <v>45.02</v>
      </c>
      <c r="DG167" s="228">
        <v>-0.86</v>
      </c>
      <c r="DH167" s="228">
        <v>-7.0000000000000007E-2</v>
      </c>
      <c r="DI167" s="228">
        <v>43.7</v>
      </c>
      <c r="DJ167" s="228">
        <v>43.07</v>
      </c>
      <c r="DK167" s="228">
        <v>0.63</v>
      </c>
      <c r="DL167" s="228">
        <v>0.63</v>
      </c>
      <c r="DM167" s="228">
        <v>44.74</v>
      </c>
      <c r="DN167" s="228">
        <v>44.58</v>
      </c>
      <c r="DO167" s="228">
        <v>0.16</v>
      </c>
      <c r="DP167" s="228">
        <v>0.16</v>
      </c>
      <c r="DQ167" s="228">
        <v>0.63</v>
      </c>
      <c r="DR167" s="228">
        <v>0.59</v>
      </c>
      <c r="DS167" s="228">
        <v>0.04</v>
      </c>
      <c r="DT167" s="229">
        <v>6.7799999999999999E-2</v>
      </c>
      <c r="DU167" s="231">
        <v>1700</v>
      </c>
      <c r="DV167" s="231">
        <v>1660</v>
      </c>
      <c r="DW167" s="228">
        <v>0.61</v>
      </c>
      <c r="DX167" s="228">
        <v>0.42</v>
      </c>
      <c r="DY167" s="228">
        <v>0.19</v>
      </c>
      <c r="DZ167" s="229">
        <v>0.45240000000000002</v>
      </c>
      <c r="EA167" s="229">
        <v>0.02</v>
      </c>
      <c r="EB167" s="230">
        <v>172900</v>
      </c>
      <c r="EC167" s="229">
        <v>6.6E-3</v>
      </c>
      <c r="ED167" s="229">
        <v>0.02</v>
      </c>
      <c r="EE167" s="228">
        <v>9.9499999999999993</v>
      </c>
      <c r="EF167" s="229">
        <v>5.7999999999999996E-3</v>
      </c>
      <c r="EG167" s="230">
        <v>739088</v>
      </c>
      <c r="EH167" s="230">
        <v>192704</v>
      </c>
      <c r="EI167" s="229">
        <v>2.8353999999999999</v>
      </c>
      <c r="EJ167" s="229">
        <v>0.40339999999999998</v>
      </c>
      <c r="EK167" s="231">
        <v>1099.43</v>
      </c>
      <c r="EL167" s="228">
        <v>634.79999999999995</v>
      </c>
      <c r="EM167" s="228">
        <v>557.63</v>
      </c>
      <c r="EN167" s="228">
        <v>25.37</v>
      </c>
      <c r="EO167" s="231">
        <v>2291.86</v>
      </c>
      <c r="EP167" s="228">
        <v>539.71</v>
      </c>
      <c r="EQ167" s="231">
        <v>1752.15</v>
      </c>
      <c r="ER167" s="229">
        <v>3.2464</v>
      </c>
      <c r="ES167" s="228">
        <v>293.45</v>
      </c>
      <c r="ET167" s="228">
        <v>174.66</v>
      </c>
      <c r="EU167" s="231">
        <v>1538.37</v>
      </c>
      <c r="EV167" s="231">
        <v>69300607</v>
      </c>
      <c r="EW167" s="231">
        <v>2006.48</v>
      </c>
      <c r="EX167" s="231">
        <v>1749.9</v>
      </c>
      <c r="EY167" s="228">
        <v>256.58</v>
      </c>
      <c r="EZ167" s="229">
        <v>0.14660000000000001</v>
      </c>
      <c r="FA167" s="229">
        <v>0.1691</v>
      </c>
      <c r="FB167" s="227" t="s">
        <v>555</v>
      </c>
      <c r="FC167">
        <f t="shared" si="3"/>
        <v>0</v>
      </c>
    </row>
    <row r="168" spans="1:159" ht="17.25" thickBot="1" x14ac:dyDescent="0.3">
      <c r="A168" s="226">
        <v>46148</v>
      </c>
      <c r="B168" s="227" t="s">
        <v>184</v>
      </c>
      <c r="C168" s="227" t="s">
        <v>519</v>
      </c>
      <c r="D168" s="228">
        <v>125</v>
      </c>
      <c r="E168" s="228">
        <v>20</v>
      </c>
      <c r="F168" s="231">
        <v>8472</v>
      </c>
      <c r="G168" s="231">
        <v>8366.5</v>
      </c>
      <c r="H168" s="228">
        <v>105.5</v>
      </c>
      <c r="I168" s="229">
        <v>1.26E-2</v>
      </c>
      <c r="J168" s="231">
        <v>8415.5</v>
      </c>
      <c r="K168" s="231">
        <v>8337</v>
      </c>
      <c r="L168" s="228">
        <v>78.5</v>
      </c>
      <c r="M168" s="229">
        <v>9.4000000000000004E-3</v>
      </c>
      <c r="N168" s="231">
        <v>8472</v>
      </c>
      <c r="O168" s="231">
        <v>8366.5</v>
      </c>
      <c r="P168" s="228">
        <v>105.5</v>
      </c>
      <c r="Q168" s="229">
        <v>1.26E-2</v>
      </c>
      <c r="R168" s="231">
        <v>8470</v>
      </c>
      <c r="S168" s="231">
        <v>8379</v>
      </c>
      <c r="T168" s="228">
        <v>91</v>
      </c>
      <c r="U168" s="229">
        <v>1.09E-2</v>
      </c>
      <c r="V168" s="231">
        <v>8483.5</v>
      </c>
      <c r="W168" s="231">
        <v>8383</v>
      </c>
      <c r="X168" s="228">
        <v>100.5</v>
      </c>
      <c r="Y168" s="229">
        <v>1.2E-2</v>
      </c>
      <c r="Z168" s="228">
        <v>56.5</v>
      </c>
      <c r="AA168" s="228">
        <v>29.5</v>
      </c>
      <c r="AB168" s="228">
        <v>27</v>
      </c>
      <c r="AC168" s="229">
        <v>6.7000000000000002E-3</v>
      </c>
      <c r="AD168" s="228">
        <v>56.5</v>
      </c>
      <c r="AE168" s="228">
        <v>29.5</v>
      </c>
      <c r="AF168" s="228">
        <v>27</v>
      </c>
      <c r="AG168" s="229">
        <v>6.7000000000000002E-3</v>
      </c>
      <c r="AH168" s="228">
        <v>54.5</v>
      </c>
      <c r="AI168" s="228">
        <v>42</v>
      </c>
      <c r="AJ168" s="228">
        <v>12.5</v>
      </c>
      <c r="AK168" s="229">
        <v>6.4999999999999997E-3</v>
      </c>
      <c r="AL168" s="228">
        <v>68</v>
      </c>
      <c r="AM168" s="228">
        <v>46</v>
      </c>
      <c r="AN168" s="228">
        <v>22</v>
      </c>
      <c r="AO168" s="229">
        <v>8.0999999999999996E-3</v>
      </c>
      <c r="AP168" s="231">
        <v>8486.9</v>
      </c>
      <c r="AQ168" s="231">
        <v>8493.25</v>
      </c>
      <c r="AR168" s="228">
        <v>0</v>
      </c>
      <c r="AS168" s="230">
        <v>1344</v>
      </c>
      <c r="AT168" s="228">
        <v>760</v>
      </c>
      <c r="AU168" s="228">
        <v>584</v>
      </c>
      <c r="AV168" s="229">
        <v>0.76900000000000002</v>
      </c>
      <c r="AW168" s="230">
        <v>1289</v>
      </c>
      <c r="AX168" s="228">
        <v>736</v>
      </c>
      <c r="AY168" s="228">
        <v>553</v>
      </c>
      <c r="AZ168" s="229">
        <v>0.75060000000000004</v>
      </c>
      <c r="BA168" s="228">
        <v>51</v>
      </c>
      <c r="BB168" s="228">
        <v>23</v>
      </c>
      <c r="BC168" s="228">
        <v>28</v>
      </c>
      <c r="BD168" s="229">
        <v>1.2290000000000001</v>
      </c>
      <c r="BE168" s="228">
        <v>4</v>
      </c>
      <c r="BF168" s="228">
        <v>0</v>
      </c>
      <c r="BG168" s="228">
        <v>3</v>
      </c>
      <c r="BH168" s="229">
        <v>8</v>
      </c>
      <c r="BI168" s="230">
        <v>4828</v>
      </c>
      <c r="BJ168" s="230">
        <v>1604</v>
      </c>
      <c r="BK168" s="230">
        <v>3224</v>
      </c>
      <c r="BL168" s="229">
        <v>2.0095999999999998</v>
      </c>
      <c r="BM168" s="230">
        <v>2970</v>
      </c>
      <c r="BN168" s="228">
        <v>848</v>
      </c>
      <c r="BO168" s="230">
        <v>2122</v>
      </c>
      <c r="BP168" s="229">
        <v>2.5032000000000001</v>
      </c>
      <c r="BQ168" s="230">
        <v>9142</v>
      </c>
      <c r="BR168" s="230">
        <v>3212</v>
      </c>
      <c r="BS168" s="230">
        <v>5930</v>
      </c>
      <c r="BT168" s="229">
        <v>1.8465</v>
      </c>
      <c r="BU168" s="230">
        <v>1121829</v>
      </c>
      <c r="BV168" s="230">
        <v>478037</v>
      </c>
      <c r="BW168" s="230">
        <v>643792</v>
      </c>
      <c r="BX168" s="229">
        <v>1.3467</v>
      </c>
      <c r="BY168" s="230">
        <v>1749</v>
      </c>
      <c r="BZ168" s="230">
        <v>1679</v>
      </c>
      <c r="CA168" s="228">
        <v>69</v>
      </c>
      <c r="CB168" s="229">
        <v>4.1099999999999998E-2</v>
      </c>
      <c r="CC168" s="230">
        <v>1714</v>
      </c>
      <c r="CD168" s="230">
        <v>1653</v>
      </c>
      <c r="CE168" s="228">
        <v>61</v>
      </c>
      <c r="CF168" s="229">
        <v>3.7199999999999997E-2</v>
      </c>
      <c r="CG168" s="228">
        <v>32</v>
      </c>
      <c r="CH168" s="228">
        <v>25</v>
      </c>
      <c r="CI168" s="228">
        <v>6</v>
      </c>
      <c r="CJ168" s="229">
        <v>0.25</v>
      </c>
      <c r="CK168" s="228">
        <v>3</v>
      </c>
      <c r="CL168" s="228">
        <v>1</v>
      </c>
      <c r="CM168" s="228">
        <v>1</v>
      </c>
      <c r="CN168" s="229">
        <v>0.85709999999999997</v>
      </c>
      <c r="CO168" s="230">
        <v>1060</v>
      </c>
      <c r="CP168" s="228">
        <v>759</v>
      </c>
      <c r="CQ168" s="228">
        <v>301</v>
      </c>
      <c r="CR168" s="229">
        <v>0.39610000000000001</v>
      </c>
      <c r="CS168" s="230">
        <v>1155</v>
      </c>
      <c r="CT168" s="230">
        <v>1013</v>
      </c>
      <c r="CU168" s="228">
        <v>142</v>
      </c>
      <c r="CV168" s="229">
        <v>0.14019999999999999</v>
      </c>
      <c r="CW168" s="230">
        <v>3963</v>
      </c>
      <c r="CX168" s="230">
        <v>3451</v>
      </c>
      <c r="CY168" s="228">
        <v>512</v>
      </c>
      <c r="CZ168" s="229">
        <v>0.14829999999999999</v>
      </c>
      <c r="DA168" s="228">
        <v>34.21</v>
      </c>
      <c r="DB168" s="228">
        <v>39.75</v>
      </c>
      <c r="DC168" s="228">
        <v>-5.54</v>
      </c>
      <c r="DD168" s="228">
        <v>-5.54</v>
      </c>
      <c r="DE168" s="228">
        <v>41.09</v>
      </c>
      <c r="DF168" s="228">
        <v>41.18</v>
      </c>
      <c r="DG168" s="228">
        <v>-6.88</v>
      </c>
      <c r="DH168" s="228">
        <v>-0.09</v>
      </c>
      <c r="DI168" s="228">
        <v>32.840000000000003</v>
      </c>
      <c r="DJ168" s="228">
        <v>38.07</v>
      </c>
      <c r="DK168" s="228">
        <v>-5.23</v>
      </c>
      <c r="DL168" s="228">
        <v>-5.23</v>
      </c>
      <c r="DM168" s="228">
        <v>36.43</v>
      </c>
      <c r="DN168" s="228">
        <v>42.93</v>
      </c>
      <c r="DO168" s="228">
        <v>-6.5</v>
      </c>
      <c r="DP168" s="228">
        <v>-6.5</v>
      </c>
      <c r="DQ168" s="228">
        <v>1.0900000000000001</v>
      </c>
      <c r="DR168" s="228">
        <v>1.33</v>
      </c>
      <c r="DS168" s="228">
        <v>-0.24</v>
      </c>
      <c r="DT168" s="229">
        <v>-0.18049999999999999</v>
      </c>
      <c r="DU168" s="231">
        <v>9000</v>
      </c>
      <c r="DV168" s="231">
        <v>7500</v>
      </c>
      <c r="DW168" s="228">
        <v>0.62</v>
      </c>
      <c r="DX168" s="228">
        <v>0.53</v>
      </c>
      <c r="DY168" s="228">
        <v>0.09</v>
      </c>
      <c r="DZ168" s="229">
        <v>0.16980000000000001</v>
      </c>
      <c r="EA168" s="229">
        <v>1.9699999999999999E-2</v>
      </c>
      <c r="EB168" s="230">
        <v>31750</v>
      </c>
      <c r="EC168" s="229">
        <v>-2.0000000000000001E-4</v>
      </c>
      <c r="ED168" s="229">
        <v>1.9699999999999999E-2</v>
      </c>
      <c r="EE168" s="228">
        <v>6.35</v>
      </c>
      <c r="EF168" s="229">
        <v>6.9999999999999999E-4</v>
      </c>
      <c r="EG168" s="230">
        <v>515723</v>
      </c>
      <c r="EH168" s="230">
        <v>196947</v>
      </c>
      <c r="EI168" s="229">
        <v>1.6186</v>
      </c>
      <c r="EJ168" s="229">
        <v>0.4597</v>
      </c>
      <c r="EK168" s="231">
        <v>5108.0600000000004</v>
      </c>
      <c r="EL168" s="231">
        <v>2827.61</v>
      </c>
      <c r="EM168" s="231">
        <v>1345.96</v>
      </c>
      <c r="EN168" s="228">
        <v>49.82</v>
      </c>
      <c r="EO168" s="231">
        <v>9281.6200000000008</v>
      </c>
      <c r="EP168" s="231">
        <v>3215.95</v>
      </c>
      <c r="EQ168" s="231">
        <v>6065.67</v>
      </c>
      <c r="ER168" s="229">
        <v>1.8861000000000001</v>
      </c>
      <c r="ES168" s="231">
        <v>1079.8599999999999</v>
      </c>
      <c r="ET168" s="231">
        <v>1047.22</v>
      </c>
      <c r="EU168" s="231">
        <v>1748.51</v>
      </c>
      <c r="EV168" s="231">
        <v>8693344</v>
      </c>
      <c r="EW168" s="231">
        <v>3875.58</v>
      </c>
      <c r="EX168" s="231">
        <v>3320.91</v>
      </c>
      <c r="EY168" s="228">
        <v>554.66999999999996</v>
      </c>
      <c r="EZ168" s="229">
        <v>0.16700000000000001</v>
      </c>
      <c r="FA168" s="229">
        <v>0.53810000000000002</v>
      </c>
      <c r="FB168" s="227" t="s">
        <v>555</v>
      </c>
      <c r="FC168">
        <f t="shared" si="3"/>
        <v>0</v>
      </c>
    </row>
    <row r="169" spans="1:159" ht="17.25" thickBot="1" x14ac:dyDescent="0.3">
      <c r="A169" s="226">
        <v>46148</v>
      </c>
      <c r="B169" s="227" t="s">
        <v>161</v>
      </c>
      <c r="C169" s="227" t="s">
        <v>276</v>
      </c>
      <c r="D169" s="228">
        <v>1900</v>
      </c>
      <c r="E169" s="228">
        <v>20</v>
      </c>
      <c r="F169" s="228">
        <v>316.75</v>
      </c>
      <c r="G169" s="228">
        <v>319.64999999999998</v>
      </c>
      <c r="H169" s="228">
        <v>-2.9</v>
      </c>
      <c r="I169" s="229">
        <v>-9.1000000000000004E-3</v>
      </c>
      <c r="J169" s="228">
        <v>315.95</v>
      </c>
      <c r="K169" s="228">
        <v>319.45</v>
      </c>
      <c r="L169" s="228">
        <v>-3.5</v>
      </c>
      <c r="M169" s="229">
        <v>-1.0999999999999999E-2</v>
      </c>
      <c r="N169" s="228">
        <v>316.75</v>
      </c>
      <c r="O169" s="228">
        <v>319.64999999999998</v>
      </c>
      <c r="P169" s="228">
        <v>-2.9</v>
      </c>
      <c r="Q169" s="229">
        <v>-9.1000000000000004E-3</v>
      </c>
      <c r="R169" s="228">
        <v>318.85000000000002</v>
      </c>
      <c r="S169" s="228">
        <v>322.05</v>
      </c>
      <c r="T169" s="228">
        <v>-3.2</v>
      </c>
      <c r="U169" s="229">
        <v>-9.9000000000000008E-3</v>
      </c>
      <c r="V169" s="228">
        <v>320.75</v>
      </c>
      <c r="W169" s="228">
        <v>324.3</v>
      </c>
      <c r="X169" s="228">
        <v>-3.55</v>
      </c>
      <c r="Y169" s="229">
        <v>-1.09E-2</v>
      </c>
      <c r="Z169" s="228">
        <v>0.8</v>
      </c>
      <c r="AA169" s="228">
        <v>0.2</v>
      </c>
      <c r="AB169" s="228">
        <v>0.6</v>
      </c>
      <c r="AC169" s="229">
        <v>2.5000000000000001E-3</v>
      </c>
      <c r="AD169" s="228">
        <v>0.8</v>
      </c>
      <c r="AE169" s="228">
        <v>0.2</v>
      </c>
      <c r="AF169" s="228">
        <v>0.6</v>
      </c>
      <c r="AG169" s="229">
        <v>2.5000000000000001E-3</v>
      </c>
      <c r="AH169" s="228">
        <v>2.9</v>
      </c>
      <c r="AI169" s="228">
        <v>2.6</v>
      </c>
      <c r="AJ169" s="228">
        <v>0.3</v>
      </c>
      <c r="AK169" s="229">
        <v>9.1999999999999998E-3</v>
      </c>
      <c r="AL169" s="228">
        <v>4.8</v>
      </c>
      <c r="AM169" s="228">
        <v>4.8499999999999996</v>
      </c>
      <c r="AN169" s="228">
        <v>-0.05</v>
      </c>
      <c r="AO169" s="229">
        <v>1.52E-2</v>
      </c>
      <c r="AP169" s="228">
        <v>317.54000000000002</v>
      </c>
      <c r="AQ169" s="228">
        <v>319.73</v>
      </c>
      <c r="AR169" s="228">
        <v>0</v>
      </c>
      <c r="AS169" s="228">
        <v>223</v>
      </c>
      <c r="AT169" s="228">
        <v>275</v>
      </c>
      <c r="AU169" s="228">
        <v>-52</v>
      </c>
      <c r="AV169" s="229">
        <v>-0.18920000000000001</v>
      </c>
      <c r="AW169" s="228">
        <v>206</v>
      </c>
      <c r="AX169" s="228">
        <v>257</v>
      </c>
      <c r="AY169" s="228">
        <v>-51</v>
      </c>
      <c r="AZ169" s="229">
        <v>-0.1993</v>
      </c>
      <c r="BA169" s="228">
        <v>13</v>
      </c>
      <c r="BB169" s="228">
        <v>17</v>
      </c>
      <c r="BC169" s="228">
        <v>-5</v>
      </c>
      <c r="BD169" s="229">
        <v>-0.27179999999999999</v>
      </c>
      <c r="BE169" s="228">
        <v>4</v>
      </c>
      <c r="BF169" s="228">
        <v>1</v>
      </c>
      <c r="BG169" s="228">
        <v>4</v>
      </c>
      <c r="BH169" s="229">
        <v>7.2222</v>
      </c>
      <c r="BI169" s="228">
        <v>686</v>
      </c>
      <c r="BJ169" s="228">
        <v>903</v>
      </c>
      <c r="BK169" s="228">
        <v>-217</v>
      </c>
      <c r="BL169" s="229">
        <v>-0.24030000000000001</v>
      </c>
      <c r="BM169" s="228">
        <v>309</v>
      </c>
      <c r="BN169" s="228">
        <v>360</v>
      </c>
      <c r="BO169" s="228">
        <v>-51</v>
      </c>
      <c r="BP169" s="229">
        <v>-0.14169999999999999</v>
      </c>
      <c r="BQ169" s="230">
        <v>1217</v>
      </c>
      <c r="BR169" s="230">
        <v>1537</v>
      </c>
      <c r="BS169" s="228">
        <v>-320</v>
      </c>
      <c r="BT169" s="229">
        <v>-0.20810000000000001</v>
      </c>
      <c r="BU169" s="230">
        <v>5126299</v>
      </c>
      <c r="BV169" s="230">
        <v>8754021</v>
      </c>
      <c r="BW169" s="230">
        <v>-3627722</v>
      </c>
      <c r="BX169" s="229">
        <v>-0.41439999999999999</v>
      </c>
      <c r="BY169" s="230">
        <v>2600</v>
      </c>
      <c r="BZ169" s="230">
        <v>2562</v>
      </c>
      <c r="CA169" s="228">
        <v>37</v>
      </c>
      <c r="CB169" s="229">
        <v>1.46E-2</v>
      </c>
      <c r="CC169" s="230">
        <v>2196</v>
      </c>
      <c r="CD169" s="230">
        <v>2170</v>
      </c>
      <c r="CE169" s="228">
        <v>26</v>
      </c>
      <c r="CF169" s="229">
        <v>1.21E-2</v>
      </c>
      <c r="CG169" s="228">
        <v>398</v>
      </c>
      <c r="CH169" s="228">
        <v>390</v>
      </c>
      <c r="CI169" s="228">
        <v>8</v>
      </c>
      <c r="CJ169" s="229">
        <v>2.0500000000000001E-2</v>
      </c>
      <c r="CK169" s="228">
        <v>6</v>
      </c>
      <c r="CL169" s="228">
        <v>3</v>
      </c>
      <c r="CM169" s="228">
        <v>3</v>
      </c>
      <c r="CN169" s="229">
        <v>1.1628000000000001</v>
      </c>
      <c r="CO169" s="228">
        <v>766</v>
      </c>
      <c r="CP169" s="228">
        <v>721</v>
      </c>
      <c r="CQ169" s="228">
        <v>45</v>
      </c>
      <c r="CR169" s="229">
        <v>6.2899999999999998E-2</v>
      </c>
      <c r="CS169" s="228">
        <v>382</v>
      </c>
      <c r="CT169" s="228">
        <v>382</v>
      </c>
      <c r="CU169" s="228">
        <v>0</v>
      </c>
      <c r="CV169" s="229">
        <v>5.0000000000000001E-4</v>
      </c>
      <c r="CW169" s="230">
        <v>3747</v>
      </c>
      <c r="CX169" s="230">
        <v>3664</v>
      </c>
      <c r="CY169" s="228">
        <v>83</v>
      </c>
      <c r="CZ169" s="229">
        <v>2.2599999999999999E-2</v>
      </c>
      <c r="DA169" s="228">
        <v>24.8</v>
      </c>
      <c r="DB169" s="228">
        <v>24.21</v>
      </c>
      <c r="DC169" s="228">
        <v>0.59</v>
      </c>
      <c r="DD169" s="228">
        <v>0.59</v>
      </c>
      <c r="DE169" s="228">
        <v>28.34</v>
      </c>
      <c r="DF169" s="228">
        <v>28.37</v>
      </c>
      <c r="DG169" s="228">
        <v>-3.54</v>
      </c>
      <c r="DH169" s="228">
        <v>-0.03</v>
      </c>
      <c r="DI169" s="228">
        <v>25.06</v>
      </c>
      <c r="DJ169" s="228">
        <v>24.1</v>
      </c>
      <c r="DK169" s="228">
        <v>0.96</v>
      </c>
      <c r="DL169" s="228">
        <v>0.96</v>
      </c>
      <c r="DM169" s="228">
        <v>24.23</v>
      </c>
      <c r="DN169" s="228">
        <v>24.51</v>
      </c>
      <c r="DO169" s="228">
        <v>-0.28000000000000003</v>
      </c>
      <c r="DP169" s="228">
        <v>-0.28000000000000003</v>
      </c>
      <c r="DQ169" s="228">
        <v>0.5</v>
      </c>
      <c r="DR169" s="228">
        <v>0.53</v>
      </c>
      <c r="DS169" s="228">
        <v>-0.03</v>
      </c>
      <c r="DT169" s="229">
        <v>-5.6599999999999998E-2</v>
      </c>
      <c r="DU169" s="228">
        <v>320</v>
      </c>
      <c r="DV169" s="228">
        <v>320</v>
      </c>
      <c r="DW169" s="228">
        <v>0.45</v>
      </c>
      <c r="DX169" s="228">
        <v>0.4</v>
      </c>
      <c r="DY169" s="228">
        <v>0.05</v>
      </c>
      <c r="DZ169" s="229">
        <v>0.125</v>
      </c>
      <c r="EA169" s="229">
        <v>0.15509999999999999</v>
      </c>
      <c r="EB169" s="230">
        <v>12380400</v>
      </c>
      <c r="EC169" s="229">
        <v>6.6E-3</v>
      </c>
      <c r="ED169" s="229">
        <v>0.15509999999999999</v>
      </c>
      <c r="EE169" s="228">
        <v>2.19</v>
      </c>
      <c r="EF169" s="229">
        <v>6.8999999999999999E-3</v>
      </c>
      <c r="EG169" s="230">
        <v>2867282</v>
      </c>
      <c r="EH169" s="230">
        <v>4094850</v>
      </c>
      <c r="EI169" s="229">
        <v>-0.29980000000000001</v>
      </c>
      <c r="EJ169" s="229">
        <v>0.55930000000000002</v>
      </c>
      <c r="EK169" s="228">
        <v>718.14</v>
      </c>
      <c r="EL169" s="228">
        <v>311.41000000000003</v>
      </c>
      <c r="EM169" s="228">
        <v>223.56</v>
      </c>
      <c r="EN169" s="228">
        <v>42.68</v>
      </c>
      <c r="EO169" s="231">
        <v>1253.1099999999999</v>
      </c>
      <c r="EP169" s="231">
        <v>1588.34</v>
      </c>
      <c r="EQ169" s="228">
        <v>-335.23</v>
      </c>
      <c r="ER169" s="229">
        <v>-0.21110000000000001</v>
      </c>
      <c r="ES169" s="228">
        <v>797.46</v>
      </c>
      <c r="ET169" s="228">
        <v>372.45</v>
      </c>
      <c r="EU169" s="231">
        <v>2602.29</v>
      </c>
      <c r="EV169" s="231">
        <v>660840864</v>
      </c>
      <c r="EW169" s="231">
        <v>3772.2</v>
      </c>
      <c r="EX169" s="231">
        <v>3710.51</v>
      </c>
      <c r="EY169" s="228">
        <v>61.69</v>
      </c>
      <c r="EZ169" s="229">
        <v>1.66E-2</v>
      </c>
      <c r="FA169" s="229">
        <v>0.17899999999999999</v>
      </c>
      <c r="FB169" s="227" t="s">
        <v>566</v>
      </c>
      <c r="FC169">
        <f t="shared" si="3"/>
        <v>0</v>
      </c>
    </row>
    <row r="170" spans="1:159" ht="17.25" thickBot="1" x14ac:dyDescent="0.3">
      <c r="A170" s="226">
        <v>46148</v>
      </c>
      <c r="B170" s="227" t="s">
        <v>184</v>
      </c>
      <c r="C170" s="227" t="s">
        <v>683</v>
      </c>
      <c r="D170" s="228">
        <v>25</v>
      </c>
      <c r="E170" s="228">
        <v>20</v>
      </c>
      <c r="F170" s="231">
        <v>33600</v>
      </c>
      <c r="G170" s="231">
        <v>34315</v>
      </c>
      <c r="H170" s="228">
        <v>-715</v>
      </c>
      <c r="I170" s="229">
        <v>-2.0799999999999999E-2</v>
      </c>
      <c r="J170" s="231">
        <v>33380</v>
      </c>
      <c r="K170" s="231">
        <v>34255</v>
      </c>
      <c r="L170" s="228">
        <v>-875</v>
      </c>
      <c r="M170" s="229">
        <v>-2.5499999999999998E-2</v>
      </c>
      <c r="N170" s="231">
        <v>33600</v>
      </c>
      <c r="O170" s="231">
        <v>34315</v>
      </c>
      <c r="P170" s="228">
        <v>-715</v>
      </c>
      <c r="Q170" s="229">
        <v>-2.0799999999999999E-2</v>
      </c>
      <c r="R170" s="231">
        <v>33715</v>
      </c>
      <c r="S170" s="231">
        <v>34355</v>
      </c>
      <c r="T170" s="228">
        <v>-640</v>
      </c>
      <c r="U170" s="229">
        <v>-1.8599999999999998E-2</v>
      </c>
      <c r="V170" s="231">
        <v>33710</v>
      </c>
      <c r="W170" s="231">
        <v>34450</v>
      </c>
      <c r="X170" s="228">
        <v>-740</v>
      </c>
      <c r="Y170" s="229">
        <v>-2.1499999999999998E-2</v>
      </c>
      <c r="Z170" s="228">
        <v>220</v>
      </c>
      <c r="AA170" s="228">
        <v>60</v>
      </c>
      <c r="AB170" s="228">
        <v>160</v>
      </c>
      <c r="AC170" s="229">
        <v>6.6E-3</v>
      </c>
      <c r="AD170" s="228">
        <v>220</v>
      </c>
      <c r="AE170" s="228">
        <v>60</v>
      </c>
      <c r="AF170" s="228">
        <v>160</v>
      </c>
      <c r="AG170" s="229">
        <v>6.6E-3</v>
      </c>
      <c r="AH170" s="228">
        <v>335</v>
      </c>
      <c r="AI170" s="228">
        <v>100</v>
      </c>
      <c r="AJ170" s="228">
        <v>235</v>
      </c>
      <c r="AK170" s="229">
        <v>0.01</v>
      </c>
      <c r="AL170" s="228">
        <v>330</v>
      </c>
      <c r="AM170" s="228">
        <v>195</v>
      </c>
      <c r="AN170" s="228">
        <v>135</v>
      </c>
      <c r="AO170" s="229">
        <v>9.9000000000000008E-3</v>
      </c>
      <c r="AP170" s="231">
        <v>33514.050000000003</v>
      </c>
      <c r="AQ170" s="231">
        <v>33652.5</v>
      </c>
      <c r="AR170" s="228">
        <v>0</v>
      </c>
      <c r="AS170" s="228">
        <v>474</v>
      </c>
      <c r="AT170" s="228">
        <v>260</v>
      </c>
      <c r="AU170" s="228">
        <v>214</v>
      </c>
      <c r="AV170" s="229">
        <v>0.82310000000000005</v>
      </c>
      <c r="AW170" s="228">
        <v>454</v>
      </c>
      <c r="AX170" s="228">
        <v>246</v>
      </c>
      <c r="AY170" s="228">
        <v>209</v>
      </c>
      <c r="AZ170" s="229">
        <v>0.84950000000000003</v>
      </c>
      <c r="BA170" s="228">
        <v>17</v>
      </c>
      <c r="BB170" s="228">
        <v>14</v>
      </c>
      <c r="BC170" s="228">
        <v>3</v>
      </c>
      <c r="BD170" s="229">
        <v>0.2455</v>
      </c>
      <c r="BE170" s="228">
        <v>3</v>
      </c>
      <c r="BF170" s="228">
        <v>1</v>
      </c>
      <c r="BG170" s="228">
        <v>2</v>
      </c>
      <c r="BH170" s="229">
        <v>4</v>
      </c>
      <c r="BI170" s="230">
        <v>1051</v>
      </c>
      <c r="BJ170" s="228">
        <v>622</v>
      </c>
      <c r="BK170" s="228">
        <v>429</v>
      </c>
      <c r="BL170" s="229">
        <v>0.69079999999999997</v>
      </c>
      <c r="BM170" s="230">
        <v>1476</v>
      </c>
      <c r="BN170" s="230">
        <v>1504</v>
      </c>
      <c r="BO170" s="228">
        <v>-28</v>
      </c>
      <c r="BP170" s="229">
        <v>-1.8700000000000001E-2</v>
      </c>
      <c r="BQ170" s="230">
        <v>3001</v>
      </c>
      <c r="BR170" s="230">
        <v>2386</v>
      </c>
      <c r="BS170" s="228">
        <v>615</v>
      </c>
      <c r="BT170" s="229">
        <v>0.25790000000000002</v>
      </c>
      <c r="BU170" s="230">
        <v>187111</v>
      </c>
      <c r="BV170" s="230">
        <v>99989</v>
      </c>
      <c r="BW170" s="230">
        <v>87122</v>
      </c>
      <c r="BX170" s="229">
        <v>0.87129999999999996</v>
      </c>
      <c r="BY170" s="230">
        <v>1296</v>
      </c>
      <c r="BZ170" s="230">
        <v>1332</v>
      </c>
      <c r="CA170" s="228">
        <v>-36</v>
      </c>
      <c r="CB170" s="229">
        <v>-2.6800000000000001E-2</v>
      </c>
      <c r="CC170" s="230">
        <v>1259</v>
      </c>
      <c r="CD170" s="230">
        <v>1294</v>
      </c>
      <c r="CE170" s="228">
        <v>-35</v>
      </c>
      <c r="CF170" s="229">
        <v>-2.69E-2</v>
      </c>
      <c r="CG170" s="228">
        <v>33</v>
      </c>
      <c r="CH170" s="228">
        <v>35</v>
      </c>
      <c r="CI170" s="228">
        <v>-2</v>
      </c>
      <c r="CJ170" s="229">
        <v>-5.0700000000000002E-2</v>
      </c>
      <c r="CK170" s="228">
        <v>4</v>
      </c>
      <c r="CL170" s="228">
        <v>3</v>
      </c>
      <c r="CM170" s="228">
        <v>1</v>
      </c>
      <c r="CN170" s="229">
        <v>0.27500000000000002</v>
      </c>
      <c r="CO170" s="228">
        <v>822</v>
      </c>
      <c r="CP170" s="228">
        <v>762</v>
      </c>
      <c r="CQ170" s="228">
        <v>60</v>
      </c>
      <c r="CR170" s="229">
        <v>7.8700000000000006E-2</v>
      </c>
      <c r="CS170" s="228">
        <v>711</v>
      </c>
      <c r="CT170" s="228">
        <v>732</v>
      </c>
      <c r="CU170" s="228">
        <v>-21</v>
      </c>
      <c r="CV170" s="229">
        <v>-2.8500000000000001E-2</v>
      </c>
      <c r="CW170" s="230">
        <v>2830</v>
      </c>
      <c r="CX170" s="230">
        <v>2827</v>
      </c>
      <c r="CY170" s="228">
        <v>3</v>
      </c>
      <c r="CZ170" s="229">
        <v>1.1999999999999999E-3</v>
      </c>
      <c r="DA170" s="228">
        <v>48.4</v>
      </c>
      <c r="DB170" s="228">
        <v>55.54</v>
      </c>
      <c r="DC170" s="228">
        <v>-7.14</v>
      </c>
      <c r="DD170" s="228">
        <v>-7.14</v>
      </c>
      <c r="DE170" s="228">
        <v>56.56</v>
      </c>
      <c r="DF170" s="228">
        <v>56.59</v>
      </c>
      <c r="DG170" s="228">
        <v>-8.16</v>
      </c>
      <c r="DH170" s="228">
        <v>-0.03</v>
      </c>
      <c r="DI170" s="228">
        <v>42.7</v>
      </c>
      <c r="DJ170" s="228">
        <v>41.83</v>
      </c>
      <c r="DK170" s="228">
        <v>0.87</v>
      </c>
      <c r="DL170" s="228">
        <v>0.87</v>
      </c>
      <c r="DM170" s="228">
        <v>52.46</v>
      </c>
      <c r="DN170" s="228">
        <v>61.2</v>
      </c>
      <c r="DO170" s="228">
        <v>-8.74</v>
      </c>
      <c r="DP170" s="228">
        <v>-8.74</v>
      </c>
      <c r="DQ170" s="228">
        <v>0.86</v>
      </c>
      <c r="DR170" s="228">
        <v>0.96</v>
      </c>
      <c r="DS170" s="228">
        <v>-0.1</v>
      </c>
      <c r="DT170" s="229">
        <v>-0.1042</v>
      </c>
      <c r="DU170" s="231">
        <v>33000</v>
      </c>
      <c r="DV170" s="231">
        <v>30000</v>
      </c>
      <c r="DW170" s="228">
        <v>1.4</v>
      </c>
      <c r="DX170" s="228">
        <v>2.42</v>
      </c>
      <c r="DY170" s="228">
        <v>-1.02</v>
      </c>
      <c r="DZ170" s="229">
        <v>-0.42149999999999999</v>
      </c>
      <c r="EA170" s="229">
        <v>2.8799999999999999E-2</v>
      </c>
      <c r="EB170" s="230">
        <v>11350</v>
      </c>
      <c r="EC170" s="229">
        <v>3.3999999999999998E-3</v>
      </c>
      <c r="ED170" s="229">
        <v>2.8799999999999999E-2</v>
      </c>
      <c r="EE170" s="228">
        <v>138.44999999999999</v>
      </c>
      <c r="EF170" s="229">
        <v>4.1000000000000003E-3</v>
      </c>
      <c r="EG170" s="230">
        <v>70456</v>
      </c>
      <c r="EH170" s="230">
        <v>32272</v>
      </c>
      <c r="EI170" s="229">
        <v>1.1832</v>
      </c>
      <c r="EJ170" s="229">
        <v>0.3765</v>
      </c>
      <c r="EK170" s="231">
        <v>1125.32</v>
      </c>
      <c r="EL170" s="231">
        <v>1269.49</v>
      </c>
      <c r="EM170" s="228">
        <v>473.14</v>
      </c>
      <c r="EN170" s="228">
        <v>36.42</v>
      </c>
      <c r="EO170" s="231">
        <v>2867.95</v>
      </c>
      <c r="EP170" s="231">
        <v>2141.2199999999998</v>
      </c>
      <c r="EQ170" s="228">
        <v>726.72</v>
      </c>
      <c r="ER170" s="229">
        <v>0.33939999999999998</v>
      </c>
      <c r="ES170" s="228">
        <v>824.82</v>
      </c>
      <c r="ET170" s="228">
        <v>648.05999999999995</v>
      </c>
      <c r="EU170" s="231">
        <v>1296.58</v>
      </c>
      <c r="EV170" s="231">
        <v>1917916</v>
      </c>
      <c r="EW170" s="231">
        <v>2769.46</v>
      </c>
      <c r="EX170" s="231">
        <v>2787.15</v>
      </c>
      <c r="EY170" s="228">
        <v>-17.690000000000001</v>
      </c>
      <c r="EZ170" s="229">
        <v>-6.3E-3</v>
      </c>
      <c r="FA170" s="229">
        <v>0.43919999999999998</v>
      </c>
      <c r="FB170" s="227" t="s">
        <v>567</v>
      </c>
      <c r="FC170">
        <f t="shared" si="3"/>
        <v>0</v>
      </c>
    </row>
    <row r="171" spans="1:159" ht="17.25" thickBot="1" x14ac:dyDescent="0.3">
      <c r="A171" s="226">
        <v>46148</v>
      </c>
      <c r="B171" s="227" t="s">
        <v>184</v>
      </c>
      <c r="C171" s="227" t="s">
        <v>686</v>
      </c>
      <c r="D171" s="228">
        <v>575</v>
      </c>
      <c r="E171" s="228">
        <v>20</v>
      </c>
      <c r="F171" s="231">
        <v>1019.7</v>
      </c>
      <c r="G171" s="231">
        <v>1030.3</v>
      </c>
      <c r="H171" s="228">
        <v>-10.6</v>
      </c>
      <c r="I171" s="229">
        <v>-1.03E-2</v>
      </c>
      <c r="J171" s="231">
        <v>1033</v>
      </c>
      <c r="K171" s="231">
        <v>1042.9000000000001</v>
      </c>
      <c r="L171" s="228">
        <v>-9.9</v>
      </c>
      <c r="M171" s="229">
        <v>-9.4999999999999998E-3</v>
      </c>
      <c r="N171" s="231">
        <v>1019.7</v>
      </c>
      <c r="O171" s="231">
        <v>1030.3</v>
      </c>
      <c r="P171" s="228">
        <v>-10.6</v>
      </c>
      <c r="Q171" s="229">
        <v>-1.03E-2</v>
      </c>
      <c r="R171" s="231">
        <v>1007.6</v>
      </c>
      <c r="S171" s="231">
        <v>1020.2</v>
      </c>
      <c r="T171" s="228">
        <v>-12.6</v>
      </c>
      <c r="U171" s="229">
        <v>-1.24E-2</v>
      </c>
      <c r="V171" s="231">
        <v>1015</v>
      </c>
      <c r="W171" s="231">
        <v>1010.3</v>
      </c>
      <c r="X171" s="228">
        <v>4.7</v>
      </c>
      <c r="Y171" s="229">
        <v>4.7000000000000002E-3</v>
      </c>
      <c r="Z171" s="228">
        <v>-13.3</v>
      </c>
      <c r="AA171" s="228">
        <v>-12.6</v>
      </c>
      <c r="AB171" s="228">
        <v>-0.7</v>
      </c>
      <c r="AC171" s="229">
        <v>-1.29E-2</v>
      </c>
      <c r="AD171" s="228">
        <v>-13.3</v>
      </c>
      <c r="AE171" s="228">
        <v>-12.6</v>
      </c>
      <c r="AF171" s="228">
        <v>-0.7</v>
      </c>
      <c r="AG171" s="229">
        <v>-1.29E-2</v>
      </c>
      <c r="AH171" s="228">
        <v>-25.4</v>
      </c>
      <c r="AI171" s="228">
        <v>-22.7</v>
      </c>
      <c r="AJ171" s="228">
        <v>-2.7</v>
      </c>
      <c r="AK171" s="229">
        <v>-2.46E-2</v>
      </c>
      <c r="AL171" s="228">
        <v>-18</v>
      </c>
      <c r="AM171" s="228">
        <v>-32.6</v>
      </c>
      <c r="AN171" s="228">
        <v>14.6</v>
      </c>
      <c r="AO171" s="229">
        <v>-1.7399999999999999E-2</v>
      </c>
      <c r="AP171" s="231">
        <v>1024.04</v>
      </c>
      <c r="AQ171" s="231">
        <v>1008.95</v>
      </c>
      <c r="AR171" s="228">
        <v>0</v>
      </c>
      <c r="AS171" s="228">
        <v>138</v>
      </c>
      <c r="AT171" s="228">
        <v>132</v>
      </c>
      <c r="AU171" s="228">
        <v>7</v>
      </c>
      <c r="AV171" s="229">
        <v>5.21E-2</v>
      </c>
      <c r="AW171" s="228">
        <v>123</v>
      </c>
      <c r="AX171" s="228">
        <v>112</v>
      </c>
      <c r="AY171" s="228">
        <v>11</v>
      </c>
      <c r="AZ171" s="229">
        <v>9.9699999999999997E-2</v>
      </c>
      <c r="BA171" s="228">
        <v>15</v>
      </c>
      <c r="BB171" s="228">
        <v>20</v>
      </c>
      <c r="BC171" s="228">
        <v>-4</v>
      </c>
      <c r="BD171" s="229">
        <v>-0.21890000000000001</v>
      </c>
      <c r="BE171" s="228">
        <v>0</v>
      </c>
      <c r="BF171" s="228">
        <v>0</v>
      </c>
      <c r="BG171" s="228">
        <v>0</v>
      </c>
      <c r="BH171" s="229">
        <v>0</v>
      </c>
      <c r="BI171" s="228">
        <v>274</v>
      </c>
      <c r="BJ171" s="228">
        <v>366</v>
      </c>
      <c r="BK171" s="228">
        <v>-92</v>
      </c>
      <c r="BL171" s="229">
        <v>-0.25059999999999999</v>
      </c>
      <c r="BM171" s="228">
        <v>150</v>
      </c>
      <c r="BN171" s="228">
        <v>195</v>
      </c>
      <c r="BO171" s="228">
        <v>-45</v>
      </c>
      <c r="BP171" s="229">
        <v>-0.23050000000000001</v>
      </c>
      <c r="BQ171" s="228">
        <v>562</v>
      </c>
      <c r="BR171" s="228">
        <v>692</v>
      </c>
      <c r="BS171" s="228">
        <v>-130</v>
      </c>
      <c r="BT171" s="229">
        <v>-0.18740000000000001</v>
      </c>
      <c r="BU171" s="230">
        <v>1013513</v>
      </c>
      <c r="BV171" s="230">
        <v>1071705</v>
      </c>
      <c r="BW171" s="230">
        <v>-58192</v>
      </c>
      <c r="BX171" s="229">
        <v>-5.4300000000000001E-2</v>
      </c>
      <c r="BY171" s="230">
        <v>1111</v>
      </c>
      <c r="BZ171" s="230">
        <v>1092</v>
      </c>
      <c r="CA171" s="228">
        <v>19</v>
      </c>
      <c r="CB171" s="229">
        <v>1.7399999999999999E-2</v>
      </c>
      <c r="CC171" s="230">
        <v>1050</v>
      </c>
      <c r="CD171" s="230">
        <v>1042</v>
      </c>
      <c r="CE171" s="228">
        <v>8</v>
      </c>
      <c r="CF171" s="229">
        <v>8.0000000000000002E-3</v>
      </c>
      <c r="CG171" s="228">
        <v>61</v>
      </c>
      <c r="CH171" s="228">
        <v>50</v>
      </c>
      <c r="CI171" s="228">
        <v>11</v>
      </c>
      <c r="CJ171" s="229">
        <v>0.21099999999999999</v>
      </c>
      <c r="CK171" s="228">
        <v>0</v>
      </c>
      <c r="CL171" s="228">
        <v>0</v>
      </c>
      <c r="CM171" s="228">
        <v>0</v>
      </c>
      <c r="CN171" s="229">
        <v>0</v>
      </c>
      <c r="CO171" s="228">
        <v>232</v>
      </c>
      <c r="CP171" s="228">
        <v>205</v>
      </c>
      <c r="CQ171" s="228">
        <v>27</v>
      </c>
      <c r="CR171" s="229">
        <v>0.13089999999999999</v>
      </c>
      <c r="CS171" s="228">
        <v>208</v>
      </c>
      <c r="CT171" s="228">
        <v>197</v>
      </c>
      <c r="CU171" s="228">
        <v>11</v>
      </c>
      <c r="CV171" s="229">
        <v>5.4199999999999998E-2</v>
      </c>
      <c r="CW171" s="230">
        <v>1551</v>
      </c>
      <c r="CX171" s="230">
        <v>1495</v>
      </c>
      <c r="CY171" s="228">
        <v>57</v>
      </c>
      <c r="CZ171" s="229">
        <v>3.78E-2</v>
      </c>
      <c r="DA171" s="228">
        <v>38.57</v>
      </c>
      <c r="DB171" s="228">
        <v>39.020000000000003</v>
      </c>
      <c r="DC171" s="228">
        <v>-0.45</v>
      </c>
      <c r="DD171" s="228">
        <v>-0.45</v>
      </c>
      <c r="DE171" s="228">
        <v>47.84</v>
      </c>
      <c r="DF171" s="228">
        <v>47.94</v>
      </c>
      <c r="DG171" s="228">
        <v>-9.27</v>
      </c>
      <c r="DH171" s="228">
        <v>-0.1</v>
      </c>
      <c r="DI171" s="228">
        <v>38.97</v>
      </c>
      <c r="DJ171" s="228">
        <v>38.75</v>
      </c>
      <c r="DK171" s="228">
        <v>0.22</v>
      </c>
      <c r="DL171" s="228">
        <v>0.22</v>
      </c>
      <c r="DM171" s="228">
        <v>37.85</v>
      </c>
      <c r="DN171" s="228">
        <v>39.520000000000003</v>
      </c>
      <c r="DO171" s="228">
        <v>-1.67</v>
      </c>
      <c r="DP171" s="228">
        <v>-1.67</v>
      </c>
      <c r="DQ171" s="228">
        <v>0.89</v>
      </c>
      <c r="DR171" s="228">
        <v>0.96</v>
      </c>
      <c r="DS171" s="228">
        <v>-7.0000000000000007E-2</v>
      </c>
      <c r="DT171" s="229">
        <v>-7.2900000000000006E-2</v>
      </c>
      <c r="DU171" s="231">
        <v>1060</v>
      </c>
      <c r="DV171" s="231">
        <v>1000</v>
      </c>
      <c r="DW171" s="228">
        <v>0.55000000000000004</v>
      </c>
      <c r="DX171" s="228">
        <v>0.53</v>
      </c>
      <c r="DY171" s="228">
        <v>0.02</v>
      </c>
      <c r="DZ171" s="229">
        <v>3.7699999999999997E-2</v>
      </c>
      <c r="EA171" s="229">
        <v>5.5E-2</v>
      </c>
      <c r="EB171" s="230">
        <v>495300</v>
      </c>
      <c r="EC171" s="229">
        <v>-1.1900000000000001E-2</v>
      </c>
      <c r="ED171" s="229">
        <v>5.5E-2</v>
      </c>
      <c r="EE171" s="228">
        <v>-15.09</v>
      </c>
      <c r="EF171" s="229">
        <v>-1.47E-2</v>
      </c>
      <c r="EG171" s="230">
        <v>419385</v>
      </c>
      <c r="EH171" s="230">
        <v>449638</v>
      </c>
      <c r="EI171" s="229">
        <v>-6.7299999999999999E-2</v>
      </c>
      <c r="EJ171" s="229">
        <v>0.4138</v>
      </c>
      <c r="EK171" s="228">
        <v>291.18</v>
      </c>
      <c r="EL171" s="228">
        <v>147.63999999999999</v>
      </c>
      <c r="EM171" s="228">
        <v>138.80000000000001</v>
      </c>
      <c r="EN171" s="228">
        <v>30.05</v>
      </c>
      <c r="EO171" s="228">
        <v>577.62</v>
      </c>
      <c r="EP171" s="228">
        <v>715.47</v>
      </c>
      <c r="EQ171" s="228">
        <v>-137.85</v>
      </c>
      <c r="ER171" s="229">
        <v>-0.19270000000000001</v>
      </c>
      <c r="ES171" s="228">
        <v>240.55</v>
      </c>
      <c r="ET171" s="228">
        <v>199.83</v>
      </c>
      <c r="EU171" s="231">
        <v>1110.6199999999999</v>
      </c>
      <c r="EV171" s="231">
        <v>23961540</v>
      </c>
      <c r="EW171" s="231">
        <v>1551</v>
      </c>
      <c r="EX171" s="231">
        <v>1503.73</v>
      </c>
      <c r="EY171" s="228">
        <v>47.27</v>
      </c>
      <c r="EZ171" s="229">
        <v>3.1399999999999997E-2</v>
      </c>
      <c r="FA171" s="229">
        <v>0.63480000000000003</v>
      </c>
      <c r="FB171" s="227" t="s">
        <v>566</v>
      </c>
      <c r="FC171">
        <f t="shared" si="3"/>
        <v>0</v>
      </c>
    </row>
    <row r="172" spans="1:159" ht="17.25" thickBot="1" x14ac:dyDescent="0.3">
      <c r="A172" s="226">
        <v>46148</v>
      </c>
      <c r="B172" s="227" t="s">
        <v>206</v>
      </c>
      <c r="C172" s="227" t="s">
        <v>604</v>
      </c>
      <c r="D172" s="228">
        <v>450</v>
      </c>
      <c r="E172" s="228">
        <v>20</v>
      </c>
      <c r="F172" s="231">
        <v>1464.9</v>
      </c>
      <c r="G172" s="231">
        <v>1440.2</v>
      </c>
      <c r="H172" s="228">
        <v>24.7</v>
      </c>
      <c r="I172" s="229">
        <v>1.72E-2</v>
      </c>
      <c r="J172" s="231">
        <v>1455.2</v>
      </c>
      <c r="K172" s="231">
        <v>1432.2</v>
      </c>
      <c r="L172" s="228">
        <v>23</v>
      </c>
      <c r="M172" s="229">
        <v>1.61E-2</v>
      </c>
      <c r="N172" s="231">
        <v>1464.9</v>
      </c>
      <c r="O172" s="231">
        <v>1440.2</v>
      </c>
      <c r="P172" s="228">
        <v>24.7</v>
      </c>
      <c r="Q172" s="229">
        <v>1.72E-2</v>
      </c>
      <c r="R172" s="231">
        <v>1473.9</v>
      </c>
      <c r="S172" s="231">
        <v>1447</v>
      </c>
      <c r="T172" s="228">
        <v>26.9</v>
      </c>
      <c r="U172" s="229">
        <v>1.8599999999999998E-2</v>
      </c>
      <c r="V172" s="231">
        <v>1435</v>
      </c>
      <c r="W172" s="231">
        <v>1435</v>
      </c>
      <c r="X172" s="228">
        <v>0</v>
      </c>
      <c r="Y172" s="229">
        <v>0</v>
      </c>
      <c r="Z172" s="228">
        <v>9.6999999999999993</v>
      </c>
      <c r="AA172" s="228">
        <v>8</v>
      </c>
      <c r="AB172" s="228">
        <v>1.7</v>
      </c>
      <c r="AC172" s="229">
        <v>6.7000000000000002E-3</v>
      </c>
      <c r="AD172" s="228">
        <v>9.6999999999999993</v>
      </c>
      <c r="AE172" s="228">
        <v>8</v>
      </c>
      <c r="AF172" s="228">
        <v>1.7</v>
      </c>
      <c r="AG172" s="229">
        <v>6.7000000000000002E-3</v>
      </c>
      <c r="AH172" s="228">
        <v>18.7</v>
      </c>
      <c r="AI172" s="228">
        <v>14.8</v>
      </c>
      <c r="AJ172" s="228">
        <v>3.9</v>
      </c>
      <c r="AK172" s="229">
        <v>1.29E-2</v>
      </c>
      <c r="AL172" s="228">
        <v>-20.2</v>
      </c>
      <c r="AM172" s="228">
        <v>2.8</v>
      </c>
      <c r="AN172" s="228">
        <v>-23</v>
      </c>
      <c r="AO172" s="229">
        <v>-1.3899999999999999E-2</v>
      </c>
      <c r="AP172" s="231">
        <v>1457.65</v>
      </c>
      <c r="AQ172" s="231">
        <v>1468.99</v>
      </c>
      <c r="AR172" s="228">
        <v>0</v>
      </c>
      <c r="AS172" s="228">
        <v>98</v>
      </c>
      <c r="AT172" s="228">
        <v>115</v>
      </c>
      <c r="AU172" s="228">
        <v>-17</v>
      </c>
      <c r="AV172" s="229">
        <v>-0.1449</v>
      </c>
      <c r="AW172" s="228">
        <v>97</v>
      </c>
      <c r="AX172" s="228">
        <v>112</v>
      </c>
      <c r="AY172" s="228">
        <v>-16</v>
      </c>
      <c r="AZ172" s="229">
        <v>-0.13919999999999999</v>
      </c>
      <c r="BA172" s="228">
        <v>1</v>
      </c>
      <c r="BB172" s="228">
        <v>2</v>
      </c>
      <c r="BC172" s="228">
        <v>-1</v>
      </c>
      <c r="BD172" s="229">
        <v>-0.40539999999999998</v>
      </c>
      <c r="BE172" s="228">
        <v>0</v>
      </c>
      <c r="BF172" s="228">
        <v>0</v>
      </c>
      <c r="BG172" s="228">
        <v>0</v>
      </c>
      <c r="BH172" s="229">
        <v>0</v>
      </c>
      <c r="BI172" s="228">
        <v>113</v>
      </c>
      <c r="BJ172" s="228">
        <v>124</v>
      </c>
      <c r="BK172" s="228">
        <v>-12</v>
      </c>
      <c r="BL172" s="229">
        <v>-9.3899999999999997E-2</v>
      </c>
      <c r="BM172" s="228">
        <v>28</v>
      </c>
      <c r="BN172" s="228">
        <v>61</v>
      </c>
      <c r="BO172" s="228">
        <v>-33</v>
      </c>
      <c r="BP172" s="229">
        <v>-0.54310000000000003</v>
      </c>
      <c r="BQ172" s="228">
        <v>239</v>
      </c>
      <c r="BR172" s="228">
        <v>300</v>
      </c>
      <c r="BS172" s="228">
        <v>-62</v>
      </c>
      <c r="BT172" s="229">
        <v>-0.20499999999999999</v>
      </c>
      <c r="BU172" s="230">
        <v>714376</v>
      </c>
      <c r="BV172" s="230">
        <v>338830</v>
      </c>
      <c r="BW172" s="230">
        <v>375546</v>
      </c>
      <c r="BX172" s="229">
        <v>1.1084000000000001</v>
      </c>
      <c r="BY172" s="228">
        <v>866</v>
      </c>
      <c r="BZ172" s="228">
        <v>863</v>
      </c>
      <c r="CA172" s="228">
        <v>3</v>
      </c>
      <c r="CB172" s="229">
        <v>3.3999999999999998E-3</v>
      </c>
      <c r="CC172" s="228">
        <v>830</v>
      </c>
      <c r="CD172" s="228">
        <v>827</v>
      </c>
      <c r="CE172" s="228">
        <v>3</v>
      </c>
      <c r="CF172" s="229">
        <v>3.7000000000000002E-3</v>
      </c>
      <c r="CG172" s="228">
        <v>36</v>
      </c>
      <c r="CH172" s="228">
        <v>36</v>
      </c>
      <c r="CI172" s="228">
        <v>0</v>
      </c>
      <c r="CJ172" s="229">
        <v>-1.8E-3</v>
      </c>
      <c r="CK172" s="228">
        <v>0</v>
      </c>
      <c r="CL172" s="228">
        <v>0</v>
      </c>
      <c r="CM172" s="228">
        <v>0</v>
      </c>
      <c r="CN172" s="229">
        <v>0</v>
      </c>
      <c r="CO172" s="228">
        <v>156</v>
      </c>
      <c r="CP172" s="228">
        <v>146</v>
      </c>
      <c r="CQ172" s="228">
        <v>9</v>
      </c>
      <c r="CR172" s="229">
        <v>6.4000000000000001E-2</v>
      </c>
      <c r="CS172" s="228">
        <v>116</v>
      </c>
      <c r="CT172" s="228">
        <v>119</v>
      </c>
      <c r="CU172" s="228">
        <v>-3</v>
      </c>
      <c r="CV172" s="229">
        <v>-2.4500000000000001E-2</v>
      </c>
      <c r="CW172" s="230">
        <v>1138</v>
      </c>
      <c r="CX172" s="230">
        <v>1128</v>
      </c>
      <c r="CY172" s="228">
        <v>9</v>
      </c>
      <c r="CZ172" s="229">
        <v>8.3999999999999995E-3</v>
      </c>
      <c r="DA172" s="228">
        <v>34.29</v>
      </c>
      <c r="DB172" s="228">
        <v>35.880000000000003</v>
      </c>
      <c r="DC172" s="228">
        <v>-1.59</v>
      </c>
      <c r="DD172" s="228">
        <v>-1.59</v>
      </c>
      <c r="DE172" s="228">
        <v>44.18</v>
      </c>
      <c r="DF172" s="228">
        <v>44.23</v>
      </c>
      <c r="DG172" s="228">
        <v>-9.89</v>
      </c>
      <c r="DH172" s="228">
        <v>-0.05</v>
      </c>
      <c r="DI172" s="228">
        <v>33.46</v>
      </c>
      <c r="DJ172" s="228">
        <v>34.909999999999997</v>
      </c>
      <c r="DK172" s="228">
        <v>-1.45</v>
      </c>
      <c r="DL172" s="228">
        <v>-1.45</v>
      </c>
      <c r="DM172" s="228">
        <v>37.630000000000003</v>
      </c>
      <c r="DN172" s="228">
        <v>37.85</v>
      </c>
      <c r="DO172" s="228">
        <v>-0.22</v>
      </c>
      <c r="DP172" s="228">
        <v>-0.22</v>
      </c>
      <c r="DQ172" s="228">
        <v>0.74</v>
      </c>
      <c r="DR172" s="228">
        <v>0.81</v>
      </c>
      <c r="DS172" s="228">
        <v>-7.0000000000000007E-2</v>
      </c>
      <c r="DT172" s="229">
        <v>-8.6400000000000005E-2</v>
      </c>
      <c r="DU172" s="231">
        <v>1600</v>
      </c>
      <c r="DV172" s="231">
        <v>1400</v>
      </c>
      <c r="DW172" s="228">
        <v>0.25</v>
      </c>
      <c r="DX172" s="228">
        <v>0.49</v>
      </c>
      <c r="DY172" s="228">
        <v>-0.24</v>
      </c>
      <c r="DZ172" s="229">
        <v>-0.48980000000000001</v>
      </c>
      <c r="EA172" s="229">
        <v>4.1500000000000002E-2</v>
      </c>
      <c r="EB172" s="230">
        <v>246150</v>
      </c>
      <c r="EC172" s="229">
        <v>6.1000000000000004E-3</v>
      </c>
      <c r="ED172" s="229">
        <v>4.1500000000000002E-2</v>
      </c>
      <c r="EE172" s="228">
        <v>11.34</v>
      </c>
      <c r="EF172" s="229">
        <v>7.7999999999999996E-3</v>
      </c>
      <c r="EG172" s="230">
        <v>408424</v>
      </c>
      <c r="EH172" s="230">
        <v>114543</v>
      </c>
      <c r="EI172" s="229">
        <v>2.5657000000000001</v>
      </c>
      <c r="EJ172" s="229">
        <v>0.57169999999999999</v>
      </c>
      <c r="EK172" s="228">
        <v>119.18</v>
      </c>
      <c r="EL172" s="228">
        <v>27.08</v>
      </c>
      <c r="EM172" s="228">
        <v>97.55</v>
      </c>
      <c r="EN172" s="228">
        <v>15.39</v>
      </c>
      <c r="EO172" s="228">
        <v>243.8</v>
      </c>
      <c r="EP172" s="228">
        <v>305.39999999999998</v>
      </c>
      <c r="EQ172" s="228">
        <v>-61.6</v>
      </c>
      <c r="ER172" s="229">
        <v>-0.20169999999999999</v>
      </c>
      <c r="ES172" s="228">
        <v>159.93</v>
      </c>
      <c r="ET172" s="228">
        <v>107.79</v>
      </c>
      <c r="EU172" s="228">
        <v>866.68</v>
      </c>
      <c r="EV172" s="231">
        <v>25234534</v>
      </c>
      <c r="EW172" s="231">
        <v>1134.4000000000001</v>
      </c>
      <c r="EX172" s="231">
        <v>1109.1500000000001</v>
      </c>
      <c r="EY172" s="228">
        <v>25.25</v>
      </c>
      <c r="EZ172" s="229">
        <v>2.2800000000000001E-2</v>
      </c>
      <c r="FA172" s="229">
        <v>0.30780000000000002</v>
      </c>
      <c r="FB172" s="227" t="s">
        <v>555</v>
      </c>
      <c r="FC172">
        <f t="shared" si="3"/>
        <v>0</v>
      </c>
    </row>
    <row r="173" spans="1:159" ht="17.25" thickBot="1" x14ac:dyDescent="0.3">
      <c r="A173" s="226">
        <v>46148</v>
      </c>
      <c r="B173" s="227" t="s">
        <v>172</v>
      </c>
      <c r="C173" s="227" t="s">
        <v>279</v>
      </c>
      <c r="D173" s="228">
        <v>3175</v>
      </c>
      <c r="E173" s="228">
        <v>20</v>
      </c>
      <c r="F173" s="228">
        <v>338.15</v>
      </c>
      <c r="G173" s="228">
        <v>333.7</v>
      </c>
      <c r="H173" s="228">
        <v>4.45</v>
      </c>
      <c r="I173" s="229">
        <v>1.3299999999999999E-2</v>
      </c>
      <c r="J173" s="228">
        <v>335.85</v>
      </c>
      <c r="K173" s="228">
        <v>332.95</v>
      </c>
      <c r="L173" s="228">
        <v>2.9</v>
      </c>
      <c r="M173" s="229">
        <v>8.6999999999999994E-3</v>
      </c>
      <c r="N173" s="228">
        <v>338.15</v>
      </c>
      <c r="O173" s="228">
        <v>333.7</v>
      </c>
      <c r="P173" s="228">
        <v>4.45</v>
      </c>
      <c r="Q173" s="229">
        <v>1.3299999999999999E-2</v>
      </c>
      <c r="R173" s="228">
        <v>340.6</v>
      </c>
      <c r="S173" s="228">
        <v>335.75</v>
      </c>
      <c r="T173" s="228">
        <v>4.8499999999999996</v>
      </c>
      <c r="U173" s="229">
        <v>1.44E-2</v>
      </c>
      <c r="V173" s="228">
        <v>338.5</v>
      </c>
      <c r="W173" s="228">
        <v>341.75</v>
      </c>
      <c r="X173" s="228">
        <v>-3.25</v>
      </c>
      <c r="Y173" s="229">
        <v>-9.4999999999999998E-3</v>
      </c>
      <c r="Z173" s="228">
        <v>2.2999999999999998</v>
      </c>
      <c r="AA173" s="228">
        <v>0.75</v>
      </c>
      <c r="AB173" s="228">
        <v>1.55</v>
      </c>
      <c r="AC173" s="229">
        <v>6.7999999999999996E-3</v>
      </c>
      <c r="AD173" s="228">
        <v>2.2999999999999998</v>
      </c>
      <c r="AE173" s="228">
        <v>0.75</v>
      </c>
      <c r="AF173" s="228">
        <v>1.55</v>
      </c>
      <c r="AG173" s="229">
        <v>6.7999999999999996E-3</v>
      </c>
      <c r="AH173" s="228">
        <v>4.75</v>
      </c>
      <c r="AI173" s="228">
        <v>2.8</v>
      </c>
      <c r="AJ173" s="228">
        <v>1.95</v>
      </c>
      <c r="AK173" s="229">
        <v>1.41E-2</v>
      </c>
      <c r="AL173" s="228">
        <v>2.65</v>
      </c>
      <c r="AM173" s="228">
        <v>8.8000000000000007</v>
      </c>
      <c r="AN173" s="228">
        <v>-6.15</v>
      </c>
      <c r="AO173" s="229">
        <v>7.9000000000000008E-3</v>
      </c>
      <c r="AP173" s="228">
        <v>338.64</v>
      </c>
      <c r="AQ173" s="228">
        <v>340.19</v>
      </c>
      <c r="AR173" s="228">
        <v>0</v>
      </c>
      <c r="AS173" s="228">
        <v>520</v>
      </c>
      <c r="AT173" s="228">
        <v>262</v>
      </c>
      <c r="AU173" s="228">
        <v>258</v>
      </c>
      <c r="AV173" s="229">
        <v>0.98480000000000001</v>
      </c>
      <c r="AW173" s="228">
        <v>510</v>
      </c>
      <c r="AX173" s="228">
        <v>255</v>
      </c>
      <c r="AY173" s="228">
        <v>255</v>
      </c>
      <c r="AZ173" s="229">
        <v>0.99709999999999999</v>
      </c>
      <c r="BA173" s="228">
        <v>10</v>
      </c>
      <c r="BB173" s="228">
        <v>7</v>
      </c>
      <c r="BC173" s="228">
        <v>3</v>
      </c>
      <c r="BD173" s="229">
        <v>0.4677</v>
      </c>
      <c r="BE173" s="228">
        <v>0</v>
      </c>
      <c r="BF173" s="228">
        <v>0</v>
      </c>
      <c r="BG173" s="228">
        <v>0</v>
      </c>
      <c r="BH173" s="229">
        <v>0</v>
      </c>
      <c r="BI173" s="230">
        <v>1282</v>
      </c>
      <c r="BJ173" s="228">
        <v>728</v>
      </c>
      <c r="BK173" s="228">
        <v>554</v>
      </c>
      <c r="BL173" s="229">
        <v>0.76190000000000002</v>
      </c>
      <c r="BM173" s="228">
        <v>514</v>
      </c>
      <c r="BN173" s="228">
        <v>348</v>
      </c>
      <c r="BO173" s="228">
        <v>166</v>
      </c>
      <c r="BP173" s="229">
        <v>0.4763</v>
      </c>
      <c r="BQ173" s="230">
        <v>2316</v>
      </c>
      <c r="BR173" s="230">
        <v>1338</v>
      </c>
      <c r="BS173" s="228">
        <v>978</v>
      </c>
      <c r="BT173" s="229">
        <v>0.73119999999999996</v>
      </c>
      <c r="BU173" s="230">
        <v>5060174</v>
      </c>
      <c r="BV173" s="230">
        <v>4520142</v>
      </c>
      <c r="BW173" s="230">
        <v>540032</v>
      </c>
      <c r="BX173" s="229">
        <v>0.1195</v>
      </c>
      <c r="BY173" s="230">
        <v>2259</v>
      </c>
      <c r="BZ173" s="230">
        <v>2230</v>
      </c>
      <c r="CA173" s="228">
        <v>29</v>
      </c>
      <c r="CB173" s="229">
        <v>1.2999999999999999E-2</v>
      </c>
      <c r="CC173" s="230">
        <v>2241</v>
      </c>
      <c r="CD173" s="230">
        <v>2212</v>
      </c>
      <c r="CE173" s="228">
        <v>29</v>
      </c>
      <c r="CF173" s="229">
        <v>1.2999999999999999E-2</v>
      </c>
      <c r="CG173" s="228">
        <v>18</v>
      </c>
      <c r="CH173" s="228">
        <v>18</v>
      </c>
      <c r="CI173" s="228">
        <v>0</v>
      </c>
      <c r="CJ173" s="229">
        <v>0</v>
      </c>
      <c r="CK173" s="228">
        <v>1</v>
      </c>
      <c r="CL173" s="228">
        <v>0</v>
      </c>
      <c r="CM173" s="228">
        <v>0</v>
      </c>
      <c r="CN173" s="229">
        <v>0.5</v>
      </c>
      <c r="CO173" s="228">
        <v>674</v>
      </c>
      <c r="CP173" s="228">
        <v>664</v>
      </c>
      <c r="CQ173" s="228">
        <v>10</v>
      </c>
      <c r="CR173" s="229">
        <v>1.49E-2</v>
      </c>
      <c r="CS173" s="228">
        <v>510</v>
      </c>
      <c r="CT173" s="228">
        <v>488</v>
      </c>
      <c r="CU173" s="228">
        <v>23</v>
      </c>
      <c r="CV173" s="229">
        <v>4.65E-2</v>
      </c>
      <c r="CW173" s="230">
        <v>3443</v>
      </c>
      <c r="CX173" s="230">
        <v>3382</v>
      </c>
      <c r="CY173" s="228">
        <v>62</v>
      </c>
      <c r="CZ173" s="229">
        <v>1.8200000000000001E-2</v>
      </c>
      <c r="DA173" s="228">
        <v>33.770000000000003</v>
      </c>
      <c r="DB173" s="228">
        <v>34.65</v>
      </c>
      <c r="DC173" s="228">
        <v>-0.88</v>
      </c>
      <c r="DD173" s="228">
        <v>-0.88</v>
      </c>
      <c r="DE173" s="228">
        <v>43.41</v>
      </c>
      <c r="DF173" s="228">
        <v>43.5</v>
      </c>
      <c r="DG173" s="228">
        <v>-9.64</v>
      </c>
      <c r="DH173" s="228">
        <v>-0.09</v>
      </c>
      <c r="DI173" s="228">
        <v>33.82</v>
      </c>
      <c r="DJ173" s="228">
        <v>34.33</v>
      </c>
      <c r="DK173" s="228">
        <v>-0.51</v>
      </c>
      <c r="DL173" s="228">
        <v>-0.51</v>
      </c>
      <c r="DM173" s="228">
        <v>33.65</v>
      </c>
      <c r="DN173" s="228">
        <v>35.32</v>
      </c>
      <c r="DO173" s="228">
        <v>-1.67</v>
      </c>
      <c r="DP173" s="228">
        <v>-1.67</v>
      </c>
      <c r="DQ173" s="228">
        <v>0.76</v>
      </c>
      <c r="DR173" s="228">
        <v>0.73</v>
      </c>
      <c r="DS173" s="228">
        <v>0.03</v>
      </c>
      <c r="DT173" s="229">
        <v>4.1099999999999998E-2</v>
      </c>
      <c r="DU173" s="228">
        <v>350</v>
      </c>
      <c r="DV173" s="228">
        <v>300</v>
      </c>
      <c r="DW173" s="228">
        <v>0.4</v>
      </c>
      <c r="DX173" s="228">
        <v>0.48</v>
      </c>
      <c r="DY173" s="228">
        <v>-0.08</v>
      </c>
      <c r="DZ173" s="229">
        <v>-0.16669999999999999</v>
      </c>
      <c r="EA173" s="229">
        <v>8.2000000000000007E-3</v>
      </c>
      <c r="EB173" s="230">
        <v>542925</v>
      </c>
      <c r="EC173" s="229">
        <v>7.1999999999999998E-3</v>
      </c>
      <c r="ED173" s="229">
        <v>8.2000000000000007E-3</v>
      </c>
      <c r="EE173" s="228">
        <v>1.55</v>
      </c>
      <c r="EF173" s="229">
        <v>4.5999999999999999E-3</v>
      </c>
      <c r="EG173" s="230">
        <v>1409180</v>
      </c>
      <c r="EH173" s="230">
        <v>1793753</v>
      </c>
      <c r="EI173" s="229">
        <v>-0.21440000000000001</v>
      </c>
      <c r="EJ173" s="229">
        <v>0.27850000000000003</v>
      </c>
      <c r="EK173" s="231">
        <v>1350.67</v>
      </c>
      <c r="EL173" s="228">
        <v>509.77</v>
      </c>
      <c r="EM173" s="228">
        <v>520.75</v>
      </c>
      <c r="EN173" s="228">
        <v>59.94</v>
      </c>
      <c r="EO173" s="231">
        <v>2381.19</v>
      </c>
      <c r="EP173" s="231">
        <v>1354.55</v>
      </c>
      <c r="EQ173" s="231">
        <v>1026.6400000000001</v>
      </c>
      <c r="ER173" s="229">
        <v>0.75790000000000002</v>
      </c>
      <c r="ES173" s="228">
        <v>686.93</v>
      </c>
      <c r="ET173" s="228">
        <v>474.77</v>
      </c>
      <c r="EU173" s="231">
        <v>2259.58</v>
      </c>
      <c r="EV173" s="231">
        <v>92573471</v>
      </c>
      <c r="EW173" s="231">
        <v>3421.28</v>
      </c>
      <c r="EX173" s="231">
        <v>3329.86</v>
      </c>
      <c r="EY173" s="228">
        <v>91.42</v>
      </c>
      <c r="EZ173" s="229">
        <v>2.75E-2</v>
      </c>
      <c r="FA173" s="229">
        <v>1.1000000000000001</v>
      </c>
      <c r="FB173" s="227" t="s">
        <v>555</v>
      </c>
      <c r="FC173">
        <f t="shared" si="3"/>
        <v>0</v>
      </c>
    </row>
    <row r="174" spans="1:159" ht="17.25" thickBot="1" x14ac:dyDescent="0.3">
      <c r="A174" s="226">
        <v>46148</v>
      </c>
      <c r="B174" s="227" t="s">
        <v>175</v>
      </c>
      <c r="C174" s="227" t="s">
        <v>280</v>
      </c>
      <c r="D174" s="228">
        <v>1400</v>
      </c>
      <c r="E174" s="228">
        <v>20</v>
      </c>
      <c r="F174" s="228">
        <v>361.45</v>
      </c>
      <c r="G174" s="228">
        <v>358.6</v>
      </c>
      <c r="H174" s="228">
        <v>2.85</v>
      </c>
      <c r="I174" s="229">
        <v>7.9000000000000008E-3</v>
      </c>
      <c r="J174" s="228">
        <v>359.1</v>
      </c>
      <c r="K174" s="228">
        <v>356.4</v>
      </c>
      <c r="L174" s="228">
        <v>2.7</v>
      </c>
      <c r="M174" s="229">
        <v>7.6E-3</v>
      </c>
      <c r="N174" s="228">
        <v>361.45</v>
      </c>
      <c r="O174" s="228">
        <v>358.6</v>
      </c>
      <c r="P174" s="228">
        <v>2.85</v>
      </c>
      <c r="Q174" s="229">
        <v>7.9000000000000008E-3</v>
      </c>
      <c r="R174" s="228">
        <v>363.45</v>
      </c>
      <c r="S174" s="228">
        <v>360.2</v>
      </c>
      <c r="T174" s="228">
        <v>3.25</v>
      </c>
      <c r="U174" s="229">
        <v>8.9999999999999993E-3</v>
      </c>
      <c r="V174" s="228">
        <v>365.1</v>
      </c>
      <c r="W174" s="228">
        <v>363</v>
      </c>
      <c r="X174" s="228">
        <v>2.1</v>
      </c>
      <c r="Y174" s="229">
        <v>5.7999999999999996E-3</v>
      </c>
      <c r="Z174" s="228">
        <v>2.35</v>
      </c>
      <c r="AA174" s="228">
        <v>2.2000000000000002</v>
      </c>
      <c r="AB174" s="228">
        <v>0.15</v>
      </c>
      <c r="AC174" s="229">
        <v>6.4999999999999997E-3</v>
      </c>
      <c r="AD174" s="228">
        <v>2.35</v>
      </c>
      <c r="AE174" s="228">
        <v>2.2000000000000002</v>
      </c>
      <c r="AF174" s="228">
        <v>0.15</v>
      </c>
      <c r="AG174" s="229">
        <v>6.4999999999999997E-3</v>
      </c>
      <c r="AH174" s="228">
        <v>4.3499999999999996</v>
      </c>
      <c r="AI174" s="228">
        <v>3.8</v>
      </c>
      <c r="AJ174" s="228">
        <v>0.55000000000000004</v>
      </c>
      <c r="AK174" s="229">
        <v>1.21E-2</v>
      </c>
      <c r="AL174" s="228">
        <v>6</v>
      </c>
      <c r="AM174" s="228">
        <v>6.6</v>
      </c>
      <c r="AN174" s="228">
        <v>-0.6</v>
      </c>
      <c r="AO174" s="229">
        <v>1.67E-2</v>
      </c>
      <c r="AP174" s="228">
        <v>358.14</v>
      </c>
      <c r="AQ174" s="228">
        <v>359.3</v>
      </c>
      <c r="AR174" s="228">
        <v>0</v>
      </c>
      <c r="AS174" s="228">
        <v>306</v>
      </c>
      <c r="AT174" s="228">
        <v>239</v>
      </c>
      <c r="AU174" s="228">
        <v>67</v>
      </c>
      <c r="AV174" s="229">
        <v>0.28079999999999999</v>
      </c>
      <c r="AW174" s="228">
        <v>274</v>
      </c>
      <c r="AX174" s="228">
        <v>223</v>
      </c>
      <c r="AY174" s="228">
        <v>51</v>
      </c>
      <c r="AZ174" s="229">
        <v>0.23050000000000001</v>
      </c>
      <c r="BA174" s="228">
        <v>28</v>
      </c>
      <c r="BB174" s="228">
        <v>15</v>
      </c>
      <c r="BC174" s="228">
        <v>14</v>
      </c>
      <c r="BD174" s="229">
        <v>0.94099999999999995</v>
      </c>
      <c r="BE174" s="228">
        <v>4</v>
      </c>
      <c r="BF174" s="228">
        <v>2</v>
      </c>
      <c r="BG174" s="228">
        <v>2</v>
      </c>
      <c r="BH174" s="229">
        <v>1.2903</v>
      </c>
      <c r="BI174" s="228">
        <v>903</v>
      </c>
      <c r="BJ174" s="228">
        <v>889</v>
      </c>
      <c r="BK174" s="228">
        <v>14</v>
      </c>
      <c r="BL174" s="229">
        <v>1.5699999999999999E-2</v>
      </c>
      <c r="BM174" s="228">
        <v>441</v>
      </c>
      <c r="BN174" s="228">
        <v>329</v>
      </c>
      <c r="BO174" s="228">
        <v>113</v>
      </c>
      <c r="BP174" s="229">
        <v>0.34329999999999999</v>
      </c>
      <c r="BQ174" s="230">
        <v>1651</v>
      </c>
      <c r="BR174" s="230">
        <v>1457</v>
      </c>
      <c r="BS174" s="228">
        <v>194</v>
      </c>
      <c r="BT174" s="229">
        <v>0.1331</v>
      </c>
      <c r="BU174" s="230">
        <v>10340398</v>
      </c>
      <c r="BV174" s="230">
        <v>7420560</v>
      </c>
      <c r="BW174" s="230">
        <v>2919838</v>
      </c>
      <c r="BX174" s="229">
        <v>0.39350000000000002</v>
      </c>
      <c r="BY174" s="230">
        <v>2457</v>
      </c>
      <c r="BZ174" s="230">
        <v>2424</v>
      </c>
      <c r="CA174" s="228">
        <v>33</v>
      </c>
      <c r="CB174" s="229">
        <v>1.38E-2</v>
      </c>
      <c r="CC174" s="230">
        <v>2306</v>
      </c>
      <c r="CD174" s="230">
        <v>2283</v>
      </c>
      <c r="CE174" s="228">
        <v>23</v>
      </c>
      <c r="CF174" s="229">
        <v>0.01</v>
      </c>
      <c r="CG174" s="228">
        <v>143</v>
      </c>
      <c r="CH174" s="228">
        <v>134</v>
      </c>
      <c r="CI174" s="228">
        <v>9</v>
      </c>
      <c r="CJ174" s="229">
        <v>6.4100000000000004E-2</v>
      </c>
      <c r="CK174" s="228">
        <v>9</v>
      </c>
      <c r="CL174" s="228">
        <v>7</v>
      </c>
      <c r="CM174" s="228">
        <v>2</v>
      </c>
      <c r="CN174" s="229">
        <v>0.31030000000000002</v>
      </c>
      <c r="CO174" s="230">
        <v>1036</v>
      </c>
      <c r="CP174" s="230">
        <v>1019</v>
      </c>
      <c r="CQ174" s="228">
        <v>17</v>
      </c>
      <c r="CR174" s="229">
        <v>1.6500000000000001E-2</v>
      </c>
      <c r="CS174" s="228">
        <v>627</v>
      </c>
      <c r="CT174" s="228">
        <v>607</v>
      </c>
      <c r="CU174" s="228">
        <v>20</v>
      </c>
      <c r="CV174" s="229">
        <v>3.2399999999999998E-2</v>
      </c>
      <c r="CW174" s="230">
        <v>4119</v>
      </c>
      <c r="CX174" s="230">
        <v>4049</v>
      </c>
      <c r="CY174" s="228">
        <v>70</v>
      </c>
      <c r="CZ174" s="229">
        <v>1.7299999999999999E-2</v>
      </c>
      <c r="DA174" s="228">
        <v>32.85</v>
      </c>
      <c r="DB174" s="228">
        <v>33.450000000000003</v>
      </c>
      <c r="DC174" s="228">
        <v>-0.6</v>
      </c>
      <c r="DD174" s="228">
        <v>-0.6</v>
      </c>
      <c r="DE174" s="228">
        <v>42.15</v>
      </c>
      <c r="DF174" s="228">
        <v>42.24</v>
      </c>
      <c r="DG174" s="228">
        <v>-9.3000000000000007</v>
      </c>
      <c r="DH174" s="228">
        <v>-0.09</v>
      </c>
      <c r="DI174" s="228">
        <v>32.799999999999997</v>
      </c>
      <c r="DJ174" s="228">
        <v>33.25</v>
      </c>
      <c r="DK174" s="228">
        <v>-0.45</v>
      </c>
      <c r="DL174" s="228">
        <v>-0.45</v>
      </c>
      <c r="DM174" s="228">
        <v>32.94</v>
      </c>
      <c r="DN174" s="228">
        <v>33.97</v>
      </c>
      <c r="DO174" s="228">
        <v>-1.03</v>
      </c>
      <c r="DP174" s="228">
        <v>-1.03</v>
      </c>
      <c r="DQ174" s="228">
        <v>0.61</v>
      </c>
      <c r="DR174" s="228">
        <v>0.6</v>
      </c>
      <c r="DS174" s="228">
        <v>0.01</v>
      </c>
      <c r="DT174" s="229">
        <v>1.67E-2</v>
      </c>
      <c r="DU174" s="228">
        <v>400</v>
      </c>
      <c r="DV174" s="228">
        <v>360</v>
      </c>
      <c r="DW174" s="228">
        <v>0.49</v>
      </c>
      <c r="DX174" s="228">
        <v>0.37</v>
      </c>
      <c r="DY174" s="228">
        <v>0.12</v>
      </c>
      <c r="DZ174" s="229">
        <v>0.32429999999999998</v>
      </c>
      <c r="EA174" s="229">
        <v>6.1600000000000002E-2</v>
      </c>
      <c r="EB174" s="230">
        <v>3894100</v>
      </c>
      <c r="EC174" s="229">
        <v>5.4999999999999997E-3</v>
      </c>
      <c r="ED174" s="229">
        <v>6.1600000000000002E-2</v>
      </c>
      <c r="EE174" s="228">
        <v>1.1599999999999999</v>
      </c>
      <c r="EF174" s="229">
        <v>3.2000000000000002E-3</v>
      </c>
      <c r="EG174" s="230">
        <v>5197256</v>
      </c>
      <c r="EH174" s="230">
        <v>3829964</v>
      </c>
      <c r="EI174" s="229">
        <v>0.35699999999999998</v>
      </c>
      <c r="EJ174" s="229">
        <v>0.50260000000000005</v>
      </c>
      <c r="EK174" s="228">
        <v>955.27</v>
      </c>
      <c r="EL174" s="228">
        <v>432</v>
      </c>
      <c r="EM174" s="228">
        <v>304.06</v>
      </c>
      <c r="EN174" s="228">
        <v>72.84</v>
      </c>
      <c r="EO174" s="231">
        <v>1691.33</v>
      </c>
      <c r="EP174" s="231">
        <v>1502.97</v>
      </c>
      <c r="EQ174" s="228">
        <v>188.36</v>
      </c>
      <c r="ER174" s="229">
        <v>0.12529999999999999</v>
      </c>
      <c r="ES174" s="231">
        <v>1102.3</v>
      </c>
      <c r="ET174" s="228">
        <v>616.96</v>
      </c>
      <c r="EU174" s="231">
        <v>2457.86</v>
      </c>
      <c r="EV174" s="231">
        <v>187084550</v>
      </c>
      <c r="EW174" s="231">
        <v>4177.12</v>
      </c>
      <c r="EX174" s="231">
        <v>4088.22</v>
      </c>
      <c r="EY174" s="228">
        <v>88.9</v>
      </c>
      <c r="EZ174" s="229">
        <v>2.1700000000000001E-2</v>
      </c>
      <c r="FA174" s="229">
        <v>0.60909999999999997</v>
      </c>
      <c r="FB174" s="227" t="s">
        <v>555</v>
      </c>
      <c r="FC174">
        <f t="shared" si="3"/>
        <v>0</v>
      </c>
    </row>
    <row r="175" spans="1:159" ht="17.25" thickBot="1" x14ac:dyDescent="0.3">
      <c r="A175" s="226">
        <v>46148</v>
      </c>
      <c r="B175" s="227" t="s">
        <v>193</v>
      </c>
      <c r="C175" s="227" t="s">
        <v>281</v>
      </c>
      <c r="D175" s="228">
        <v>500</v>
      </c>
      <c r="E175" s="228">
        <v>20</v>
      </c>
      <c r="F175" s="231">
        <v>1446.2</v>
      </c>
      <c r="G175" s="231">
        <v>1467.4</v>
      </c>
      <c r="H175" s="228">
        <v>-21.2</v>
      </c>
      <c r="I175" s="229">
        <v>-1.44E-2</v>
      </c>
      <c r="J175" s="231">
        <v>1437.9</v>
      </c>
      <c r="K175" s="231">
        <v>1463.6</v>
      </c>
      <c r="L175" s="228">
        <v>-25.7</v>
      </c>
      <c r="M175" s="229">
        <v>-1.7600000000000001E-2</v>
      </c>
      <c r="N175" s="231">
        <v>1446.2</v>
      </c>
      <c r="O175" s="231">
        <v>1467.4</v>
      </c>
      <c r="P175" s="228">
        <v>-21.2</v>
      </c>
      <c r="Q175" s="229">
        <v>-1.44E-2</v>
      </c>
      <c r="R175" s="231">
        <v>1455.9</v>
      </c>
      <c r="S175" s="231">
        <v>1477.1</v>
      </c>
      <c r="T175" s="228">
        <v>-21.2</v>
      </c>
      <c r="U175" s="229">
        <v>-1.44E-2</v>
      </c>
      <c r="V175" s="231">
        <v>1463.6</v>
      </c>
      <c r="W175" s="231">
        <v>1484.6</v>
      </c>
      <c r="X175" s="228">
        <v>-21</v>
      </c>
      <c r="Y175" s="229">
        <v>-1.41E-2</v>
      </c>
      <c r="Z175" s="228">
        <v>8.3000000000000007</v>
      </c>
      <c r="AA175" s="228">
        <v>3.8</v>
      </c>
      <c r="AB175" s="228">
        <v>4.5</v>
      </c>
      <c r="AC175" s="229">
        <v>5.7999999999999996E-3</v>
      </c>
      <c r="AD175" s="228">
        <v>8.3000000000000007</v>
      </c>
      <c r="AE175" s="228">
        <v>3.8</v>
      </c>
      <c r="AF175" s="228">
        <v>4.5</v>
      </c>
      <c r="AG175" s="229">
        <v>5.7999999999999996E-3</v>
      </c>
      <c r="AH175" s="228">
        <v>18</v>
      </c>
      <c r="AI175" s="228">
        <v>13.5</v>
      </c>
      <c r="AJ175" s="228">
        <v>4.5</v>
      </c>
      <c r="AK175" s="229">
        <v>1.2500000000000001E-2</v>
      </c>
      <c r="AL175" s="228">
        <v>25.7</v>
      </c>
      <c r="AM175" s="228">
        <v>21</v>
      </c>
      <c r="AN175" s="228">
        <v>4.7</v>
      </c>
      <c r="AO175" s="229">
        <v>1.7899999999999999E-2</v>
      </c>
      <c r="AP175" s="231">
        <v>1451.07</v>
      </c>
      <c r="AQ175" s="231">
        <v>1460.09</v>
      </c>
      <c r="AR175" s="228">
        <v>0</v>
      </c>
      <c r="AS175" s="230">
        <v>1862</v>
      </c>
      <c r="AT175" s="230">
        <v>1943</v>
      </c>
      <c r="AU175" s="228">
        <v>-81</v>
      </c>
      <c r="AV175" s="229">
        <v>-4.1599999999999998E-2</v>
      </c>
      <c r="AW175" s="230">
        <v>1630</v>
      </c>
      <c r="AX175" s="230">
        <v>1758</v>
      </c>
      <c r="AY175" s="228">
        <v>-127</v>
      </c>
      <c r="AZ175" s="229">
        <v>-7.2499999999999995E-2</v>
      </c>
      <c r="BA175" s="228">
        <v>189</v>
      </c>
      <c r="BB175" s="228">
        <v>165</v>
      </c>
      <c r="BC175" s="228">
        <v>24</v>
      </c>
      <c r="BD175" s="229">
        <v>0.1457</v>
      </c>
      <c r="BE175" s="228">
        <v>42</v>
      </c>
      <c r="BF175" s="228">
        <v>20</v>
      </c>
      <c r="BG175" s="228">
        <v>23</v>
      </c>
      <c r="BH175" s="229">
        <v>1.1345000000000001</v>
      </c>
      <c r="BI175" s="230">
        <v>14334</v>
      </c>
      <c r="BJ175" s="230">
        <v>8921</v>
      </c>
      <c r="BK175" s="230">
        <v>5413</v>
      </c>
      <c r="BL175" s="229">
        <v>0.60680000000000001</v>
      </c>
      <c r="BM175" s="230">
        <v>8730</v>
      </c>
      <c r="BN175" s="230">
        <v>6571</v>
      </c>
      <c r="BO175" s="230">
        <v>2159</v>
      </c>
      <c r="BP175" s="229">
        <v>0.32850000000000001</v>
      </c>
      <c r="BQ175" s="230">
        <v>24926</v>
      </c>
      <c r="BR175" s="230">
        <v>17434</v>
      </c>
      <c r="BS175" s="230">
        <v>7491</v>
      </c>
      <c r="BT175" s="229">
        <v>0.42970000000000003</v>
      </c>
      <c r="BU175" s="230">
        <v>15207996</v>
      </c>
      <c r="BV175" s="230">
        <v>24543159</v>
      </c>
      <c r="BW175" s="230">
        <v>-9335163</v>
      </c>
      <c r="BX175" s="229">
        <v>-0.38040000000000002</v>
      </c>
      <c r="BY175" s="230">
        <v>14041</v>
      </c>
      <c r="BZ175" s="230">
        <v>13856</v>
      </c>
      <c r="CA175" s="228">
        <v>185</v>
      </c>
      <c r="CB175" s="229">
        <v>1.3299999999999999E-2</v>
      </c>
      <c r="CC175" s="230">
        <v>11132</v>
      </c>
      <c r="CD175" s="230">
        <v>11039</v>
      </c>
      <c r="CE175" s="228">
        <v>93</v>
      </c>
      <c r="CF175" s="229">
        <v>8.3999999999999995E-3</v>
      </c>
      <c r="CG175" s="230">
        <v>2841</v>
      </c>
      <c r="CH175" s="230">
        <v>2774</v>
      </c>
      <c r="CI175" s="228">
        <v>67</v>
      </c>
      <c r="CJ175" s="229">
        <v>2.4199999999999999E-2</v>
      </c>
      <c r="CK175" s="228">
        <v>67</v>
      </c>
      <c r="CL175" s="228">
        <v>43</v>
      </c>
      <c r="CM175" s="228">
        <v>24</v>
      </c>
      <c r="CN175" s="229">
        <v>0.56899999999999995</v>
      </c>
      <c r="CO175" s="230">
        <v>7035</v>
      </c>
      <c r="CP175" s="230">
        <v>5797</v>
      </c>
      <c r="CQ175" s="230">
        <v>1238</v>
      </c>
      <c r="CR175" s="229">
        <v>0.2135</v>
      </c>
      <c r="CS175" s="230">
        <v>5071</v>
      </c>
      <c r="CT175" s="230">
        <v>5363</v>
      </c>
      <c r="CU175" s="228">
        <v>-292</v>
      </c>
      <c r="CV175" s="229">
        <v>-5.45E-2</v>
      </c>
      <c r="CW175" s="230">
        <v>26146</v>
      </c>
      <c r="CX175" s="230">
        <v>25016</v>
      </c>
      <c r="CY175" s="230">
        <v>1130</v>
      </c>
      <c r="CZ175" s="229">
        <v>4.5199999999999997E-2</v>
      </c>
      <c r="DA175" s="228">
        <v>21.24</v>
      </c>
      <c r="DB175" s="228">
        <v>21.55</v>
      </c>
      <c r="DC175" s="228">
        <v>-0.31</v>
      </c>
      <c r="DD175" s="228">
        <v>-0.31</v>
      </c>
      <c r="DE175" s="228">
        <v>26.71</v>
      </c>
      <c r="DF175" s="228">
        <v>26.67</v>
      </c>
      <c r="DG175" s="228">
        <v>-5.47</v>
      </c>
      <c r="DH175" s="228">
        <v>0.04</v>
      </c>
      <c r="DI175" s="228">
        <v>20.63</v>
      </c>
      <c r="DJ175" s="228">
        <v>20.3</v>
      </c>
      <c r="DK175" s="228">
        <v>0.33</v>
      </c>
      <c r="DL175" s="228">
        <v>0.33</v>
      </c>
      <c r="DM175" s="228">
        <v>22.24</v>
      </c>
      <c r="DN175" s="228">
        <v>23.26</v>
      </c>
      <c r="DO175" s="228">
        <v>-1.02</v>
      </c>
      <c r="DP175" s="228">
        <v>-1.02</v>
      </c>
      <c r="DQ175" s="228">
        <v>0.72</v>
      </c>
      <c r="DR175" s="228">
        <v>0.93</v>
      </c>
      <c r="DS175" s="228">
        <v>-0.21</v>
      </c>
      <c r="DT175" s="229">
        <v>-0.2258</v>
      </c>
      <c r="DU175" s="231">
        <v>1500</v>
      </c>
      <c r="DV175" s="231">
        <v>1400</v>
      </c>
      <c r="DW175" s="228">
        <v>0.61</v>
      </c>
      <c r="DX175" s="228">
        <v>0.74</v>
      </c>
      <c r="DY175" s="228">
        <v>-0.13</v>
      </c>
      <c r="DZ175" s="229">
        <v>-0.1757</v>
      </c>
      <c r="EA175" s="229">
        <v>0.2072</v>
      </c>
      <c r="EB175" s="230">
        <v>19479500</v>
      </c>
      <c r="EC175" s="229">
        <v>6.7000000000000002E-3</v>
      </c>
      <c r="ED175" s="229">
        <v>0.2072</v>
      </c>
      <c r="EE175" s="228">
        <v>9.02</v>
      </c>
      <c r="EF175" s="229">
        <v>6.1999999999999998E-3</v>
      </c>
      <c r="EG175" s="230">
        <v>7393624</v>
      </c>
      <c r="EH175" s="230">
        <v>11155792</v>
      </c>
      <c r="EI175" s="229">
        <v>-0.3372</v>
      </c>
      <c r="EJ175" s="229">
        <v>0.48620000000000002</v>
      </c>
      <c r="EK175" s="231">
        <v>14920.66</v>
      </c>
      <c r="EL175" s="231">
        <v>8626.52</v>
      </c>
      <c r="EM175" s="231">
        <v>1870.04</v>
      </c>
      <c r="EN175" s="228">
        <v>356.14</v>
      </c>
      <c r="EO175" s="231">
        <v>25417.22</v>
      </c>
      <c r="EP175" s="231">
        <v>17861.78</v>
      </c>
      <c r="EQ175" s="231">
        <v>7555.44</v>
      </c>
      <c r="ER175" s="229">
        <v>0.42299999999999999</v>
      </c>
      <c r="ES175" s="231">
        <v>7188.66</v>
      </c>
      <c r="ET175" s="231">
        <v>4821.53</v>
      </c>
      <c r="EU175" s="231">
        <v>14060.37</v>
      </c>
      <c r="EV175" s="231">
        <v>664381721</v>
      </c>
      <c r="EW175" s="231">
        <v>26070.560000000001</v>
      </c>
      <c r="EX175" s="231">
        <v>25084.73</v>
      </c>
      <c r="EY175" s="228">
        <v>985.83</v>
      </c>
      <c r="EZ175" s="229">
        <v>3.9300000000000002E-2</v>
      </c>
      <c r="FA175" s="229">
        <v>0.27210000000000001</v>
      </c>
      <c r="FB175" s="227" t="s">
        <v>566</v>
      </c>
      <c r="FC175">
        <f t="shared" si="3"/>
        <v>0</v>
      </c>
    </row>
    <row r="176" spans="1:159" ht="17.25" thickBot="1" x14ac:dyDescent="0.3">
      <c r="A176" s="226">
        <v>46148</v>
      </c>
      <c r="B176" s="227" t="s">
        <v>215</v>
      </c>
      <c r="C176" s="227" t="s">
        <v>672</v>
      </c>
      <c r="D176" s="228">
        <v>1525</v>
      </c>
      <c r="E176" s="228">
        <v>20</v>
      </c>
      <c r="F176" s="228">
        <v>304.25</v>
      </c>
      <c r="G176" s="228">
        <v>298.3</v>
      </c>
      <c r="H176" s="228">
        <v>5.95</v>
      </c>
      <c r="I176" s="229">
        <v>1.9900000000000001E-2</v>
      </c>
      <c r="J176" s="228">
        <v>305.10000000000002</v>
      </c>
      <c r="K176" s="228">
        <v>300.45</v>
      </c>
      <c r="L176" s="228">
        <v>4.6500000000000004</v>
      </c>
      <c r="M176" s="229">
        <v>1.55E-2</v>
      </c>
      <c r="N176" s="228">
        <v>304.25</v>
      </c>
      <c r="O176" s="228">
        <v>298.3</v>
      </c>
      <c r="P176" s="228">
        <v>5.95</v>
      </c>
      <c r="Q176" s="229">
        <v>1.9900000000000001E-2</v>
      </c>
      <c r="R176" s="228">
        <v>294.3</v>
      </c>
      <c r="S176" s="228">
        <v>288.25</v>
      </c>
      <c r="T176" s="228">
        <v>6.05</v>
      </c>
      <c r="U176" s="229">
        <v>2.1000000000000001E-2</v>
      </c>
      <c r="V176" s="228">
        <v>289.25</v>
      </c>
      <c r="W176" s="228">
        <v>283.14999999999998</v>
      </c>
      <c r="X176" s="228">
        <v>6.1</v>
      </c>
      <c r="Y176" s="229">
        <v>2.1499999999999998E-2</v>
      </c>
      <c r="Z176" s="228">
        <v>-0.85</v>
      </c>
      <c r="AA176" s="228">
        <v>-2.15</v>
      </c>
      <c r="AB176" s="228">
        <v>1.3</v>
      </c>
      <c r="AC176" s="229">
        <v>-2.8E-3</v>
      </c>
      <c r="AD176" s="228">
        <v>-0.85</v>
      </c>
      <c r="AE176" s="228">
        <v>-2.15</v>
      </c>
      <c r="AF176" s="228">
        <v>1.3</v>
      </c>
      <c r="AG176" s="229">
        <v>-2.8E-3</v>
      </c>
      <c r="AH176" s="228">
        <v>-10.8</v>
      </c>
      <c r="AI176" s="228">
        <v>-12.2</v>
      </c>
      <c r="AJ176" s="228">
        <v>1.4</v>
      </c>
      <c r="AK176" s="229">
        <v>-3.5400000000000001E-2</v>
      </c>
      <c r="AL176" s="228">
        <v>-15.85</v>
      </c>
      <c r="AM176" s="228">
        <v>-17.3</v>
      </c>
      <c r="AN176" s="228">
        <v>1.45</v>
      </c>
      <c r="AO176" s="229">
        <v>-5.1999999999999998E-2</v>
      </c>
      <c r="AP176" s="228">
        <v>301.55</v>
      </c>
      <c r="AQ176" s="228">
        <v>291.08</v>
      </c>
      <c r="AR176" s="228">
        <v>0</v>
      </c>
      <c r="AS176" s="228">
        <v>258</v>
      </c>
      <c r="AT176" s="228">
        <v>223</v>
      </c>
      <c r="AU176" s="228">
        <v>36</v>
      </c>
      <c r="AV176" s="229">
        <v>0.16089999999999999</v>
      </c>
      <c r="AW176" s="228">
        <v>175</v>
      </c>
      <c r="AX176" s="228">
        <v>154</v>
      </c>
      <c r="AY176" s="228">
        <v>21</v>
      </c>
      <c r="AZ176" s="229">
        <v>0.13400000000000001</v>
      </c>
      <c r="BA176" s="228">
        <v>77</v>
      </c>
      <c r="BB176" s="228">
        <v>57</v>
      </c>
      <c r="BC176" s="228">
        <v>20</v>
      </c>
      <c r="BD176" s="229">
        <v>0.34329999999999999</v>
      </c>
      <c r="BE176" s="228">
        <v>6</v>
      </c>
      <c r="BF176" s="228">
        <v>11</v>
      </c>
      <c r="BG176" s="228">
        <v>-5</v>
      </c>
      <c r="BH176" s="229">
        <v>-0.4153</v>
      </c>
      <c r="BI176" s="228">
        <v>484</v>
      </c>
      <c r="BJ176" s="228">
        <v>530</v>
      </c>
      <c r="BK176" s="228">
        <v>-46</v>
      </c>
      <c r="BL176" s="229">
        <v>-8.6800000000000002E-2</v>
      </c>
      <c r="BM176" s="228">
        <v>91</v>
      </c>
      <c r="BN176" s="228">
        <v>132</v>
      </c>
      <c r="BO176" s="228">
        <v>-41</v>
      </c>
      <c r="BP176" s="229">
        <v>-0.30980000000000002</v>
      </c>
      <c r="BQ176" s="228">
        <v>834</v>
      </c>
      <c r="BR176" s="228">
        <v>885</v>
      </c>
      <c r="BS176" s="228">
        <v>-51</v>
      </c>
      <c r="BT176" s="229">
        <v>-5.7799999999999997E-2</v>
      </c>
      <c r="BU176" s="230">
        <v>5774533</v>
      </c>
      <c r="BV176" s="230">
        <v>7405587</v>
      </c>
      <c r="BW176" s="230">
        <v>-1631054</v>
      </c>
      <c r="BX176" s="229">
        <v>-0.22020000000000001</v>
      </c>
      <c r="BY176" s="230">
        <v>1703</v>
      </c>
      <c r="BZ176" s="230">
        <v>1675</v>
      </c>
      <c r="CA176" s="228">
        <v>28</v>
      </c>
      <c r="CB176" s="229">
        <v>1.67E-2</v>
      </c>
      <c r="CC176" s="230">
        <v>1462</v>
      </c>
      <c r="CD176" s="230">
        <v>1474</v>
      </c>
      <c r="CE176" s="228">
        <v>-12</v>
      </c>
      <c r="CF176" s="229">
        <v>-7.7999999999999996E-3</v>
      </c>
      <c r="CG176" s="228">
        <v>176</v>
      </c>
      <c r="CH176" s="228">
        <v>140</v>
      </c>
      <c r="CI176" s="228">
        <v>36</v>
      </c>
      <c r="CJ176" s="229">
        <v>0.25409999999999999</v>
      </c>
      <c r="CK176" s="228">
        <v>65</v>
      </c>
      <c r="CL176" s="228">
        <v>61</v>
      </c>
      <c r="CM176" s="228">
        <v>4</v>
      </c>
      <c r="CN176" s="229">
        <v>6.1199999999999997E-2</v>
      </c>
      <c r="CO176" s="228">
        <v>433</v>
      </c>
      <c r="CP176" s="228">
        <v>451</v>
      </c>
      <c r="CQ176" s="228">
        <v>-19</v>
      </c>
      <c r="CR176" s="229">
        <v>-4.1200000000000001E-2</v>
      </c>
      <c r="CS176" s="228">
        <v>264</v>
      </c>
      <c r="CT176" s="228">
        <v>259</v>
      </c>
      <c r="CU176" s="228">
        <v>5</v>
      </c>
      <c r="CV176" s="229">
        <v>1.9599999999999999E-2</v>
      </c>
      <c r="CW176" s="230">
        <v>2401</v>
      </c>
      <c r="CX176" s="230">
        <v>2386</v>
      </c>
      <c r="CY176" s="228">
        <v>14</v>
      </c>
      <c r="CZ176" s="229">
        <v>6.0000000000000001E-3</v>
      </c>
      <c r="DA176" s="228">
        <v>42.69</v>
      </c>
      <c r="DB176" s="228">
        <v>45.05</v>
      </c>
      <c r="DC176" s="228">
        <v>-2.36</v>
      </c>
      <c r="DD176" s="228">
        <v>-2.36</v>
      </c>
      <c r="DE176" s="228">
        <v>57.23</v>
      </c>
      <c r="DF176" s="228">
        <v>57.31</v>
      </c>
      <c r="DG176" s="228">
        <v>-14.54</v>
      </c>
      <c r="DH176" s="228">
        <v>-0.08</v>
      </c>
      <c r="DI176" s="228">
        <v>42.63</v>
      </c>
      <c r="DJ176" s="228">
        <v>44.9</v>
      </c>
      <c r="DK176" s="228">
        <v>-2.27</v>
      </c>
      <c r="DL176" s="228">
        <v>-2.27</v>
      </c>
      <c r="DM176" s="228">
        <v>43.01</v>
      </c>
      <c r="DN176" s="228">
        <v>45.64</v>
      </c>
      <c r="DO176" s="228">
        <v>-2.63</v>
      </c>
      <c r="DP176" s="228">
        <v>-2.63</v>
      </c>
      <c r="DQ176" s="228">
        <v>0.61</v>
      </c>
      <c r="DR176" s="228">
        <v>0.56999999999999995</v>
      </c>
      <c r="DS176" s="228">
        <v>0.04</v>
      </c>
      <c r="DT176" s="229">
        <v>7.0199999999999999E-2</v>
      </c>
      <c r="DU176" s="228">
        <v>300</v>
      </c>
      <c r="DV176" s="228">
        <v>300</v>
      </c>
      <c r="DW176" s="228">
        <v>0.19</v>
      </c>
      <c r="DX176" s="228">
        <v>0.25</v>
      </c>
      <c r="DY176" s="228">
        <v>-0.06</v>
      </c>
      <c r="DZ176" s="229">
        <v>-0.24</v>
      </c>
      <c r="EA176" s="229">
        <v>0.14149999999999999</v>
      </c>
      <c r="EB176" s="230">
        <v>6626275</v>
      </c>
      <c r="EC176" s="229">
        <v>-3.27E-2</v>
      </c>
      <c r="ED176" s="229">
        <v>0.14149999999999999</v>
      </c>
      <c r="EE176" s="228">
        <v>-10.47</v>
      </c>
      <c r="EF176" s="229">
        <v>-3.4700000000000002E-2</v>
      </c>
      <c r="EG176" s="230">
        <v>1579342</v>
      </c>
      <c r="EH176" s="230">
        <v>1295477</v>
      </c>
      <c r="EI176" s="229">
        <v>0.21909999999999999</v>
      </c>
      <c r="EJ176" s="229">
        <v>0.27350000000000002</v>
      </c>
      <c r="EK176" s="228">
        <v>516.70000000000005</v>
      </c>
      <c r="EL176" s="228">
        <v>89</v>
      </c>
      <c r="EM176" s="228">
        <v>254.79</v>
      </c>
      <c r="EN176" s="228">
        <v>52.5</v>
      </c>
      <c r="EO176" s="228">
        <v>860.5</v>
      </c>
      <c r="EP176" s="228">
        <v>909.44</v>
      </c>
      <c r="EQ176" s="228">
        <v>-48.94</v>
      </c>
      <c r="ER176" s="229">
        <v>-5.3800000000000001E-2</v>
      </c>
      <c r="ES176" s="228">
        <v>449.22</v>
      </c>
      <c r="ET176" s="228">
        <v>251.65</v>
      </c>
      <c r="EU176" s="231">
        <v>1694.36</v>
      </c>
      <c r="EV176" s="231">
        <v>84941460</v>
      </c>
      <c r="EW176" s="231">
        <v>2395.2199999999998</v>
      </c>
      <c r="EX176" s="231">
        <v>2347.44</v>
      </c>
      <c r="EY176" s="228">
        <v>47.78</v>
      </c>
      <c r="EZ176" s="229">
        <v>2.0400000000000001E-2</v>
      </c>
      <c r="FA176" s="229">
        <v>0.92889999999999995</v>
      </c>
      <c r="FB176" s="227" t="s">
        <v>555</v>
      </c>
      <c r="FC176">
        <f t="shared" si="3"/>
        <v>0</v>
      </c>
    </row>
    <row r="177" spans="1:159" ht="17.25" thickBot="1" x14ac:dyDescent="0.3">
      <c r="A177" s="226">
        <v>46148</v>
      </c>
      <c r="B177" s="227" t="s">
        <v>227</v>
      </c>
      <c r="C177" s="227" t="s">
        <v>282</v>
      </c>
      <c r="D177" s="228">
        <v>4700</v>
      </c>
      <c r="E177" s="228">
        <v>20</v>
      </c>
      <c r="F177" s="228">
        <v>187.47</v>
      </c>
      <c r="G177" s="228">
        <v>188.5</v>
      </c>
      <c r="H177" s="228">
        <v>-1.03</v>
      </c>
      <c r="I177" s="229">
        <v>-5.4999999999999997E-3</v>
      </c>
      <c r="J177" s="228">
        <v>186.04</v>
      </c>
      <c r="K177" s="228">
        <v>187.31</v>
      </c>
      <c r="L177" s="228">
        <v>-1.27</v>
      </c>
      <c r="M177" s="229">
        <v>-6.7999999999999996E-3</v>
      </c>
      <c r="N177" s="228">
        <v>187.47</v>
      </c>
      <c r="O177" s="228">
        <v>188.5</v>
      </c>
      <c r="P177" s="228">
        <v>-1.03</v>
      </c>
      <c r="Q177" s="229">
        <v>-5.4999999999999997E-3</v>
      </c>
      <c r="R177" s="228">
        <v>188.68</v>
      </c>
      <c r="S177" s="228">
        <v>189.7</v>
      </c>
      <c r="T177" s="228">
        <v>-1.02</v>
      </c>
      <c r="U177" s="229">
        <v>-5.4000000000000003E-3</v>
      </c>
      <c r="V177" s="228">
        <v>190.48</v>
      </c>
      <c r="W177" s="228">
        <v>191.02</v>
      </c>
      <c r="X177" s="228">
        <v>-0.54</v>
      </c>
      <c r="Y177" s="229">
        <v>-2.8E-3</v>
      </c>
      <c r="Z177" s="228">
        <v>1.43</v>
      </c>
      <c r="AA177" s="228">
        <v>1.19</v>
      </c>
      <c r="AB177" s="228">
        <v>0.24</v>
      </c>
      <c r="AC177" s="229">
        <v>7.7000000000000002E-3</v>
      </c>
      <c r="AD177" s="228">
        <v>1.43</v>
      </c>
      <c r="AE177" s="228">
        <v>1.19</v>
      </c>
      <c r="AF177" s="228">
        <v>0.24</v>
      </c>
      <c r="AG177" s="229">
        <v>7.7000000000000002E-3</v>
      </c>
      <c r="AH177" s="228">
        <v>2.64</v>
      </c>
      <c r="AI177" s="228">
        <v>2.39</v>
      </c>
      <c r="AJ177" s="228">
        <v>0.25</v>
      </c>
      <c r="AK177" s="229">
        <v>1.4200000000000001E-2</v>
      </c>
      <c r="AL177" s="228">
        <v>4.4400000000000004</v>
      </c>
      <c r="AM177" s="228">
        <v>3.71</v>
      </c>
      <c r="AN177" s="228">
        <v>0.73</v>
      </c>
      <c r="AO177" s="229">
        <v>2.3900000000000001E-2</v>
      </c>
      <c r="AP177" s="228">
        <v>188.37</v>
      </c>
      <c r="AQ177" s="228">
        <v>189.51</v>
      </c>
      <c r="AR177" s="228">
        <v>0</v>
      </c>
      <c r="AS177" s="228">
        <v>223</v>
      </c>
      <c r="AT177" s="228">
        <v>231</v>
      </c>
      <c r="AU177" s="228">
        <v>-8</v>
      </c>
      <c r="AV177" s="229">
        <v>-3.5099999999999999E-2</v>
      </c>
      <c r="AW177" s="228">
        <v>205</v>
      </c>
      <c r="AX177" s="228">
        <v>218</v>
      </c>
      <c r="AY177" s="228">
        <v>-13</v>
      </c>
      <c r="AZ177" s="229">
        <v>-5.7799999999999997E-2</v>
      </c>
      <c r="BA177" s="228">
        <v>16</v>
      </c>
      <c r="BB177" s="228">
        <v>11</v>
      </c>
      <c r="BC177" s="228">
        <v>5</v>
      </c>
      <c r="BD177" s="229">
        <v>0.49170000000000003</v>
      </c>
      <c r="BE177" s="228">
        <v>2</v>
      </c>
      <c r="BF177" s="228">
        <v>3</v>
      </c>
      <c r="BG177" s="228">
        <v>-1</v>
      </c>
      <c r="BH177" s="229">
        <v>-0.27589999999999998</v>
      </c>
      <c r="BI177" s="228">
        <v>111</v>
      </c>
      <c r="BJ177" s="228">
        <v>152</v>
      </c>
      <c r="BK177" s="228">
        <v>-41</v>
      </c>
      <c r="BL177" s="229">
        <v>-0.26750000000000002</v>
      </c>
      <c r="BM177" s="228">
        <v>49</v>
      </c>
      <c r="BN177" s="228">
        <v>66</v>
      </c>
      <c r="BO177" s="228">
        <v>-17</v>
      </c>
      <c r="BP177" s="229">
        <v>-0.253</v>
      </c>
      <c r="BQ177" s="228">
        <v>384</v>
      </c>
      <c r="BR177" s="228">
        <v>449</v>
      </c>
      <c r="BS177" s="228">
        <v>-66</v>
      </c>
      <c r="BT177" s="229">
        <v>-0.1459</v>
      </c>
      <c r="BU177" s="230">
        <v>13707203</v>
      </c>
      <c r="BV177" s="230">
        <v>16104570</v>
      </c>
      <c r="BW177" s="230">
        <v>-2397367</v>
      </c>
      <c r="BX177" s="229">
        <v>-0.1489</v>
      </c>
      <c r="BY177" s="230">
        <v>3747</v>
      </c>
      <c r="BZ177" s="230">
        <v>3689</v>
      </c>
      <c r="CA177" s="228">
        <v>58</v>
      </c>
      <c r="CB177" s="229">
        <v>1.5599999999999999E-2</v>
      </c>
      <c r="CC177" s="230">
        <v>3686</v>
      </c>
      <c r="CD177" s="230">
        <v>3639</v>
      </c>
      <c r="CE177" s="228">
        <v>47</v>
      </c>
      <c r="CF177" s="229">
        <v>1.2800000000000001E-2</v>
      </c>
      <c r="CG177" s="228">
        <v>52</v>
      </c>
      <c r="CH177" s="228">
        <v>42</v>
      </c>
      <c r="CI177" s="228">
        <v>10</v>
      </c>
      <c r="CJ177" s="229">
        <v>0.2505</v>
      </c>
      <c r="CK177" s="228">
        <v>9</v>
      </c>
      <c r="CL177" s="228">
        <v>9</v>
      </c>
      <c r="CM177" s="228">
        <v>1</v>
      </c>
      <c r="CN177" s="229">
        <v>6.0600000000000001E-2</v>
      </c>
      <c r="CO177" s="228">
        <v>146</v>
      </c>
      <c r="CP177" s="228">
        <v>142</v>
      </c>
      <c r="CQ177" s="228">
        <v>4</v>
      </c>
      <c r="CR177" s="229">
        <v>2.98E-2</v>
      </c>
      <c r="CS177" s="228">
        <v>101</v>
      </c>
      <c r="CT177" s="228">
        <v>101</v>
      </c>
      <c r="CU177" s="228">
        <v>0</v>
      </c>
      <c r="CV177" s="229">
        <v>1.6999999999999999E-3</v>
      </c>
      <c r="CW177" s="230">
        <v>3994</v>
      </c>
      <c r="CX177" s="230">
        <v>3932</v>
      </c>
      <c r="CY177" s="228">
        <v>62</v>
      </c>
      <c r="CZ177" s="229">
        <v>1.5800000000000002E-2</v>
      </c>
      <c r="DA177" s="228">
        <v>38</v>
      </c>
      <c r="DB177" s="228">
        <v>37.11</v>
      </c>
      <c r="DC177" s="228">
        <v>0.89</v>
      </c>
      <c r="DD177" s="228">
        <v>0.89</v>
      </c>
      <c r="DE177" s="228">
        <v>43.6</v>
      </c>
      <c r="DF177" s="228">
        <v>43.7</v>
      </c>
      <c r="DG177" s="228">
        <v>-5.6</v>
      </c>
      <c r="DH177" s="228">
        <v>-0.1</v>
      </c>
      <c r="DI177" s="228">
        <v>38.57</v>
      </c>
      <c r="DJ177" s="228">
        <v>37.4</v>
      </c>
      <c r="DK177" s="228">
        <v>1.17</v>
      </c>
      <c r="DL177" s="228">
        <v>1.17</v>
      </c>
      <c r="DM177" s="228">
        <v>36.700000000000003</v>
      </c>
      <c r="DN177" s="228">
        <v>36.450000000000003</v>
      </c>
      <c r="DO177" s="228">
        <v>0.25</v>
      </c>
      <c r="DP177" s="228">
        <v>0.25</v>
      </c>
      <c r="DQ177" s="228">
        <v>0.69</v>
      </c>
      <c r="DR177" s="228">
        <v>0.71</v>
      </c>
      <c r="DS177" s="228">
        <v>-0.02</v>
      </c>
      <c r="DT177" s="229">
        <v>-2.8199999999999999E-2</v>
      </c>
      <c r="DU177" s="228">
        <v>180</v>
      </c>
      <c r="DV177" s="228">
        <v>180</v>
      </c>
      <c r="DW177" s="228">
        <v>0.44</v>
      </c>
      <c r="DX177" s="228">
        <v>0.43</v>
      </c>
      <c r="DY177" s="228">
        <v>0.01</v>
      </c>
      <c r="DZ177" s="229">
        <v>2.3300000000000001E-2</v>
      </c>
      <c r="EA177" s="229">
        <v>1.6299999999999999E-2</v>
      </c>
      <c r="EB177" s="230">
        <v>2679000</v>
      </c>
      <c r="EC177" s="229">
        <v>6.4999999999999997E-3</v>
      </c>
      <c r="ED177" s="229">
        <v>1.6299999999999999E-2</v>
      </c>
      <c r="EE177" s="228">
        <v>1.1399999999999999</v>
      </c>
      <c r="EF177" s="229">
        <v>6.1000000000000004E-3</v>
      </c>
      <c r="EG177" s="230">
        <v>5360397</v>
      </c>
      <c r="EH177" s="230">
        <v>6053277</v>
      </c>
      <c r="EI177" s="229">
        <v>-0.1145</v>
      </c>
      <c r="EJ177" s="229">
        <v>0.3911</v>
      </c>
      <c r="EK177" s="228">
        <v>118.7</v>
      </c>
      <c r="EL177" s="228">
        <v>48.33</v>
      </c>
      <c r="EM177" s="228">
        <v>224.1</v>
      </c>
      <c r="EN177" s="228">
        <v>36.28</v>
      </c>
      <c r="EO177" s="228">
        <v>391.13</v>
      </c>
      <c r="EP177" s="228">
        <v>458.38</v>
      </c>
      <c r="EQ177" s="228">
        <v>-67.25</v>
      </c>
      <c r="ER177" s="229">
        <v>-0.1467</v>
      </c>
      <c r="ES177" s="228">
        <v>149.05000000000001</v>
      </c>
      <c r="ET177" s="228">
        <v>95.77</v>
      </c>
      <c r="EU177" s="231">
        <v>3747.4</v>
      </c>
      <c r="EV177" s="231">
        <v>216861410</v>
      </c>
      <c r="EW177" s="231">
        <v>3992.22</v>
      </c>
      <c r="EX177" s="231">
        <v>3949.9</v>
      </c>
      <c r="EY177" s="228">
        <v>42.32</v>
      </c>
      <c r="EZ177" s="229">
        <v>1.0699999999999999E-2</v>
      </c>
      <c r="FA177" s="229">
        <v>0.98250000000000004</v>
      </c>
      <c r="FB177" s="227" t="s">
        <v>566</v>
      </c>
      <c r="FC177">
        <f t="shared" si="3"/>
        <v>0</v>
      </c>
    </row>
    <row r="178" spans="1:159" ht="17.25" thickBot="1" x14ac:dyDescent="0.3">
      <c r="A178" s="226">
        <v>46148</v>
      </c>
      <c r="B178" s="227" t="s">
        <v>175</v>
      </c>
      <c r="C178" s="227" t="s">
        <v>682</v>
      </c>
      <c r="D178" s="228">
        <v>4300</v>
      </c>
      <c r="E178" s="228">
        <v>20</v>
      </c>
      <c r="F178" s="228">
        <v>150.6</v>
      </c>
      <c r="G178" s="228">
        <v>145.25</v>
      </c>
      <c r="H178" s="228">
        <v>5.35</v>
      </c>
      <c r="I178" s="229">
        <v>3.6799999999999999E-2</v>
      </c>
      <c r="J178" s="228">
        <v>149.78</v>
      </c>
      <c r="K178" s="228">
        <v>144.38999999999999</v>
      </c>
      <c r="L178" s="228">
        <v>5.39</v>
      </c>
      <c r="M178" s="229">
        <v>3.73E-2</v>
      </c>
      <c r="N178" s="228">
        <v>150.6</v>
      </c>
      <c r="O178" s="228">
        <v>145.25</v>
      </c>
      <c r="P178" s="228">
        <v>5.35</v>
      </c>
      <c r="Q178" s="229">
        <v>3.6799999999999999E-2</v>
      </c>
      <c r="R178" s="228">
        <v>151.53</v>
      </c>
      <c r="S178" s="228">
        <v>146.26</v>
      </c>
      <c r="T178" s="228">
        <v>5.27</v>
      </c>
      <c r="U178" s="229">
        <v>3.5999999999999997E-2</v>
      </c>
      <c r="V178" s="228">
        <v>0</v>
      </c>
      <c r="W178" s="228">
        <v>0</v>
      </c>
      <c r="X178" s="228">
        <v>0</v>
      </c>
      <c r="Y178" s="229">
        <v>0</v>
      </c>
      <c r="Z178" s="228">
        <v>0.82</v>
      </c>
      <c r="AA178" s="228">
        <v>0.86</v>
      </c>
      <c r="AB178" s="228">
        <v>-0.04</v>
      </c>
      <c r="AC178" s="229">
        <v>5.4999999999999997E-3</v>
      </c>
      <c r="AD178" s="228">
        <v>0.82</v>
      </c>
      <c r="AE178" s="228">
        <v>0.86</v>
      </c>
      <c r="AF178" s="228">
        <v>-0.04</v>
      </c>
      <c r="AG178" s="229">
        <v>5.4999999999999997E-3</v>
      </c>
      <c r="AH178" s="228">
        <v>1.75</v>
      </c>
      <c r="AI178" s="228">
        <v>1.87</v>
      </c>
      <c r="AJ178" s="228">
        <v>-0.12</v>
      </c>
      <c r="AK178" s="229">
        <v>1.17E-2</v>
      </c>
      <c r="AL178" s="228">
        <v>0</v>
      </c>
      <c r="AM178" s="228">
        <v>0</v>
      </c>
      <c r="AN178" s="228">
        <v>0</v>
      </c>
      <c r="AO178" s="229">
        <v>0</v>
      </c>
      <c r="AP178" s="228">
        <v>149.44999999999999</v>
      </c>
      <c r="AQ178" s="228">
        <v>150.27000000000001</v>
      </c>
      <c r="AR178" s="228">
        <v>0</v>
      </c>
      <c r="AS178" s="228">
        <v>309</v>
      </c>
      <c r="AT178" s="228">
        <v>140</v>
      </c>
      <c r="AU178" s="228">
        <v>169</v>
      </c>
      <c r="AV178" s="229">
        <v>1.2030000000000001</v>
      </c>
      <c r="AW178" s="228">
        <v>293</v>
      </c>
      <c r="AX178" s="228">
        <v>131</v>
      </c>
      <c r="AY178" s="228">
        <v>162</v>
      </c>
      <c r="AZ178" s="229">
        <v>1.2399</v>
      </c>
      <c r="BA178" s="228">
        <v>15</v>
      </c>
      <c r="BB178" s="228">
        <v>9</v>
      </c>
      <c r="BC178" s="228">
        <v>6</v>
      </c>
      <c r="BD178" s="229">
        <v>0.67379999999999995</v>
      </c>
      <c r="BE178" s="228">
        <v>0</v>
      </c>
      <c r="BF178" s="228">
        <v>0</v>
      </c>
      <c r="BG178" s="228">
        <v>0</v>
      </c>
      <c r="BH178" s="229">
        <v>0</v>
      </c>
      <c r="BI178" s="228">
        <v>540</v>
      </c>
      <c r="BJ178" s="228">
        <v>155</v>
      </c>
      <c r="BK178" s="228">
        <v>385</v>
      </c>
      <c r="BL178" s="229">
        <v>2.4832999999999998</v>
      </c>
      <c r="BM178" s="228">
        <v>102</v>
      </c>
      <c r="BN178" s="228">
        <v>41</v>
      </c>
      <c r="BO178" s="228">
        <v>61</v>
      </c>
      <c r="BP178" s="229">
        <v>1.4944</v>
      </c>
      <c r="BQ178" s="228">
        <v>950</v>
      </c>
      <c r="BR178" s="228">
        <v>336</v>
      </c>
      <c r="BS178" s="228">
        <v>614</v>
      </c>
      <c r="BT178" s="229">
        <v>1.8292999999999999</v>
      </c>
      <c r="BU178" s="230">
        <v>26250965</v>
      </c>
      <c r="BV178" s="230">
        <v>13070629</v>
      </c>
      <c r="BW178" s="230">
        <v>13180336</v>
      </c>
      <c r="BX178" s="229">
        <v>1.0084</v>
      </c>
      <c r="BY178" s="230">
        <v>1584</v>
      </c>
      <c r="BZ178" s="230">
        <v>1627</v>
      </c>
      <c r="CA178" s="228">
        <v>-43</v>
      </c>
      <c r="CB178" s="229">
        <v>-2.6599999999999999E-2</v>
      </c>
      <c r="CC178" s="230">
        <v>1510</v>
      </c>
      <c r="CD178" s="230">
        <v>1555</v>
      </c>
      <c r="CE178" s="228">
        <v>-45</v>
      </c>
      <c r="CF178" s="229">
        <v>-2.8899999999999999E-2</v>
      </c>
      <c r="CG178" s="228">
        <v>73</v>
      </c>
      <c r="CH178" s="228">
        <v>71</v>
      </c>
      <c r="CI178" s="228">
        <v>2</v>
      </c>
      <c r="CJ178" s="229">
        <v>2.3599999999999999E-2</v>
      </c>
      <c r="CK178" s="228">
        <v>0</v>
      </c>
      <c r="CL178" s="228">
        <v>0</v>
      </c>
      <c r="CM178" s="228">
        <v>0</v>
      </c>
      <c r="CN178" s="229">
        <v>0</v>
      </c>
      <c r="CO178" s="228">
        <v>325</v>
      </c>
      <c r="CP178" s="228">
        <v>321</v>
      </c>
      <c r="CQ178" s="228">
        <v>4</v>
      </c>
      <c r="CR178" s="229">
        <v>1.35E-2</v>
      </c>
      <c r="CS178" s="228">
        <v>200</v>
      </c>
      <c r="CT178" s="228">
        <v>202</v>
      </c>
      <c r="CU178" s="228">
        <v>-3</v>
      </c>
      <c r="CV178" s="229">
        <v>-1.2800000000000001E-2</v>
      </c>
      <c r="CW178" s="230">
        <v>2108</v>
      </c>
      <c r="CX178" s="230">
        <v>2150</v>
      </c>
      <c r="CY178" s="228">
        <v>-41</v>
      </c>
      <c r="CZ178" s="229">
        <v>-1.9300000000000001E-2</v>
      </c>
      <c r="DA178" s="228">
        <v>39.89</v>
      </c>
      <c r="DB178" s="228">
        <v>40.19</v>
      </c>
      <c r="DC178" s="228">
        <v>-0.3</v>
      </c>
      <c r="DD178" s="228">
        <v>-0.3</v>
      </c>
      <c r="DE178" s="228">
        <v>52.55</v>
      </c>
      <c r="DF178" s="228">
        <v>52.45</v>
      </c>
      <c r="DG178" s="228">
        <v>-12.66</v>
      </c>
      <c r="DH178" s="228">
        <v>0.1</v>
      </c>
      <c r="DI178" s="228">
        <v>40.26</v>
      </c>
      <c r="DJ178" s="228">
        <v>40.85</v>
      </c>
      <c r="DK178" s="228">
        <v>-0.59</v>
      </c>
      <c r="DL178" s="228">
        <v>-0.59</v>
      </c>
      <c r="DM178" s="228">
        <v>37.950000000000003</v>
      </c>
      <c r="DN178" s="228">
        <v>37.71</v>
      </c>
      <c r="DO178" s="228">
        <v>0.24</v>
      </c>
      <c r="DP178" s="228">
        <v>0.24</v>
      </c>
      <c r="DQ178" s="228">
        <v>0.61</v>
      </c>
      <c r="DR178" s="228">
        <v>0.63</v>
      </c>
      <c r="DS178" s="228">
        <v>-0.02</v>
      </c>
      <c r="DT178" s="229">
        <v>-3.1699999999999999E-2</v>
      </c>
      <c r="DU178" s="228">
        <v>150</v>
      </c>
      <c r="DV178" s="228">
        <v>140</v>
      </c>
      <c r="DW178" s="228">
        <v>0.19</v>
      </c>
      <c r="DX178" s="228">
        <v>0.26</v>
      </c>
      <c r="DY178" s="228">
        <v>-7.0000000000000007E-2</v>
      </c>
      <c r="DZ178" s="229">
        <v>-0.26919999999999999</v>
      </c>
      <c r="EA178" s="229">
        <v>4.6199999999999998E-2</v>
      </c>
      <c r="EB178" s="230">
        <v>4747200</v>
      </c>
      <c r="EC178" s="229">
        <v>6.1999999999999998E-3</v>
      </c>
      <c r="ED178" s="229">
        <v>4.6199999999999998E-2</v>
      </c>
      <c r="EE178" s="228">
        <v>0.82</v>
      </c>
      <c r="EF178" s="229">
        <v>5.4999999999999997E-3</v>
      </c>
      <c r="EG178" s="230">
        <v>9332091</v>
      </c>
      <c r="EH178" s="230">
        <v>5359712</v>
      </c>
      <c r="EI178" s="229">
        <v>0.74119999999999997</v>
      </c>
      <c r="EJ178" s="229">
        <v>0.35549999999999998</v>
      </c>
      <c r="EK178" s="228">
        <v>570.35</v>
      </c>
      <c r="EL178" s="228">
        <v>95.37</v>
      </c>
      <c r="EM178" s="228">
        <v>306.3</v>
      </c>
      <c r="EN178" s="228">
        <v>62.45</v>
      </c>
      <c r="EO178" s="228">
        <v>972.01</v>
      </c>
      <c r="EP178" s="228">
        <v>336.65</v>
      </c>
      <c r="EQ178" s="228">
        <v>635.36</v>
      </c>
      <c r="ER178" s="229">
        <v>1.8873</v>
      </c>
      <c r="ES178" s="228">
        <v>332.06</v>
      </c>
      <c r="ET178" s="228">
        <v>186.72</v>
      </c>
      <c r="EU178" s="231">
        <v>1584.11</v>
      </c>
      <c r="EV178" s="231">
        <v>122372064</v>
      </c>
      <c r="EW178" s="231">
        <v>2102.88</v>
      </c>
      <c r="EX178" s="231">
        <v>2085</v>
      </c>
      <c r="EY178" s="228">
        <v>17.88</v>
      </c>
      <c r="EZ178" s="229">
        <v>8.6E-3</v>
      </c>
      <c r="FA178" s="229">
        <v>1.1440999999999999</v>
      </c>
      <c r="FB178" s="227" t="s">
        <v>691</v>
      </c>
      <c r="FC178">
        <f t="shared" si="3"/>
        <v>0</v>
      </c>
    </row>
    <row r="179" spans="1:159" ht="17.25" thickBot="1" x14ac:dyDescent="0.3">
      <c r="A179" s="226">
        <v>46148</v>
      </c>
      <c r="B179" s="227" t="s">
        <v>175</v>
      </c>
      <c r="C179" s="227" t="s">
        <v>536</v>
      </c>
      <c r="D179" s="228">
        <v>800</v>
      </c>
      <c r="E179" s="228">
        <v>20</v>
      </c>
      <c r="F179" s="228">
        <v>654</v>
      </c>
      <c r="G179" s="228">
        <v>647.79999999999995</v>
      </c>
      <c r="H179" s="228">
        <v>6.2</v>
      </c>
      <c r="I179" s="229">
        <v>9.5999999999999992E-3</v>
      </c>
      <c r="J179" s="228">
        <v>649.65</v>
      </c>
      <c r="K179" s="228">
        <v>645.65</v>
      </c>
      <c r="L179" s="228">
        <v>4</v>
      </c>
      <c r="M179" s="229">
        <v>6.1999999999999998E-3</v>
      </c>
      <c r="N179" s="228">
        <v>654</v>
      </c>
      <c r="O179" s="228">
        <v>647.79999999999995</v>
      </c>
      <c r="P179" s="228">
        <v>6.2</v>
      </c>
      <c r="Q179" s="229">
        <v>9.5999999999999992E-3</v>
      </c>
      <c r="R179" s="228">
        <v>648.9</v>
      </c>
      <c r="S179" s="228">
        <v>642.25</v>
      </c>
      <c r="T179" s="228">
        <v>6.65</v>
      </c>
      <c r="U179" s="229">
        <v>1.04E-2</v>
      </c>
      <c r="V179" s="228">
        <v>644.75</v>
      </c>
      <c r="W179" s="228">
        <v>638.85</v>
      </c>
      <c r="X179" s="228">
        <v>5.9</v>
      </c>
      <c r="Y179" s="229">
        <v>9.1999999999999998E-3</v>
      </c>
      <c r="Z179" s="228">
        <v>4.3499999999999996</v>
      </c>
      <c r="AA179" s="228">
        <v>2.15</v>
      </c>
      <c r="AB179" s="228">
        <v>2.2000000000000002</v>
      </c>
      <c r="AC179" s="229">
        <v>6.7000000000000002E-3</v>
      </c>
      <c r="AD179" s="228">
        <v>4.3499999999999996</v>
      </c>
      <c r="AE179" s="228">
        <v>2.15</v>
      </c>
      <c r="AF179" s="228">
        <v>2.2000000000000002</v>
      </c>
      <c r="AG179" s="229">
        <v>6.7000000000000002E-3</v>
      </c>
      <c r="AH179" s="228">
        <v>-0.75</v>
      </c>
      <c r="AI179" s="228">
        <v>-3.4</v>
      </c>
      <c r="AJ179" s="228">
        <v>2.65</v>
      </c>
      <c r="AK179" s="229">
        <v>-1.1999999999999999E-3</v>
      </c>
      <c r="AL179" s="228">
        <v>-4.9000000000000004</v>
      </c>
      <c r="AM179" s="228">
        <v>-6.8</v>
      </c>
      <c r="AN179" s="228">
        <v>1.9</v>
      </c>
      <c r="AO179" s="229">
        <v>-7.4999999999999997E-3</v>
      </c>
      <c r="AP179" s="228">
        <v>652.67999999999995</v>
      </c>
      <c r="AQ179" s="228">
        <v>646.73</v>
      </c>
      <c r="AR179" s="228">
        <v>0</v>
      </c>
      <c r="AS179" s="228">
        <v>329</v>
      </c>
      <c r="AT179" s="228">
        <v>154</v>
      </c>
      <c r="AU179" s="228">
        <v>175</v>
      </c>
      <c r="AV179" s="229">
        <v>1.1378999999999999</v>
      </c>
      <c r="AW179" s="228">
        <v>253</v>
      </c>
      <c r="AX179" s="228">
        <v>137</v>
      </c>
      <c r="AY179" s="228">
        <v>116</v>
      </c>
      <c r="AZ179" s="229">
        <v>0.84060000000000001</v>
      </c>
      <c r="BA179" s="228">
        <v>68</v>
      </c>
      <c r="BB179" s="228">
        <v>14</v>
      </c>
      <c r="BC179" s="228">
        <v>54</v>
      </c>
      <c r="BD179" s="229">
        <v>3.9022999999999999</v>
      </c>
      <c r="BE179" s="228">
        <v>8</v>
      </c>
      <c r="BF179" s="228">
        <v>3</v>
      </c>
      <c r="BG179" s="228">
        <v>5</v>
      </c>
      <c r="BH179" s="229">
        <v>2.06</v>
      </c>
      <c r="BI179" s="228">
        <v>476</v>
      </c>
      <c r="BJ179" s="228">
        <v>430</v>
      </c>
      <c r="BK179" s="228">
        <v>46</v>
      </c>
      <c r="BL179" s="229">
        <v>0.1074</v>
      </c>
      <c r="BM179" s="228">
        <v>277</v>
      </c>
      <c r="BN179" s="228">
        <v>211</v>
      </c>
      <c r="BO179" s="228">
        <v>66</v>
      </c>
      <c r="BP179" s="229">
        <v>0.31090000000000001</v>
      </c>
      <c r="BQ179" s="230">
        <v>1082</v>
      </c>
      <c r="BR179" s="228">
        <v>795</v>
      </c>
      <c r="BS179" s="228">
        <v>287</v>
      </c>
      <c r="BT179" s="229">
        <v>0.36109999999999998</v>
      </c>
      <c r="BU179" s="230">
        <v>3480073</v>
      </c>
      <c r="BV179" s="230">
        <v>1528275</v>
      </c>
      <c r="BW179" s="230">
        <v>1951798</v>
      </c>
      <c r="BX179" s="229">
        <v>1.2770999999999999</v>
      </c>
      <c r="BY179" s="230">
        <v>1693</v>
      </c>
      <c r="BZ179" s="230">
        <v>1678</v>
      </c>
      <c r="CA179" s="228">
        <v>15</v>
      </c>
      <c r="CB179" s="229">
        <v>8.8999999999999999E-3</v>
      </c>
      <c r="CC179" s="230">
        <v>1501</v>
      </c>
      <c r="CD179" s="230">
        <v>1499</v>
      </c>
      <c r="CE179" s="228">
        <v>2</v>
      </c>
      <c r="CF179" s="229">
        <v>1.4E-3</v>
      </c>
      <c r="CG179" s="228">
        <v>176</v>
      </c>
      <c r="CH179" s="228">
        <v>163</v>
      </c>
      <c r="CI179" s="228">
        <v>13</v>
      </c>
      <c r="CJ179" s="229">
        <v>7.8399999999999997E-2</v>
      </c>
      <c r="CK179" s="228">
        <v>16</v>
      </c>
      <c r="CL179" s="228">
        <v>16</v>
      </c>
      <c r="CM179" s="228">
        <v>0</v>
      </c>
      <c r="CN179" s="229">
        <v>3.2000000000000002E-3</v>
      </c>
      <c r="CO179" s="228">
        <v>577</v>
      </c>
      <c r="CP179" s="228">
        <v>586</v>
      </c>
      <c r="CQ179" s="228">
        <v>-8</v>
      </c>
      <c r="CR179" s="229">
        <v>-1.41E-2</v>
      </c>
      <c r="CS179" s="228">
        <v>373</v>
      </c>
      <c r="CT179" s="228">
        <v>347</v>
      </c>
      <c r="CU179" s="228">
        <v>26</v>
      </c>
      <c r="CV179" s="229">
        <v>7.5200000000000003E-2</v>
      </c>
      <c r="CW179" s="230">
        <v>2643</v>
      </c>
      <c r="CX179" s="230">
        <v>2610</v>
      </c>
      <c r="CY179" s="228">
        <v>33</v>
      </c>
      <c r="CZ179" s="229">
        <v>1.2500000000000001E-2</v>
      </c>
      <c r="DA179" s="228">
        <v>30.72</v>
      </c>
      <c r="DB179" s="228">
        <v>31.68</v>
      </c>
      <c r="DC179" s="228">
        <v>-0.96</v>
      </c>
      <c r="DD179" s="228">
        <v>-0.96</v>
      </c>
      <c r="DE179" s="228">
        <v>31.98</v>
      </c>
      <c r="DF179" s="228">
        <v>32.049999999999997</v>
      </c>
      <c r="DG179" s="228">
        <v>-1.26</v>
      </c>
      <c r="DH179" s="228">
        <v>-7.0000000000000007E-2</v>
      </c>
      <c r="DI179" s="228">
        <v>30.71</v>
      </c>
      <c r="DJ179" s="228">
        <v>31.7</v>
      </c>
      <c r="DK179" s="228">
        <v>-0.99</v>
      </c>
      <c r="DL179" s="228">
        <v>-0.99</v>
      </c>
      <c r="DM179" s="228">
        <v>30.72</v>
      </c>
      <c r="DN179" s="228">
        <v>31.63</v>
      </c>
      <c r="DO179" s="228">
        <v>-0.91</v>
      </c>
      <c r="DP179" s="228">
        <v>-0.91</v>
      </c>
      <c r="DQ179" s="228">
        <v>0.65</v>
      </c>
      <c r="DR179" s="228">
        <v>0.59</v>
      </c>
      <c r="DS179" s="228">
        <v>0.06</v>
      </c>
      <c r="DT179" s="229">
        <v>0.1017</v>
      </c>
      <c r="DU179" s="228">
        <v>700</v>
      </c>
      <c r="DV179" s="228">
        <v>650</v>
      </c>
      <c r="DW179" s="228">
        <v>0.57999999999999996</v>
      </c>
      <c r="DX179" s="228">
        <v>0.49</v>
      </c>
      <c r="DY179" s="228">
        <v>0.09</v>
      </c>
      <c r="DZ179" s="229">
        <v>0.1837</v>
      </c>
      <c r="EA179" s="229">
        <v>0.1134</v>
      </c>
      <c r="EB179" s="230">
        <v>2740800</v>
      </c>
      <c r="EC179" s="229">
        <v>-7.7999999999999996E-3</v>
      </c>
      <c r="ED179" s="229">
        <v>0.1134</v>
      </c>
      <c r="EE179" s="228">
        <v>-5.95</v>
      </c>
      <c r="EF179" s="229">
        <v>-9.1000000000000004E-3</v>
      </c>
      <c r="EG179" s="230">
        <v>2212290</v>
      </c>
      <c r="EH179" s="230">
        <v>800547</v>
      </c>
      <c r="EI179" s="229">
        <v>1.7635000000000001</v>
      </c>
      <c r="EJ179" s="229">
        <v>0.63570000000000004</v>
      </c>
      <c r="EK179" s="228">
        <v>501.94</v>
      </c>
      <c r="EL179" s="228">
        <v>267.17</v>
      </c>
      <c r="EM179" s="228">
        <v>327.9</v>
      </c>
      <c r="EN179" s="228">
        <v>40.200000000000003</v>
      </c>
      <c r="EO179" s="231">
        <v>1097.01</v>
      </c>
      <c r="EP179" s="228">
        <v>808.71</v>
      </c>
      <c r="EQ179" s="228">
        <v>288.31</v>
      </c>
      <c r="ER179" s="229">
        <v>0.35649999999999998</v>
      </c>
      <c r="ES179" s="228">
        <v>615.62</v>
      </c>
      <c r="ET179" s="228">
        <v>369.53</v>
      </c>
      <c r="EU179" s="231">
        <v>1691.68</v>
      </c>
      <c r="EV179" s="231">
        <v>44841373</v>
      </c>
      <c r="EW179" s="231">
        <v>2676.83</v>
      </c>
      <c r="EX179" s="231">
        <v>2629.19</v>
      </c>
      <c r="EY179" s="228">
        <v>47.64</v>
      </c>
      <c r="EZ179" s="229">
        <v>1.8100000000000002E-2</v>
      </c>
      <c r="FA179" s="229">
        <v>0.90129999999999999</v>
      </c>
      <c r="FB179" s="227" t="s">
        <v>555</v>
      </c>
      <c r="FC179">
        <f t="shared" si="3"/>
        <v>0</v>
      </c>
    </row>
    <row r="180" spans="1:159" ht="17.25" thickBot="1" x14ac:dyDescent="0.3">
      <c r="A180" s="226">
        <v>46148</v>
      </c>
      <c r="B180" s="227" t="s">
        <v>175</v>
      </c>
      <c r="C180" s="227" t="s">
        <v>462</v>
      </c>
      <c r="D180" s="228">
        <v>375</v>
      </c>
      <c r="E180" s="228">
        <v>20</v>
      </c>
      <c r="F180" s="231">
        <v>1866.4</v>
      </c>
      <c r="G180" s="231">
        <v>1825.5</v>
      </c>
      <c r="H180" s="228">
        <v>40.9</v>
      </c>
      <c r="I180" s="229">
        <v>2.24E-2</v>
      </c>
      <c r="J180" s="231">
        <v>1859</v>
      </c>
      <c r="K180" s="231">
        <v>1821.2</v>
      </c>
      <c r="L180" s="228">
        <v>37.799999999999997</v>
      </c>
      <c r="M180" s="229">
        <v>2.0799999999999999E-2</v>
      </c>
      <c r="N180" s="231">
        <v>1866.4</v>
      </c>
      <c r="O180" s="231">
        <v>1825.5</v>
      </c>
      <c r="P180" s="228">
        <v>40.9</v>
      </c>
      <c r="Q180" s="229">
        <v>2.24E-2</v>
      </c>
      <c r="R180" s="231">
        <v>1879.9</v>
      </c>
      <c r="S180" s="231">
        <v>1838.8</v>
      </c>
      <c r="T180" s="228">
        <v>41.1</v>
      </c>
      <c r="U180" s="229">
        <v>2.24E-2</v>
      </c>
      <c r="V180" s="231">
        <v>1885.1</v>
      </c>
      <c r="W180" s="231">
        <v>1858.3</v>
      </c>
      <c r="X180" s="228">
        <v>26.8</v>
      </c>
      <c r="Y180" s="229">
        <v>1.44E-2</v>
      </c>
      <c r="Z180" s="228">
        <v>7.4</v>
      </c>
      <c r="AA180" s="228">
        <v>4.3</v>
      </c>
      <c r="AB180" s="228">
        <v>3.1</v>
      </c>
      <c r="AC180" s="229">
        <v>4.0000000000000001E-3</v>
      </c>
      <c r="AD180" s="228">
        <v>7.4</v>
      </c>
      <c r="AE180" s="228">
        <v>4.3</v>
      </c>
      <c r="AF180" s="228">
        <v>3.1</v>
      </c>
      <c r="AG180" s="229">
        <v>4.0000000000000001E-3</v>
      </c>
      <c r="AH180" s="228">
        <v>20.9</v>
      </c>
      <c r="AI180" s="228">
        <v>17.600000000000001</v>
      </c>
      <c r="AJ180" s="228">
        <v>3.3</v>
      </c>
      <c r="AK180" s="229">
        <v>1.12E-2</v>
      </c>
      <c r="AL180" s="228">
        <v>26.1</v>
      </c>
      <c r="AM180" s="228">
        <v>37.1</v>
      </c>
      <c r="AN180" s="228">
        <v>-11</v>
      </c>
      <c r="AO180" s="229">
        <v>1.4E-2</v>
      </c>
      <c r="AP180" s="231">
        <v>1857.22</v>
      </c>
      <c r="AQ180" s="231">
        <v>1866.9</v>
      </c>
      <c r="AR180" s="228">
        <v>0</v>
      </c>
      <c r="AS180" s="228">
        <v>312</v>
      </c>
      <c r="AT180" s="228">
        <v>200</v>
      </c>
      <c r="AU180" s="228">
        <v>111</v>
      </c>
      <c r="AV180" s="229">
        <v>0.55630000000000002</v>
      </c>
      <c r="AW180" s="228">
        <v>298</v>
      </c>
      <c r="AX180" s="228">
        <v>192</v>
      </c>
      <c r="AY180" s="228">
        <v>106</v>
      </c>
      <c r="AZ180" s="229">
        <v>0.55069999999999997</v>
      </c>
      <c r="BA180" s="228">
        <v>13</v>
      </c>
      <c r="BB180" s="228">
        <v>8</v>
      </c>
      <c r="BC180" s="228">
        <v>5</v>
      </c>
      <c r="BD180" s="229">
        <v>0.60340000000000005</v>
      </c>
      <c r="BE180" s="228">
        <v>1</v>
      </c>
      <c r="BF180" s="228">
        <v>0</v>
      </c>
      <c r="BG180" s="228">
        <v>1</v>
      </c>
      <c r="BH180" s="229">
        <v>0</v>
      </c>
      <c r="BI180" s="228">
        <v>831</v>
      </c>
      <c r="BJ180" s="228">
        <v>806</v>
      </c>
      <c r="BK180" s="228">
        <v>25</v>
      </c>
      <c r="BL180" s="229">
        <v>3.0599999999999999E-2</v>
      </c>
      <c r="BM180" s="228">
        <v>389</v>
      </c>
      <c r="BN180" s="228">
        <v>328</v>
      </c>
      <c r="BO180" s="228">
        <v>61</v>
      </c>
      <c r="BP180" s="229">
        <v>0.18679999999999999</v>
      </c>
      <c r="BQ180" s="230">
        <v>1531</v>
      </c>
      <c r="BR180" s="230">
        <v>1334</v>
      </c>
      <c r="BS180" s="228">
        <v>197</v>
      </c>
      <c r="BT180" s="229">
        <v>0.14779999999999999</v>
      </c>
      <c r="BU180" s="230">
        <v>1270981</v>
      </c>
      <c r="BV180" s="230">
        <v>1017646</v>
      </c>
      <c r="BW180" s="230">
        <v>253335</v>
      </c>
      <c r="BX180" s="229">
        <v>0.24890000000000001</v>
      </c>
      <c r="BY180" s="230">
        <v>1952</v>
      </c>
      <c r="BZ180" s="230">
        <v>1964</v>
      </c>
      <c r="CA180" s="228">
        <v>-12</v>
      </c>
      <c r="CB180" s="229">
        <v>-6.0000000000000001E-3</v>
      </c>
      <c r="CC180" s="230">
        <v>1702</v>
      </c>
      <c r="CD180" s="230">
        <v>1717</v>
      </c>
      <c r="CE180" s="228">
        <v>-15</v>
      </c>
      <c r="CF180" s="229">
        <v>-8.6999999999999994E-3</v>
      </c>
      <c r="CG180" s="228">
        <v>248</v>
      </c>
      <c r="CH180" s="228">
        <v>246</v>
      </c>
      <c r="CI180" s="228">
        <v>3</v>
      </c>
      <c r="CJ180" s="229">
        <v>1.0800000000000001E-2</v>
      </c>
      <c r="CK180" s="228">
        <v>1</v>
      </c>
      <c r="CL180" s="228">
        <v>1</v>
      </c>
      <c r="CM180" s="228">
        <v>1</v>
      </c>
      <c r="CN180" s="229">
        <v>0.72729999999999995</v>
      </c>
      <c r="CO180" s="228">
        <v>750</v>
      </c>
      <c r="CP180" s="228">
        <v>793</v>
      </c>
      <c r="CQ180" s="228">
        <v>-43</v>
      </c>
      <c r="CR180" s="229">
        <v>-5.4399999999999997E-2</v>
      </c>
      <c r="CS180" s="228">
        <v>394</v>
      </c>
      <c r="CT180" s="228">
        <v>367</v>
      </c>
      <c r="CU180" s="228">
        <v>26</v>
      </c>
      <c r="CV180" s="229">
        <v>7.1999999999999995E-2</v>
      </c>
      <c r="CW180" s="230">
        <v>3096</v>
      </c>
      <c r="CX180" s="230">
        <v>3124</v>
      </c>
      <c r="CY180" s="228">
        <v>-28</v>
      </c>
      <c r="CZ180" s="229">
        <v>-9.1000000000000004E-3</v>
      </c>
      <c r="DA180" s="228">
        <v>22.51</v>
      </c>
      <c r="DB180" s="228">
        <v>23.05</v>
      </c>
      <c r="DC180" s="228">
        <v>-0.54</v>
      </c>
      <c r="DD180" s="228">
        <v>-0.54</v>
      </c>
      <c r="DE180" s="228">
        <v>26.75</v>
      </c>
      <c r="DF180" s="228">
        <v>26.67</v>
      </c>
      <c r="DG180" s="228">
        <v>-4.24</v>
      </c>
      <c r="DH180" s="228">
        <v>0.08</v>
      </c>
      <c r="DI180" s="228">
        <v>21.75</v>
      </c>
      <c r="DJ180" s="228">
        <v>22.58</v>
      </c>
      <c r="DK180" s="228">
        <v>-0.83</v>
      </c>
      <c r="DL180" s="228">
        <v>-0.83</v>
      </c>
      <c r="DM180" s="228">
        <v>24.15</v>
      </c>
      <c r="DN180" s="228">
        <v>24.2</v>
      </c>
      <c r="DO180" s="228">
        <v>-0.05</v>
      </c>
      <c r="DP180" s="228">
        <v>-0.05</v>
      </c>
      <c r="DQ180" s="228">
        <v>0.53</v>
      </c>
      <c r="DR180" s="228">
        <v>0.46</v>
      </c>
      <c r="DS180" s="228">
        <v>7.0000000000000007E-2</v>
      </c>
      <c r="DT180" s="229">
        <v>0.1522</v>
      </c>
      <c r="DU180" s="231">
        <v>1860</v>
      </c>
      <c r="DV180" s="231">
        <v>1700</v>
      </c>
      <c r="DW180" s="228">
        <v>0.47</v>
      </c>
      <c r="DX180" s="228">
        <v>0.41</v>
      </c>
      <c r="DY180" s="228">
        <v>0.06</v>
      </c>
      <c r="DZ180" s="229">
        <v>0.14630000000000001</v>
      </c>
      <c r="EA180" s="229">
        <v>0.12790000000000001</v>
      </c>
      <c r="EB180" s="230">
        <v>1320750</v>
      </c>
      <c r="EC180" s="229">
        <v>7.1999999999999998E-3</v>
      </c>
      <c r="ED180" s="229">
        <v>0.12790000000000001</v>
      </c>
      <c r="EE180" s="228">
        <v>9.68</v>
      </c>
      <c r="EF180" s="229">
        <v>5.1999999999999998E-3</v>
      </c>
      <c r="EG180" s="230">
        <v>890307</v>
      </c>
      <c r="EH180" s="230">
        <v>587212</v>
      </c>
      <c r="EI180" s="229">
        <v>0.51619999999999999</v>
      </c>
      <c r="EJ180" s="229">
        <v>0.70050000000000001</v>
      </c>
      <c r="EK180" s="228">
        <v>859.94</v>
      </c>
      <c r="EL180" s="228">
        <v>379.81</v>
      </c>
      <c r="EM180" s="228">
        <v>310.07</v>
      </c>
      <c r="EN180" s="228">
        <v>28.12</v>
      </c>
      <c r="EO180" s="231">
        <v>1549.82</v>
      </c>
      <c r="EP180" s="231">
        <v>1342.74</v>
      </c>
      <c r="EQ180" s="228">
        <v>207.08</v>
      </c>
      <c r="ER180" s="229">
        <v>0.1542</v>
      </c>
      <c r="ES180" s="228">
        <v>769.6</v>
      </c>
      <c r="ET180" s="228">
        <v>373.25</v>
      </c>
      <c r="EU180" s="231">
        <v>1953.97</v>
      </c>
      <c r="EV180" s="231">
        <v>45527821</v>
      </c>
      <c r="EW180" s="231">
        <v>3096.82</v>
      </c>
      <c r="EX180" s="231">
        <v>3081.01</v>
      </c>
      <c r="EY180" s="228">
        <v>15.81</v>
      </c>
      <c r="EZ180" s="229">
        <v>5.1000000000000004E-3</v>
      </c>
      <c r="FA180" s="229">
        <v>0.36430000000000001</v>
      </c>
      <c r="FB180" s="227" t="s">
        <v>691</v>
      </c>
      <c r="FC180">
        <f t="shared" si="3"/>
        <v>0</v>
      </c>
    </row>
    <row r="181" spans="1:159" ht="17.25" thickBot="1" x14ac:dyDescent="0.3">
      <c r="A181" s="226">
        <v>46148</v>
      </c>
      <c r="B181" s="227" t="s">
        <v>172</v>
      </c>
      <c r="C181" s="227" t="s">
        <v>283</v>
      </c>
      <c r="D181" s="228">
        <v>750</v>
      </c>
      <c r="E181" s="228">
        <v>20</v>
      </c>
      <c r="F181" s="231">
        <v>1090.2</v>
      </c>
      <c r="G181" s="231">
        <v>1051.8</v>
      </c>
      <c r="H181" s="228">
        <v>38.4</v>
      </c>
      <c r="I181" s="229">
        <v>3.6499999999999998E-2</v>
      </c>
      <c r="J181" s="231">
        <v>1096</v>
      </c>
      <c r="K181" s="231">
        <v>1059.9000000000001</v>
      </c>
      <c r="L181" s="228">
        <v>36.1</v>
      </c>
      <c r="M181" s="229">
        <v>3.4099999999999998E-2</v>
      </c>
      <c r="N181" s="231">
        <v>1090.2</v>
      </c>
      <c r="O181" s="231">
        <v>1051.8</v>
      </c>
      <c r="P181" s="228">
        <v>38.4</v>
      </c>
      <c r="Q181" s="229">
        <v>3.6499999999999998E-2</v>
      </c>
      <c r="R181" s="231">
        <v>1093.5999999999999</v>
      </c>
      <c r="S181" s="231">
        <v>1056</v>
      </c>
      <c r="T181" s="228">
        <v>37.6</v>
      </c>
      <c r="U181" s="229">
        <v>3.56E-2</v>
      </c>
      <c r="V181" s="231">
        <v>1098.0999999999999</v>
      </c>
      <c r="W181" s="231">
        <v>1062.0999999999999</v>
      </c>
      <c r="X181" s="228">
        <v>36</v>
      </c>
      <c r="Y181" s="229">
        <v>3.39E-2</v>
      </c>
      <c r="Z181" s="228">
        <v>-5.8</v>
      </c>
      <c r="AA181" s="228">
        <v>-8.1</v>
      </c>
      <c r="AB181" s="228">
        <v>2.2999999999999998</v>
      </c>
      <c r="AC181" s="229">
        <v>-5.3E-3</v>
      </c>
      <c r="AD181" s="228">
        <v>-5.8</v>
      </c>
      <c r="AE181" s="228">
        <v>-8.1</v>
      </c>
      <c r="AF181" s="228">
        <v>2.2999999999999998</v>
      </c>
      <c r="AG181" s="229">
        <v>-5.3E-3</v>
      </c>
      <c r="AH181" s="228">
        <v>-2.4</v>
      </c>
      <c r="AI181" s="228">
        <v>-3.9</v>
      </c>
      <c r="AJ181" s="228">
        <v>1.5</v>
      </c>
      <c r="AK181" s="229">
        <v>-2.2000000000000001E-3</v>
      </c>
      <c r="AL181" s="228">
        <v>2.1</v>
      </c>
      <c r="AM181" s="228">
        <v>2.2000000000000002</v>
      </c>
      <c r="AN181" s="228">
        <v>-0.1</v>
      </c>
      <c r="AO181" s="229">
        <v>1.9E-3</v>
      </c>
      <c r="AP181" s="231">
        <v>1075.8499999999999</v>
      </c>
      <c r="AQ181" s="231">
        <v>1076.23</v>
      </c>
      <c r="AR181" s="228">
        <v>0</v>
      </c>
      <c r="AS181" s="230">
        <v>2318</v>
      </c>
      <c r="AT181" s="228">
        <v>993</v>
      </c>
      <c r="AU181" s="230">
        <v>1325</v>
      </c>
      <c r="AV181" s="229">
        <v>1.3347</v>
      </c>
      <c r="AW181" s="230">
        <v>2155</v>
      </c>
      <c r="AX181" s="228">
        <v>870</v>
      </c>
      <c r="AY181" s="230">
        <v>1285</v>
      </c>
      <c r="AZ181" s="229">
        <v>1.4766999999999999</v>
      </c>
      <c r="BA181" s="228">
        <v>144</v>
      </c>
      <c r="BB181" s="228">
        <v>112</v>
      </c>
      <c r="BC181" s="228">
        <v>32</v>
      </c>
      <c r="BD181" s="229">
        <v>0.2843</v>
      </c>
      <c r="BE181" s="228">
        <v>20</v>
      </c>
      <c r="BF181" s="228">
        <v>11</v>
      </c>
      <c r="BG181" s="228">
        <v>9</v>
      </c>
      <c r="BH181" s="229">
        <v>0.81200000000000006</v>
      </c>
      <c r="BI181" s="230">
        <v>8515</v>
      </c>
      <c r="BJ181" s="230">
        <v>3797</v>
      </c>
      <c r="BK181" s="230">
        <v>4717</v>
      </c>
      <c r="BL181" s="229">
        <v>1.2421</v>
      </c>
      <c r="BM181" s="230">
        <v>4082</v>
      </c>
      <c r="BN181" s="230">
        <v>2274</v>
      </c>
      <c r="BO181" s="230">
        <v>1809</v>
      </c>
      <c r="BP181" s="229">
        <v>0.7954</v>
      </c>
      <c r="BQ181" s="230">
        <v>14915</v>
      </c>
      <c r="BR181" s="230">
        <v>7064</v>
      </c>
      <c r="BS181" s="230">
        <v>7851</v>
      </c>
      <c r="BT181" s="229">
        <v>1.1113</v>
      </c>
      <c r="BU181" s="230">
        <v>15270724</v>
      </c>
      <c r="BV181" s="230">
        <v>12829281</v>
      </c>
      <c r="BW181" s="230">
        <v>2441443</v>
      </c>
      <c r="BX181" s="229">
        <v>0.1903</v>
      </c>
      <c r="BY181" s="230">
        <v>10939</v>
      </c>
      <c r="BZ181" s="230">
        <v>10526</v>
      </c>
      <c r="CA181" s="228">
        <v>413</v>
      </c>
      <c r="CB181" s="229">
        <v>3.9199999999999999E-2</v>
      </c>
      <c r="CC181" s="230">
        <v>8572</v>
      </c>
      <c r="CD181" s="230">
        <v>8207</v>
      </c>
      <c r="CE181" s="228">
        <v>364</v>
      </c>
      <c r="CF181" s="229">
        <v>4.4400000000000002E-2</v>
      </c>
      <c r="CG181" s="230">
        <v>2345</v>
      </c>
      <c r="CH181" s="230">
        <v>2298</v>
      </c>
      <c r="CI181" s="228">
        <v>47</v>
      </c>
      <c r="CJ181" s="229">
        <v>2.0500000000000001E-2</v>
      </c>
      <c r="CK181" s="228">
        <v>22</v>
      </c>
      <c r="CL181" s="228">
        <v>20</v>
      </c>
      <c r="CM181" s="228">
        <v>2</v>
      </c>
      <c r="CN181" s="229">
        <v>9.8000000000000004E-2</v>
      </c>
      <c r="CO181" s="230">
        <v>3600</v>
      </c>
      <c r="CP181" s="230">
        <v>3804</v>
      </c>
      <c r="CQ181" s="228">
        <v>-204</v>
      </c>
      <c r="CR181" s="229">
        <v>-5.3499999999999999E-2</v>
      </c>
      <c r="CS181" s="230">
        <v>2739</v>
      </c>
      <c r="CT181" s="230">
        <v>2604</v>
      </c>
      <c r="CU181" s="228">
        <v>135</v>
      </c>
      <c r="CV181" s="229">
        <v>5.1900000000000002E-2</v>
      </c>
      <c r="CW181" s="230">
        <v>17277</v>
      </c>
      <c r="CX181" s="230">
        <v>16933</v>
      </c>
      <c r="CY181" s="228">
        <v>345</v>
      </c>
      <c r="CZ181" s="229">
        <v>2.0299999999999999E-2</v>
      </c>
      <c r="DA181" s="228">
        <v>31.2</v>
      </c>
      <c r="DB181" s="228">
        <v>32.32</v>
      </c>
      <c r="DC181" s="228">
        <v>-1.1200000000000001</v>
      </c>
      <c r="DD181" s="228">
        <v>-1.1200000000000001</v>
      </c>
      <c r="DE181" s="228">
        <v>29.17</v>
      </c>
      <c r="DF181" s="228">
        <v>28.89</v>
      </c>
      <c r="DG181" s="228">
        <v>2.0299999999999998</v>
      </c>
      <c r="DH181" s="228">
        <v>0.28000000000000003</v>
      </c>
      <c r="DI181" s="228">
        <v>30.86</v>
      </c>
      <c r="DJ181" s="228">
        <v>32.549999999999997</v>
      </c>
      <c r="DK181" s="228">
        <v>-1.69</v>
      </c>
      <c r="DL181" s="228">
        <v>-1.69</v>
      </c>
      <c r="DM181" s="228">
        <v>31.91</v>
      </c>
      <c r="DN181" s="228">
        <v>31.94</v>
      </c>
      <c r="DO181" s="228">
        <v>-0.03</v>
      </c>
      <c r="DP181" s="228">
        <v>-0.03</v>
      </c>
      <c r="DQ181" s="228">
        <v>0.76</v>
      </c>
      <c r="DR181" s="228">
        <v>0.68</v>
      </c>
      <c r="DS181" s="228">
        <v>0.08</v>
      </c>
      <c r="DT181" s="229">
        <v>0.1176</v>
      </c>
      <c r="DU181" s="231">
        <v>1100</v>
      </c>
      <c r="DV181" s="231">
        <v>1100</v>
      </c>
      <c r="DW181" s="228">
        <v>0.48</v>
      </c>
      <c r="DX181" s="228">
        <v>0.6</v>
      </c>
      <c r="DY181" s="228">
        <v>-0.12</v>
      </c>
      <c r="DZ181" s="229">
        <v>-0.2</v>
      </c>
      <c r="EA181" s="229">
        <v>0.21640000000000001</v>
      </c>
      <c r="EB181" s="230">
        <v>21263250</v>
      </c>
      <c r="EC181" s="229">
        <v>3.0999999999999999E-3</v>
      </c>
      <c r="ED181" s="229">
        <v>0.21640000000000001</v>
      </c>
      <c r="EE181" s="228">
        <v>0.38</v>
      </c>
      <c r="EF181" s="229">
        <v>4.0000000000000002E-4</v>
      </c>
      <c r="EG181" s="230">
        <v>7843088</v>
      </c>
      <c r="EH181" s="230">
        <v>4897303</v>
      </c>
      <c r="EI181" s="229">
        <v>0.60150000000000003</v>
      </c>
      <c r="EJ181" s="229">
        <v>0.51359999999999995</v>
      </c>
      <c r="EK181" s="231">
        <v>8847.44</v>
      </c>
      <c r="EL181" s="231">
        <v>3954.63</v>
      </c>
      <c r="EM181" s="231">
        <v>2288.11</v>
      </c>
      <c r="EN181" s="228">
        <v>153.4</v>
      </c>
      <c r="EO181" s="231">
        <v>15090.18</v>
      </c>
      <c r="EP181" s="231">
        <v>7046.32</v>
      </c>
      <c r="EQ181" s="231">
        <v>8043.86</v>
      </c>
      <c r="ER181" s="229">
        <v>1.1415999999999999</v>
      </c>
      <c r="ES181" s="231">
        <v>3750.98</v>
      </c>
      <c r="ET181" s="231">
        <v>2651.33</v>
      </c>
      <c r="EU181" s="231">
        <v>10946.16</v>
      </c>
      <c r="EV181" s="231">
        <v>580324288</v>
      </c>
      <c r="EW181" s="231">
        <v>17348.47</v>
      </c>
      <c r="EX181" s="231">
        <v>16633.919999999998</v>
      </c>
      <c r="EY181" s="228">
        <v>714.55</v>
      </c>
      <c r="EZ181" s="229">
        <v>4.2999999999999997E-2</v>
      </c>
      <c r="FA181" s="229">
        <v>0.27310000000000001</v>
      </c>
      <c r="FB181" s="227" t="s">
        <v>555</v>
      </c>
      <c r="FC181">
        <f t="shared" si="3"/>
        <v>0</v>
      </c>
    </row>
    <row r="182" spans="1:159" ht="17.25" thickBot="1" x14ac:dyDescent="0.3">
      <c r="A182" s="226">
        <v>46148</v>
      </c>
      <c r="B182" s="227" t="s">
        <v>157</v>
      </c>
      <c r="C182" s="227" t="s">
        <v>284</v>
      </c>
      <c r="D182" s="228">
        <v>25</v>
      </c>
      <c r="E182" s="228">
        <v>20</v>
      </c>
      <c r="F182" s="231">
        <v>24795</v>
      </c>
      <c r="G182" s="231">
        <v>24510</v>
      </c>
      <c r="H182" s="228">
        <v>285</v>
      </c>
      <c r="I182" s="229">
        <v>1.1599999999999999E-2</v>
      </c>
      <c r="J182" s="231">
        <v>24975</v>
      </c>
      <c r="K182" s="231">
        <v>24845</v>
      </c>
      <c r="L182" s="228">
        <v>130</v>
      </c>
      <c r="M182" s="229">
        <v>5.1999999999999998E-3</v>
      </c>
      <c r="N182" s="231">
        <v>24795</v>
      </c>
      <c r="O182" s="231">
        <v>24510</v>
      </c>
      <c r="P182" s="228">
        <v>285</v>
      </c>
      <c r="Q182" s="229">
        <v>1.1599999999999999E-2</v>
      </c>
      <c r="R182" s="231">
        <v>24615</v>
      </c>
      <c r="S182" s="231">
        <v>24305</v>
      </c>
      <c r="T182" s="228">
        <v>310</v>
      </c>
      <c r="U182" s="229">
        <v>1.2800000000000001E-2</v>
      </c>
      <c r="V182" s="231">
        <v>24330</v>
      </c>
      <c r="W182" s="231">
        <v>24415</v>
      </c>
      <c r="X182" s="228">
        <v>-85</v>
      </c>
      <c r="Y182" s="229">
        <v>-3.5000000000000001E-3</v>
      </c>
      <c r="Z182" s="228">
        <v>-180</v>
      </c>
      <c r="AA182" s="228">
        <v>-335</v>
      </c>
      <c r="AB182" s="228">
        <v>155</v>
      </c>
      <c r="AC182" s="229">
        <v>-7.1999999999999998E-3</v>
      </c>
      <c r="AD182" s="228">
        <v>-180</v>
      </c>
      <c r="AE182" s="228">
        <v>-335</v>
      </c>
      <c r="AF182" s="228">
        <v>155</v>
      </c>
      <c r="AG182" s="229">
        <v>-7.1999999999999998E-3</v>
      </c>
      <c r="AH182" s="228">
        <v>-360</v>
      </c>
      <c r="AI182" s="228">
        <v>-540</v>
      </c>
      <c r="AJ182" s="228">
        <v>180</v>
      </c>
      <c r="AK182" s="229">
        <v>-1.44E-2</v>
      </c>
      <c r="AL182" s="228">
        <v>-645</v>
      </c>
      <c r="AM182" s="228">
        <v>-430</v>
      </c>
      <c r="AN182" s="228">
        <v>-215</v>
      </c>
      <c r="AO182" s="229">
        <v>-2.58E-2</v>
      </c>
      <c r="AP182" s="231">
        <v>24735.51</v>
      </c>
      <c r="AQ182" s="231">
        <v>24513.79</v>
      </c>
      <c r="AR182" s="228">
        <v>0</v>
      </c>
      <c r="AS182" s="228">
        <v>179</v>
      </c>
      <c r="AT182" s="228">
        <v>190</v>
      </c>
      <c r="AU182" s="228">
        <v>-11</v>
      </c>
      <c r="AV182" s="229">
        <v>-5.7700000000000001E-2</v>
      </c>
      <c r="AW182" s="228">
        <v>168</v>
      </c>
      <c r="AX182" s="228">
        <v>175</v>
      </c>
      <c r="AY182" s="228">
        <v>-7</v>
      </c>
      <c r="AZ182" s="229">
        <v>-3.7999999999999999E-2</v>
      </c>
      <c r="BA182" s="228">
        <v>11</v>
      </c>
      <c r="BB182" s="228">
        <v>15</v>
      </c>
      <c r="BC182" s="228">
        <v>-5</v>
      </c>
      <c r="BD182" s="229">
        <v>-0.30120000000000002</v>
      </c>
      <c r="BE182" s="228">
        <v>0</v>
      </c>
      <c r="BF182" s="228">
        <v>0</v>
      </c>
      <c r="BG182" s="228">
        <v>0</v>
      </c>
      <c r="BH182" s="229">
        <v>5</v>
      </c>
      <c r="BI182" s="228">
        <v>397</v>
      </c>
      <c r="BJ182" s="228">
        <v>98</v>
      </c>
      <c r="BK182" s="228">
        <v>299</v>
      </c>
      <c r="BL182" s="229">
        <v>3.0404</v>
      </c>
      <c r="BM182" s="228">
        <v>189</v>
      </c>
      <c r="BN182" s="228">
        <v>30</v>
      </c>
      <c r="BO182" s="228">
        <v>160</v>
      </c>
      <c r="BP182" s="229">
        <v>5.4160000000000004</v>
      </c>
      <c r="BQ182" s="228">
        <v>766</v>
      </c>
      <c r="BR182" s="228">
        <v>318</v>
      </c>
      <c r="BS182" s="228">
        <v>448</v>
      </c>
      <c r="BT182" s="229">
        <v>1.4083000000000001</v>
      </c>
      <c r="BU182" s="230">
        <v>53739</v>
      </c>
      <c r="BV182" s="230">
        <v>20020</v>
      </c>
      <c r="BW182" s="230">
        <v>33719</v>
      </c>
      <c r="BX182" s="229">
        <v>1.6842999999999999</v>
      </c>
      <c r="BY182" s="230">
        <v>1118</v>
      </c>
      <c r="BZ182" s="230">
        <v>1057</v>
      </c>
      <c r="CA182" s="228">
        <v>60</v>
      </c>
      <c r="CB182" s="229">
        <v>5.6899999999999999E-2</v>
      </c>
      <c r="CC182" s="230">
        <v>1092</v>
      </c>
      <c r="CD182" s="230">
        <v>1036</v>
      </c>
      <c r="CE182" s="228">
        <v>56</v>
      </c>
      <c r="CF182" s="229">
        <v>5.3999999999999999E-2</v>
      </c>
      <c r="CG182" s="228">
        <v>24</v>
      </c>
      <c r="CH182" s="228">
        <v>20</v>
      </c>
      <c r="CI182" s="228">
        <v>4</v>
      </c>
      <c r="CJ182" s="229">
        <v>0.1933</v>
      </c>
      <c r="CK182" s="228">
        <v>1</v>
      </c>
      <c r="CL182" s="228">
        <v>1</v>
      </c>
      <c r="CM182" s="228">
        <v>0</v>
      </c>
      <c r="CN182" s="229">
        <v>0.41670000000000001</v>
      </c>
      <c r="CO182" s="228">
        <v>142</v>
      </c>
      <c r="CP182" s="228">
        <v>100</v>
      </c>
      <c r="CQ182" s="228">
        <v>42</v>
      </c>
      <c r="CR182" s="229">
        <v>0.41860000000000003</v>
      </c>
      <c r="CS182" s="228">
        <v>123</v>
      </c>
      <c r="CT182" s="228">
        <v>88</v>
      </c>
      <c r="CU182" s="228">
        <v>34</v>
      </c>
      <c r="CV182" s="229">
        <v>0.38990000000000002</v>
      </c>
      <c r="CW182" s="230">
        <v>1383</v>
      </c>
      <c r="CX182" s="230">
        <v>1246</v>
      </c>
      <c r="CY182" s="228">
        <v>137</v>
      </c>
      <c r="CZ182" s="229">
        <v>0.1096</v>
      </c>
      <c r="DA182" s="228">
        <v>31.51</v>
      </c>
      <c r="DB182" s="228">
        <v>31.88</v>
      </c>
      <c r="DC182" s="228">
        <v>-0.37</v>
      </c>
      <c r="DD182" s="228">
        <v>-0.37</v>
      </c>
      <c r="DE182" s="228">
        <v>27.7</v>
      </c>
      <c r="DF182" s="228">
        <v>27.72</v>
      </c>
      <c r="DG182" s="228">
        <v>3.81</v>
      </c>
      <c r="DH182" s="228">
        <v>-0.02</v>
      </c>
      <c r="DI182" s="228">
        <v>31.66</v>
      </c>
      <c r="DJ182" s="228">
        <v>31.64</v>
      </c>
      <c r="DK182" s="228">
        <v>0.02</v>
      </c>
      <c r="DL182" s="228">
        <v>0.02</v>
      </c>
      <c r="DM182" s="228">
        <v>31.21</v>
      </c>
      <c r="DN182" s="228">
        <v>32.67</v>
      </c>
      <c r="DO182" s="228">
        <v>-1.46</v>
      </c>
      <c r="DP182" s="228">
        <v>-1.46</v>
      </c>
      <c r="DQ182" s="228">
        <v>0.87</v>
      </c>
      <c r="DR182" s="228">
        <v>0.88</v>
      </c>
      <c r="DS182" s="228">
        <v>-0.01</v>
      </c>
      <c r="DT182" s="229">
        <v>-1.14E-2</v>
      </c>
      <c r="DU182" s="231">
        <v>25000</v>
      </c>
      <c r="DV182" s="231">
        <v>25000</v>
      </c>
      <c r="DW182" s="228">
        <v>0.48</v>
      </c>
      <c r="DX182" s="228">
        <v>0.3</v>
      </c>
      <c r="DY182" s="228">
        <v>0.18</v>
      </c>
      <c r="DZ182" s="229">
        <v>0.6</v>
      </c>
      <c r="EA182" s="229">
        <v>2.2499999999999999E-2</v>
      </c>
      <c r="EB182" s="230">
        <v>8450</v>
      </c>
      <c r="EC182" s="229">
        <v>-7.3000000000000001E-3</v>
      </c>
      <c r="ED182" s="229">
        <v>2.2499999999999999E-2</v>
      </c>
      <c r="EE182" s="228">
        <v>-221.72</v>
      </c>
      <c r="EF182" s="229">
        <v>-8.9999999999999993E-3</v>
      </c>
      <c r="EG182" s="230">
        <v>30505</v>
      </c>
      <c r="EH182" s="230">
        <v>8305</v>
      </c>
      <c r="EI182" s="229">
        <v>2.6730999999999998</v>
      </c>
      <c r="EJ182" s="229">
        <v>0.56769999999999998</v>
      </c>
      <c r="EK182" s="228">
        <v>417.66</v>
      </c>
      <c r="EL182" s="228">
        <v>187.95</v>
      </c>
      <c r="EM182" s="228">
        <v>178.61</v>
      </c>
      <c r="EN182" s="228">
        <v>22.04</v>
      </c>
      <c r="EO182" s="228">
        <v>784.23</v>
      </c>
      <c r="EP182" s="228">
        <v>319.89999999999998</v>
      </c>
      <c r="EQ182" s="228">
        <v>464.33</v>
      </c>
      <c r="ER182" s="229">
        <v>1.4515</v>
      </c>
      <c r="ES182" s="228">
        <v>145.96</v>
      </c>
      <c r="ET182" s="228">
        <v>118.7</v>
      </c>
      <c r="EU182" s="231">
        <v>1117.44</v>
      </c>
      <c r="EV182" s="231">
        <v>1655049</v>
      </c>
      <c r="EW182" s="231">
        <v>1382.1</v>
      </c>
      <c r="EX182" s="231">
        <v>1231.48</v>
      </c>
      <c r="EY182" s="228">
        <v>150.62</v>
      </c>
      <c r="EZ182" s="229">
        <v>0.12230000000000001</v>
      </c>
      <c r="FA182" s="229">
        <v>0.33689999999999998</v>
      </c>
      <c r="FB182" s="227" t="s">
        <v>555</v>
      </c>
      <c r="FC182">
        <f t="shared" si="3"/>
        <v>0</v>
      </c>
    </row>
    <row r="183" spans="1:159" ht="17.25" thickBot="1" x14ac:dyDescent="0.3">
      <c r="A183" s="226">
        <v>46148</v>
      </c>
      <c r="B183" s="227" t="s">
        <v>175</v>
      </c>
      <c r="C183" s="227" t="s">
        <v>561</v>
      </c>
      <c r="D183" s="228">
        <v>825</v>
      </c>
      <c r="E183" s="228">
        <v>20</v>
      </c>
      <c r="F183" s="231">
        <v>1010.5</v>
      </c>
      <c r="G183" s="228">
        <v>967.4</v>
      </c>
      <c r="H183" s="228">
        <v>43.1</v>
      </c>
      <c r="I183" s="229">
        <v>4.4600000000000001E-2</v>
      </c>
      <c r="J183" s="231">
        <v>1004.1</v>
      </c>
      <c r="K183" s="228">
        <v>964.4</v>
      </c>
      <c r="L183" s="228">
        <v>39.700000000000003</v>
      </c>
      <c r="M183" s="229">
        <v>4.1200000000000001E-2</v>
      </c>
      <c r="N183" s="231">
        <v>1010.5</v>
      </c>
      <c r="O183" s="228">
        <v>967.4</v>
      </c>
      <c r="P183" s="228">
        <v>43.1</v>
      </c>
      <c r="Q183" s="229">
        <v>4.4600000000000001E-2</v>
      </c>
      <c r="R183" s="231">
        <v>1016.8</v>
      </c>
      <c r="S183" s="228">
        <v>974.45</v>
      </c>
      <c r="T183" s="228">
        <v>42.35</v>
      </c>
      <c r="U183" s="229">
        <v>4.3499999999999997E-2</v>
      </c>
      <c r="V183" s="231">
        <v>1015.9</v>
      </c>
      <c r="W183" s="228">
        <v>970.8</v>
      </c>
      <c r="X183" s="228">
        <v>45.1</v>
      </c>
      <c r="Y183" s="229">
        <v>4.65E-2</v>
      </c>
      <c r="Z183" s="228">
        <v>6.4</v>
      </c>
      <c r="AA183" s="228">
        <v>3</v>
      </c>
      <c r="AB183" s="228">
        <v>3.4</v>
      </c>
      <c r="AC183" s="229">
        <v>6.4000000000000003E-3</v>
      </c>
      <c r="AD183" s="228">
        <v>6.4</v>
      </c>
      <c r="AE183" s="228">
        <v>3</v>
      </c>
      <c r="AF183" s="228">
        <v>3.4</v>
      </c>
      <c r="AG183" s="229">
        <v>6.4000000000000003E-3</v>
      </c>
      <c r="AH183" s="228">
        <v>12.7</v>
      </c>
      <c r="AI183" s="228">
        <v>10.050000000000001</v>
      </c>
      <c r="AJ183" s="228">
        <v>2.65</v>
      </c>
      <c r="AK183" s="229">
        <v>1.26E-2</v>
      </c>
      <c r="AL183" s="228">
        <v>11.8</v>
      </c>
      <c r="AM183" s="228">
        <v>6.4</v>
      </c>
      <c r="AN183" s="228">
        <v>5.4</v>
      </c>
      <c r="AO183" s="229">
        <v>1.18E-2</v>
      </c>
      <c r="AP183" s="228">
        <v>995.99</v>
      </c>
      <c r="AQ183" s="231">
        <v>1002.71</v>
      </c>
      <c r="AR183" s="228">
        <v>0</v>
      </c>
      <c r="AS183" s="230">
        <v>1049</v>
      </c>
      <c r="AT183" s="228">
        <v>536</v>
      </c>
      <c r="AU183" s="228">
        <v>513</v>
      </c>
      <c r="AV183" s="229">
        <v>0.95609999999999995</v>
      </c>
      <c r="AW183" s="228">
        <v>989</v>
      </c>
      <c r="AX183" s="228">
        <v>505</v>
      </c>
      <c r="AY183" s="228">
        <v>484</v>
      </c>
      <c r="AZ183" s="229">
        <v>0.95989999999999998</v>
      </c>
      <c r="BA183" s="228">
        <v>50</v>
      </c>
      <c r="BB183" s="228">
        <v>24</v>
      </c>
      <c r="BC183" s="228">
        <v>26</v>
      </c>
      <c r="BD183" s="229">
        <v>1.0835999999999999</v>
      </c>
      <c r="BE183" s="228">
        <v>10</v>
      </c>
      <c r="BF183" s="228">
        <v>8</v>
      </c>
      <c r="BG183" s="228">
        <v>2</v>
      </c>
      <c r="BH183" s="229">
        <v>0.3</v>
      </c>
      <c r="BI183" s="230">
        <v>2747</v>
      </c>
      <c r="BJ183" s="230">
        <v>1272</v>
      </c>
      <c r="BK183" s="230">
        <v>1474</v>
      </c>
      <c r="BL183" s="229">
        <v>1.1586000000000001</v>
      </c>
      <c r="BM183" s="230">
        <v>1459</v>
      </c>
      <c r="BN183" s="228">
        <v>715</v>
      </c>
      <c r="BO183" s="228">
        <v>744</v>
      </c>
      <c r="BP183" s="229">
        <v>1.0406</v>
      </c>
      <c r="BQ183" s="230">
        <v>5254</v>
      </c>
      <c r="BR183" s="230">
        <v>2524</v>
      </c>
      <c r="BS183" s="230">
        <v>2731</v>
      </c>
      <c r="BT183" s="229">
        <v>1.0822000000000001</v>
      </c>
      <c r="BU183" s="230">
        <v>6428007</v>
      </c>
      <c r="BV183" s="230">
        <v>4165242</v>
      </c>
      <c r="BW183" s="230">
        <v>2262765</v>
      </c>
      <c r="BX183" s="229">
        <v>0.54320000000000002</v>
      </c>
      <c r="BY183" s="230">
        <v>4454</v>
      </c>
      <c r="BZ183" s="230">
        <v>4544</v>
      </c>
      <c r="CA183" s="228">
        <v>-91</v>
      </c>
      <c r="CB183" s="229">
        <v>-1.9900000000000001E-2</v>
      </c>
      <c r="CC183" s="230">
        <v>3846</v>
      </c>
      <c r="CD183" s="230">
        <v>3948</v>
      </c>
      <c r="CE183" s="228">
        <v>-101</v>
      </c>
      <c r="CF183" s="229">
        <v>-2.5700000000000001E-2</v>
      </c>
      <c r="CG183" s="228">
        <v>596</v>
      </c>
      <c r="CH183" s="228">
        <v>587</v>
      </c>
      <c r="CI183" s="228">
        <v>9</v>
      </c>
      <c r="CJ183" s="229">
        <v>1.4999999999999999E-2</v>
      </c>
      <c r="CK183" s="228">
        <v>11</v>
      </c>
      <c r="CL183" s="228">
        <v>10</v>
      </c>
      <c r="CM183" s="228">
        <v>2</v>
      </c>
      <c r="CN183" s="229">
        <v>0.20180000000000001</v>
      </c>
      <c r="CO183" s="230">
        <v>1617</v>
      </c>
      <c r="CP183" s="230">
        <v>1890</v>
      </c>
      <c r="CQ183" s="228">
        <v>-272</v>
      </c>
      <c r="CR183" s="229">
        <v>-0.14419999999999999</v>
      </c>
      <c r="CS183" s="228">
        <v>953</v>
      </c>
      <c r="CT183" s="228">
        <v>919</v>
      </c>
      <c r="CU183" s="228">
        <v>33</v>
      </c>
      <c r="CV183" s="229">
        <v>3.6400000000000002E-2</v>
      </c>
      <c r="CW183" s="230">
        <v>7024</v>
      </c>
      <c r="CX183" s="230">
        <v>7354</v>
      </c>
      <c r="CY183" s="228">
        <v>-330</v>
      </c>
      <c r="CZ183" s="229">
        <v>-4.48E-2</v>
      </c>
      <c r="DA183" s="228">
        <v>36.15</v>
      </c>
      <c r="DB183" s="228">
        <v>38.299999999999997</v>
      </c>
      <c r="DC183" s="228">
        <v>-2.15</v>
      </c>
      <c r="DD183" s="228">
        <v>-2.15</v>
      </c>
      <c r="DE183" s="228">
        <v>44.94</v>
      </c>
      <c r="DF183" s="228">
        <v>44.72</v>
      </c>
      <c r="DG183" s="228">
        <v>-8.7899999999999991</v>
      </c>
      <c r="DH183" s="228">
        <v>0.22</v>
      </c>
      <c r="DI183" s="228">
        <v>35.950000000000003</v>
      </c>
      <c r="DJ183" s="228">
        <v>38.520000000000003</v>
      </c>
      <c r="DK183" s="228">
        <v>-2.57</v>
      </c>
      <c r="DL183" s="228">
        <v>-2.57</v>
      </c>
      <c r="DM183" s="228">
        <v>36.53</v>
      </c>
      <c r="DN183" s="228">
        <v>37.9</v>
      </c>
      <c r="DO183" s="228">
        <v>-1.37</v>
      </c>
      <c r="DP183" s="228">
        <v>-1.37</v>
      </c>
      <c r="DQ183" s="228">
        <v>0.59</v>
      </c>
      <c r="DR183" s="228">
        <v>0.49</v>
      </c>
      <c r="DS183" s="228">
        <v>0.1</v>
      </c>
      <c r="DT183" s="229">
        <v>0.2041</v>
      </c>
      <c r="DU183" s="231">
        <v>1100</v>
      </c>
      <c r="DV183" s="228">
        <v>900</v>
      </c>
      <c r="DW183" s="228">
        <v>0.53</v>
      </c>
      <c r="DX183" s="228">
        <v>0.56000000000000005</v>
      </c>
      <c r="DY183" s="228">
        <v>-0.03</v>
      </c>
      <c r="DZ183" s="229">
        <v>-5.3600000000000002E-2</v>
      </c>
      <c r="EA183" s="229">
        <v>0.13639999999999999</v>
      </c>
      <c r="EB183" s="230">
        <v>5906175</v>
      </c>
      <c r="EC183" s="229">
        <v>6.1999999999999998E-3</v>
      </c>
      <c r="ED183" s="229">
        <v>0.13639999999999999</v>
      </c>
      <c r="EE183" s="228">
        <v>6.72</v>
      </c>
      <c r="EF183" s="229">
        <v>6.7000000000000002E-3</v>
      </c>
      <c r="EG183" s="230">
        <v>3676459</v>
      </c>
      <c r="EH183" s="230">
        <v>1742411</v>
      </c>
      <c r="EI183" s="229">
        <v>1.1100000000000001</v>
      </c>
      <c r="EJ183" s="229">
        <v>0.57189999999999996</v>
      </c>
      <c r="EK183" s="231">
        <v>2858.92</v>
      </c>
      <c r="EL183" s="231">
        <v>1393.75</v>
      </c>
      <c r="EM183" s="231">
        <v>1033.9000000000001</v>
      </c>
      <c r="EN183" s="228">
        <v>76.290000000000006</v>
      </c>
      <c r="EO183" s="231">
        <v>5286.56</v>
      </c>
      <c r="EP183" s="231">
        <v>2479.7399999999998</v>
      </c>
      <c r="EQ183" s="231">
        <v>2806.82</v>
      </c>
      <c r="ER183" s="229">
        <v>1.1318999999999999</v>
      </c>
      <c r="ES183" s="231">
        <v>1663.53</v>
      </c>
      <c r="ET183" s="228">
        <v>888.43</v>
      </c>
      <c r="EU183" s="231">
        <v>4457.62</v>
      </c>
      <c r="EV183" s="231">
        <v>210567108</v>
      </c>
      <c r="EW183" s="231">
        <v>7009.59</v>
      </c>
      <c r="EX183" s="231">
        <v>7138.05</v>
      </c>
      <c r="EY183" s="228">
        <v>-128.46</v>
      </c>
      <c r="EZ183" s="229">
        <v>-1.7999999999999999E-2</v>
      </c>
      <c r="FA183" s="229">
        <v>0.3301</v>
      </c>
      <c r="FB183" s="227" t="s">
        <v>691</v>
      </c>
      <c r="FC183">
        <f t="shared" si="3"/>
        <v>0</v>
      </c>
    </row>
    <row r="184" spans="1:159" ht="17.25" thickBot="1" x14ac:dyDescent="0.3">
      <c r="A184" s="226">
        <v>46148</v>
      </c>
      <c r="B184" s="227" t="s">
        <v>184</v>
      </c>
      <c r="C184" s="227" t="s">
        <v>285</v>
      </c>
      <c r="D184" s="228">
        <v>175</v>
      </c>
      <c r="E184" s="228">
        <v>20</v>
      </c>
      <c r="F184" s="231">
        <v>3839.6</v>
      </c>
      <c r="G184" s="231">
        <v>3862.4</v>
      </c>
      <c r="H184" s="228">
        <v>-22.8</v>
      </c>
      <c r="I184" s="229">
        <v>-5.8999999999999999E-3</v>
      </c>
      <c r="J184" s="231">
        <v>3841.8</v>
      </c>
      <c r="K184" s="231">
        <v>3846.6</v>
      </c>
      <c r="L184" s="228">
        <v>-4.8</v>
      </c>
      <c r="M184" s="229">
        <v>-1.1999999999999999E-3</v>
      </c>
      <c r="N184" s="231">
        <v>3839.6</v>
      </c>
      <c r="O184" s="231">
        <v>3862.4</v>
      </c>
      <c r="P184" s="228">
        <v>-22.8</v>
      </c>
      <c r="Q184" s="229">
        <v>-5.8999999999999999E-3</v>
      </c>
      <c r="R184" s="231">
        <v>3834.2</v>
      </c>
      <c r="S184" s="231">
        <v>3851.3</v>
      </c>
      <c r="T184" s="228">
        <v>-17.100000000000001</v>
      </c>
      <c r="U184" s="229">
        <v>-4.4000000000000003E-3</v>
      </c>
      <c r="V184" s="231">
        <v>3855.8</v>
      </c>
      <c r="W184" s="231">
        <v>3855.8</v>
      </c>
      <c r="X184" s="228">
        <v>0</v>
      </c>
      <c r="Y184" s="229">
        <v>0</v>
      </c>
      <c r="Z184" s="228">
        <v>-2.2000000000000002</v>
      </c>
      <c r="AA184" s="228">
        <v>15.8</v>
      </c>
      <c r="AB184" s="228">
        <v>-18</v>
      </c>
      <c r="AC184" s="229">
        <v>-5.9999999999999995E-4</v>
      </c>
      <c r="AD184" s="228">
        <v>-2.2000000000000002</v>
      </c>
      <c r="AE184" s="228">
        <v>15.8</v>
      </c>
      <c r="AF184" s="228">
        <v>-18</v>
      </c>
      <c r="AG184" s="229">
        <v>-5.9999999999999995E-4</v>
      </c>
      <c r="AH184" s="228">
        <v>-7.6</v>
      </c>
      <c r="AI184" s="228">
        <v>4.7</v>
      </c>
      <c r="AJ184" s="228">
        <v>-12.3</v>
      </c>
      <c r="AK184" s="229">
        <v>-2E-3</v>
      </c>
      <c r="AL184" s="228">
        <v>14</v>
      </c>
      <c r="AM184" s="228">
        <v>9.1999999999999993</v>
      </c>
      <c r="AN184" s="228">
        <v>4.8</v>
      </c>
      <c r="AO184" s="229">
        <v>3.5999999999999999E-3</v>
      </c>
      <c r="AP184" s="231">
        <v>3823.35</v>
      </c>
      <c r="AQ184" s="231">
        <v>3815.06</v>
      </c>
      <c r="AR184" s="228">
        <v>0</v>
      </c>
      <c r="AS184" s="228">
        <v>162</v>
      </c>
      <c r="AT184" s="228">
        <v>94</v>
      </c>
      <c r="AU184" s="228">
        <v>68</v>
      </c>
      <c r="AV184" s="229">
        <v>0.73060000000000003</v>
      </c>
      <c r="AW184" s="228">
        <v>153</v>
      </c>
      <c r="AX184" s="228">
        <v>91</v>
      </c>
      <c r="AY184" s="228">
        <v>62</v>
      </c>
      <c r="AZ184" s="229">
        <v>0.68759999999999999</v>
      </c>
      <c r="BA184" s="228">
        <v>9</v>
      </c>
      <c r="BB184" s="228">
        <v>3</v>
      </c>
      <c r="BC184" s="228">
        <v>6</v>
      </c>
      <c r="BD184" s="229">
        <v>2.3077000000000001</v>
      </c>
      <c r="BE184" s="228">
        <v>0</v>
      </c>
      <c r="BF184" s="228">
        <v>0</v>
      </c>
      <c r="BG184" s="228">
        <v>0</v>
      </c>
      <c r="BH184" s="229">
        <v>-1</v>
      </c>
      <c r="BI184" s="228">
        <v>383</v>
      </c>
      <c r="BJ184" s="228">
        <v>250</v>
      </c>
      <c r="BK184" s="228">
        <v>133</v>
      </c>
      <c r="BL184" s="229">
        <v>0.53</v>
      </c>
      <c r="BM184" s="228">
        <v>171</v>
      </c>
      <c r="BN184" s="228">
        <v>87</v>
      </c>
      <c r="BO184" s="228">
        <v>84</v>
      </c>
      <c r="BP184" s="229">
        <v>0.97440000000000004</v>
      </c>
      <c r="BQ184" s="228">
        <v>716</v>
      </c>
      <c r="BR184" s="228">
        <v>431</v>
      </c>
      <c r="BS184" s="228">
        <v>286</v>
      </c>
      <c r="BT184" s="229">
        <v>0.66300000000000003</v>
      </c>
      <c r="BU184" s="230">
        <v>341239</v>
      </c>
      <c r="BV184" s="230">
        <v>260474</v>
      </c>
      <c r="BW184" s="230">
        <v>80765</v>
      </c>
      <c r="BX184" s="229">
        <v>0.31009999999999999</v>
      </c>
      <c r="BY184" s="230">
        <v>1161</v>
      </c>
      <c r="BZ184" s="230">
        <v>1154</v>
      </c>
      <c r="CA184" s="228">
        <v>7</v>
      </c>
      <c r="CB184" s="229">
        <v>6.0000000000000001E-3</v>
      </c>
      <c r="CC184" s="230">
        <v>1141</v>
      </c>
      <c r="CD184" s="230">
        <v>1137</v>
      </c>
      <c r="CE184" s="228">
        <v>3</v>
      </c>
      <c r="CF184" s="229">
        <v>3.0000000000000001E-3</v>
      </c>
      <c r="CG184" s="228">
        <v>20</v>
      </c>
      <c r="CH184" s="228">
        <v>16</v>
      </c>
      <c r="CI184" s="228">
        <v>4</v>
      </c>
      <c r="CJ184" s="229">
        <v>0.219</v>
      </c>
      <c r="CK184" s="228">
        <v>0</v>
      </c>
      <c r="CL184" s="228">
        <v>0</v>
      </c>
      <c r="CM184" s="228">
        <v>0</v>
      </c>
      <c r="CN184" s="229">
        <v>0</v>
      </c>
      <c r="CO184" s="228">
        <v>403</v>
      </c>
      <c r="CP184" s="228">
        <v>397</v>
      </c>
      <c r="CQ184" s="228">
        <v>6</v>
      </c>
      <c r="CR184" s="229">
        <v>1.4E-2</v>
      </c>
      <c r="CS184" s="228">
        <v>203</v>
      </c>
      <c r="CT184" s="228">
        <v>208</v>
      </c>
      <c r="CU184" s="228">
        <v>-5</v>
      </c>
      <c r="CV184" s="229">
        <v>-2.6200000000000001E-2</v>
      </c>
      <c r="CW184" s="230">
        <v>1766</v>
      </c>
      <c r="CX184" s="230">
        <v>1759</v>
      </c>
      <c r="CY184" s="228">
        <v>7</v>
      </c>
      <c r="CZ184" s="229">
        <v>4.0000000000000001E-3</v>
      </c>
      <c r="DA184" s="228">
        <v>39.01</v>
      </c>
      <c r="DB184" s="228">
        <v>39.46</v>
      </c>
      <c r="DC184" s="228">
        <v>-0.45</v>
      </c>
      <c r="DD184" s="228">
        <v>-0.45</v>
      </c>
      <c r="DE184" s="228">
        <v>40.380000000000003</v>
      </c>
      <c r="DF184" s="228">
        <v>40.47</v>
      </c>
      <c r="DG184" s="228">
        <v>-1.37</v>
      </c>
      <c r="DH184" s="228">
        <v>-0.09</v>
      </c>
      <c r="DI184" s="228">
        <v>38.67</v>
      </c>
      <c r="DJ184" s="228">
        <v>39.11</v>
      </c>
      <c r="DK184" s="228">
        <v>-0.44</v>
      </c>
      <c r="DL184" s="228">
        <v>-0.44</v>
      </c>
      <c r="DM184" s="228">
        <v>39.770000000000003</v>
      </c>
      <c r="DN184" s="228">
        <v>40.479999999999997</v>
      </c>
      <c r="DO184" s="228">
        <v>-0.71</v>
      </c>
      <c r="DP184" s="228">
        <v>-0.71</v>
      </c>
      <c r="DQ184" s="228">
        <v>0.5</v>
      </c>
      <c r="DR184" s="228">
        <v>0.52</v>
      </c>
      <c r="DS184" s="228">
        <v>-0.02</v>
      </c>
      <c r="DT184" s="229">
        <v>-3.85E-2</v>
      </c>
      <c r="DU184" s="231">
        <v>4000</v>
      </c>
      <c r="DV184" s="231">
        <v>3500</v>
      </c>
      <c r="DW184" s="228">
        <v>0.45</v>
      </c>
      <c r="DX184" s="228">
        <v>0.35</v>
      </c>
      <c r="DY184" s="228">
        <v>0.1</v>
      </c>
      <c r="DZ184" s="229">
        <v>0.28570000000000001</v>
      </c>
      <c r="EA184" s="229">
        <v>1.7299999999999999E-2</v>
      </c>
      <c r="EB184" s="230">
        <v>42875</v>
      </c>
      <c r="EC184" s="229">
        <v>-1.4E-3</v>
      </c>
      <c r="ED184" s="229">
        <v>1.7299999999999999E-2</v>
      </c>
      <c r="EE184" s="228">
        <v>-8.2899999999999991</v>
      </c>
      <c r="EF184" s="229">
        <v>-2.2000000000000001E-3</v>
      </c>
      <c r="EG184" s="230">
        <v>149501</v>
      </c>
      <c r="EH184" s="230">
        <v>134979</v>
      </c>
      <c r="EI184" s="229">
        <v>0.1076</v>
      </c>
      <c r="EJ184" s="229">
        <v>0.43809999999999999</v>
      </c>
      <c r="EK184" s="228">
        <v>405.3</v>
      </c>
      <c r="EL184" s="228">
        <v>168.79</v>
      </c>
      <c r="EM184" s="228">
        <v>161.16</v>
      </c>
      <c r="EN184" s="228">
        <v>30.07</v>
      </c>
      <c r="EO184" s="228">
        <v>735.25</v>
      </c>
      <c r="EP184" s="228">
        <v>449.38</v>
      </c>
      <c r="EQ184" s="228">
        <v>285.88</v>
      </c>
      <c r="ER184" s="229">
        <v>0.63619999999999999</v>
      </c>
      <c r="ES184" s="228">
        <v>419.57</v>
      </c>
      <c r="ET184" s="228">
        <v>190.8</v>
      </c>
      <c r="EU184" s="231">
        <v>1160.73</v>
      </c>
      <c r="EV184" s="231">
        <v>10374894</v>
      </c>
      <c r="EW184" s="231">
        <v>1771.1</v>
      </c>
      <c r="EX184" s="231">
        <v>1769.54</v>
      </c>
      <c r="EY184" s="228">
        <v>1.56</v>
      </c>
      <c r="EZ184" s="229">
        <v>8.9999999999999998E-4</v>
      </c>
      <c r="FA184" s="229">
        <v>0.44330000000000003</v>
      </c>
      <c r="FB184" s="227" t="s">
        <v>566</v>
      </c>
      <c r="FC184">
        <f t="shared" si="3"/>
        <v>0</v>
      </c>
    </row>
    <row r="185" spans="1:159" ht="17.25" thickBot="1" x14ac:dyDescent="0.3">
      <c r="A185" s="226">
        <v>46148</v>
      </c>
      <c r="B185" s="227" t="s">
        <v>498</v>
      </c>
      <c r="C185" s="227" t="s">
        <v>645</v>
      </c>
      <c r="D185" s="228">
        <v>50</v>
      </c>
      <c r="E185" s="228">
        <v>20</v>
      </c>
      <c r="F185" s="231">
        <v>15785</v>
      </c>
      <c r="G185" s="231">
        <v>15919</v>
      </c>
      <c r="H185" s="228">
        <v>-134</v>
      </c>
      <c r="I185" s="229">
        <v>-8.3999999999999995E-3</v>
      </c>
      <c r="J185" s="231">
        <v>15740</v>
      </c>
      <c r="K185" s="231">
        <v>15845</v>
      </c>
      <c r="L185" s="228">
        <v>-105</v>
      </c>
      <c r="M185" s="229">
        <v>-6.6E-3</v>
      </c>
      <c r="N185" s="231">
        <v>15785</v>
      </c>
      <c r="O185" s="231">
        <v>15919</v>
      </c>
      <c r="P185" s="228">
        <v>-134</v>
      </c>
      <c r="Q185" s="229">
        <v>-8.3999999999999995E-3</v>
      </c>
      <c r="R185" s="231">
        <v>15883</v>
      </c>
      <c r="S185" s="231">
        <v>15990</v>
      </c>
      <c r="T185" s="228">
        <v>-107</v>
      </c>
      <c r="U185" s="229">
        <v>-6.7000000000000002E-3</v>
      </c>
      <c r="V185" s="231">
        <v>15850</v>
      </c>
      <c r="W185" s="231">
        <v>15760</v>
      </c>
      <c r="X185" s="228">
        <v>90</v>
      </c>
      <c r="Y185" s="229">
        <v>5.7000000000000002E-3</v>
      </c>
      <c r="Z185" s="228">
        <v>45</v>
      </c>
      <c r="AA185" s="228">
        <v>74</v>
      </c>
      <c r="AB185" s="228">
        <v>-29</v>
      </c>
      <c r="AC185" s="229">
        <v>2.8999999999999998E-3</v>
      </c>
      <c r="AD185" s="228">
        <v>45</v>
      </c>
      <c r="AE185" s="228">
        <v>74</v>
      </c>
      <c r="AF185" s="228">
        <v>-29</v>
      </c>
      <c r="AG185" s="229">
        <v>2.8999999999999998E-3</v>
      </c>
      <c r="AH185" s="228">
        <v>143</v>
      </c>
      <c r="AI185" s="228">
        <v>145</v>
      </c>
      <c r="AJ185" s="228">
        <v>-2</v>
      </c>
      <c r="AK185" s="229">
        <v>9.1000000000000004E-3</v>
      </c>
      <c r="AL185" s="228">
        <v>110</v>
      </c>
      <c r="AM185" s="228">
        <v>-85</v>
      </c>
      <c r="AN185" s="228">
        <v>195</v>
      </c>
      <c r="AO185" s="229">
        <v>7.0000000000000001E-3</v>
      </c>
      <c r="AP185" s="231">
        <v>15791.85</v>
      </c>
      <c r="AQ185" s="231">
        <v>15874.09</v>
      </c>
      <c r="AR185" s="228">
        <v>0</v>
      </c>
      <c r="AS185" s="228">
        <v>172</v>
      </c>
      <c r="AT185" s="228">
        <v>134</v>
      </c>
      <c r="AU185" s="228">
        <v>39</v>
      </c>
      <c r="AV185" s="229">
        <v>0.2898</v>
      </c>
      <c r="AW185" s="228">
        <v>165</v>
      </c>
      <c r="AX185" s="228">
        <v>128</v>
      </c>
      <c r="AY185" s="228">
        <v>37</v>
      </c>
      <c r="AZ185" s="229">
        <v>0.28739999999999999</v>
      </c>
      <c r="BA185" s="228">
        <v>7</v>
      </c>
      <c r="BB185" s="228">
        <v>5</v>
      </c>
      <c r="BC185" s="228">
        <v>2</v>
      </c>
      <c r="BD185" s="229">
        <v>0.29409999999999997</v>
      </c>
      <c r="BE185" s="228">
        <v>0</v>
      </c>
      <c r="BF185" s="228">
        <v>0</v>
      </c>
      <c r="BG185" s="228">
        <v>0</v>
      </c>
      <c r="BH185" s="229">
        <v>4</v>
      </c>
      <c r="BI185" s="228">
        <v>377</v>
      </c>
      <c r="BJ185" s="228">
        <v>295</v>
      </c>
      <c r="BK185" s="228">
        <v>82</v>
      </c>
      <c r="BL185" s="229">
        <v>0.2777</v>
      </c>
      <c r="BM185" s="228">
        <v>237</v>
      </c>
      <c r="BN185" s="228">
        <v>227</v>
      </c>
      <c r="BO185" s="228">
        <v>10</v>
      </c>
      <c r="BP185" s="229">
        <v>4.4200000000000003E-2</v>
      </c>
      <c r="BQ185" s="228">
        <v>786</v>
      </c>
      <c r="BR185" s="228">
        <v>656</v>
      </c>
      <c r="BS185" s="228">
        <v>131</v>
      </c>
      <c r="BT185" s="229">
        <v>0.19950000000000001</v>
      </c>
      <c r="BU185" s="230">
        <v>120297</v>
      </c>
      <c r="BV185" s="230">
        <v>97650</v>
      </c>
      <c r="BW185" s="230">
        <v>22647</v>
      </c>
      <c r="BX185" s="229">
        <v>0.2319</v>
      </c>
      <c r="BY185" s="230">
        <v>1182</v>
      </c>
      <c r="BZ185" s="230">
        <v>1200</v>
      </c>
      <c r="CA185" s="228">
        <v>-18</v>
      </c>
      <c r="CB185" s="229">
        <v>-1.4999999999999999E-2</v>
      </c>
      <c r="CC185" s="230">
        <v>1094</v>
      </c>
      <c r="CD185" s="230">
        <v>1114</v>
      </c>
      <c r="CE185" s="228">
        <v>-19</v>
      </c>
      <c r="CF185" s="229">
        <v>-1.7500000000000002E-2</v>
      </c>
      <c r="CG185" s="228">
        <v>85</v>
      </c>
      <c r="CH185" s="228">
        <v>84</v>
      </c>
      <c r="CI185" s="228">
        <v>1</v>
      </c>
      <c r="CJ185" s="229">
        <v>1.61E-2</v>
      </c>
      <c r="CK185" s="228">
        <v>3</v>
      </c>
      <c r="CL185" s="228">
        <v>2</v>
      </c>
      <c r="CM185" s="228">
        <v>0</v>
      </c>
      <c r="CN185" s="229">
        <v>6.4500000000000002E-2</v>
      </c>
      <c r="CO185" s="228">
        <v>180</v>
      </c>
      <c r="CP185" s="228">
        <v>171</v>
      </c>
      <c r="CQ185" s="228">
        <v>10</v>
      </c>
      <c r="CR185" s="229">
        <v>5.6899999999999999E-2</v>
      </c>
      <c r="CS185" s="228">
        <v>138</v>
      </c>
      <c r="CT185" s="228">
        <v>136</v>
      </c>
      <c r="CU185" s="228">
        <v>1</v>
      </c>
      <c r="CV185" s="229">
        <v>9.2999999999999992E-3</v>
      </c>
      <c r="CW185" s="230">
        <v>1500</v>
      </c>
      <c r="CX185" s="230">
        <v>1507</v>
      </c>
      <c r="CY185" s="228">
        <v>-7</v>
      </c>
      <c r="CZ185" s="229">
        <v>-4.7000000000000002E-3</v>
      </c>
      <c r="DA185" s="228">
        <v>40.9</v>
      </c>
      <c r="DB185" s="228">
        <v>46.21</v>
      </c>
      <c r="DC185" s="228">
        <v>-5.31</v>
      </c>
      <c r="DD185" s="228">
        <v>-5.31</v>
      </c>
      <c r="DE185" s="228">
        <v>41.26</v>
      </c>
      <c r="DF185" s="228">
        <v>41.35</v>
      </c>
      <c r="DG185" s="228">
        <v>-0.36</v>
      </c>
      <c r="DH185" s="228">
        <v>-0.09</v>
      </c>
      <c r="DI185" s="228">
        <v>38.18</v>
      </c>
      <c r="DJ185" s="228">
        <v>40.619999999999997</v>
      </c>
      <c r="DK185" s="228">
        <v>-2.44</v>
      </c>
      <c r="DL185" s="228">
        <v>-2.44</v>
      </c>
      <c r="DM185" s="228">
        <v>45.24</v>
      </c>
      <c r="DN185" s="228">
        <v>53.49</v>
      </c>
      <c r="DO185" s="228">
        <v>-8.25</v>
      </c>
      <c r="DP185" s="228">
        <v>-8.25</v>
      </c>
      <c r="DQ185" s="228">
        <v>0.76</v>
      </c>
      <c r="DR185" s="228">
        <v>0.8</v>
      </c>
      <c r="DS185" s="228">
        <v>-0.04</v>
      </c>
      <c r="DT185" s="229">
        <v>-0.05</v>
      </c>
      <c r="DU185" s="231">
        <v>16000</v>
      </c>
      <c r="DV185" s="231">
        <v>15000</v>
      </c>
      <c r="DW185" s="228">
        <v>0.63</v>
      </c>
      <c r="DX185" s="228">
        <v>0.77</v>
      </c>
      <c r="DY185" s="228">
        <v>-0.14000000000000001</v>
      </c>
      <c r="DZ185" s="229">
        <v>-0.18179999999999999</v>
      </c>
      <c r="EA185" s="229">
        <v>7.3999999999999996E-2</v>
      </c>
      <c r="EB185" s="230">
        <v>54450</v>
      </c>
      <c r="EC185" s="229">
        <v>6.1999999999999998E-3</v>
      </c>
      <c r="ED185" s="229">
        <v>7.3999999999999996E-2</v>
      </c>
      <c r="EE185" s="228">
        <v>82.24</v>
      </c>
      <c r="EF185" s="229">
        <v>5.1999999999999998E-3</v>
      </c>
      <c r="EG185" s="230">
        <v>48174</v>
      </c>
      <c r="EH185" s="230">
        <v>40863</v>
      </c>
      <c r="EI185" s="229">
        <v>0.1789</v>
      </c>
      <c r="EJ185" s="229">
        <v>0.40050000000000002</v>
      </c>
      <c r="EK185" s="228">
        <v>400.86</v>
      </c>
      <c r="EL185" s="228">
        <v>211.08</v>
      </c>
      <c r="EM185" s="228">
        <v>172.56</v>
      </c>
      <c r="EN185" s="228">
        <v>15.22</v>
      </c>
      <c r="EO185" s="228">
        <v>784.51</v>
      </c>
      <c r="EP185" s="228">
        <v>632.46</v>
      </c>
      <c r="EQ185" s="228">
        <v>152.05000000000001</v>
      </c>
      <c r="ER185" s="229">
        <v>0.2404</v>
      </c>
      <c r="ES185" s="228">
        <v>185.92</v>
      </c>
      <c r="ET185" s="228">
        <v>127.89</v>
      </c>
      <c r="EU185" s="231">
        <v>1182.2</v>
      </c>
      <c r="EV185" s="231">
        <v>3644817</v>
      </c>
      <c r="EW185" s="231">
        <v>1496.02</v>
      </c>
      <c r="EX185" s="231">
        <v>1511.91</v>
      </c>
      <c r="EY185" s="228">
        <v>-15.89</v>
      </c>
      <c r="EZ185" s="229">
        <v>-1.0500000000000001E-2</v>
      </c>
      <c r="FA185" s="229">
        <v>0.26069999999999999</v>
      </c>
      <c r="FB185" s="227" t="s">
        <v>567</v>
      </c>
      <c r="FC185">
        <f t="shared" si="3"/>
        <v>0</v>
      </c>
    </row>
    <row r="186" spans="1:159" ht="17.25" thickBot="1" x14ac:dyDescent="0.3">
      <c r="A186" s="226">
        <v>46148</v>
      </c>
      <c r="B186" s="227" t="s">
        <v>162</v>
      </c>
      <c r="C186" s="227" t="s">
        <v>613</v>
      </c>
      <c r="D186" s="228">
        <v>1225</v>
      </c>
      <c r="E186" s="228">
        <v>20</v>
      </c>
      <c r="F186" s="228">
        <v>586.45000000000005</v>
      </c>
      <c r="G186" s="228">
        <v>578.54999999999995</v>
      </c>
      <c r="H186" s="228">
        <v>7.9</v>
      </c>
      <c r="I186" s="229">
        <v>1.37E-2</v>
      </c>
      <c r="J186" s="228">
        <v>582.6</v>
      </c>
      <c r="K186" s="228">
        <v>577.85</v>
      </c>
      <c r="L186" s="228">
        <v>4.75</v>
      </c>
      <c r="M186" s="229">
        <v>8.2000000000000007E-3</v>
      </c>
      <c r="N186" s="228">
        <v>586.45000000000005</v>
      </c>
      <c r="O186" s="228">
        <v>578.54999999999995</v>
      </c>
      <c r="P186" s="228">
        <v>7.9</v>
      </c>
      <c r="Q186" s="229">
        <v>1.37E-2</v>
      </c>
      <c r="R186" s="228">
        <v>588.35</v>
      </c>
      <c r="S186" s="228">
        <v>581.45000000000005</v>
      </c>
      <c r="T186" s="228">
        <v>6.9</v>
      </c>
      <c r="U186" s="229">
        <v>1.1900000000000001E-2</v>
      </c>
      <c r="V186" s="228">
        <v>595</v>
      </c>
      <c r="W186" s="228">
        <v>581</v>
      </c>
      <c r="X186" s="228">
        <v>14</v>
      </c>
      <c r="Y186" s="229">
        <v>2.41E-2</v>
      </c>
      <c r="Z186" s="228">
        <v>3.85</v>
      </c>
      <c r="AA186" s="228">
        <v>0.7</v>
      </c>
      <c r="AB186" s="228">
        <v>3.15</v>
      </c>
      <c r="AC186" s="229">
        <v>6.6E-3</v>
      </c>
      <c r="AD186" s="228">
        <v>3.85</v>
      </c>
      <c r="AE186" s="228">
        <v>0.7</v>
      </c>
      <c r="AF186" s="228">
        <v>3.15</v>
      </c>
      <c r="AG186" s="229">
        <v>6.6E-3</v>
      </c>
      <c r="AH186" s="228">
        <v>5.75</v>
      </c>
      <c r="AI186" s="228">
        <v>3.6</v>
      </c>
      <c r="AJ186" s="228">
        <v>2.15</v>
      </c>
      <c r="AK186" s="229">
        <v>9.9000000000000008E-3</v>
      </c>
      <c r="AL186" s="228">
        <v>12.4</v>
      </c>
      <c r="AM186" s="228">
        <v>3.15</v>
      </c>
      <c r="AN186" s="228">
        <v>9.25</v>
      </c>
      <c r="AO186" s="229">
        <v>2.1299999999999999E-2</v>
      </c>
      <c r="AP186" s="228">
        <v>584.49</v>
      </c>
      <c r="AQ186" s="228">
        <v>584.77</v>
      </c>
      <c r="AR186" s="228">
        <v>0</v>
      </c>
      <c r="AS186" s="228">
        <v>138</v>
      </c>
      <c r="AT186" s="228">
        <v>169</v>
      </c>
      <c r="AU186" s="228">
        <v>-30</v>
      </c>
      <c r="AV186" s="229">
        <v>-0.18029999999999999</v>
      </c>
      <c r="AW186" s="228">
        <v>132</v>
      </c>
      <c r="AX186" s="228">
        <v>164</v>
      </c>
      <c r="AY186" s="228">
        <v>-31</v>
      </c>
      <c r="AZ186" s="229">
        <v>-0.19089999999999999</v>
      </c>
      <c r="BA186" s="228">
        <v>5</v>
      </c>
      <c r="BB186" s="228">
        <v>5</v>
      </c>
      <c r="BC186" s="228">
        <v>0</v>
      </c>
      <c r="BD186" s="229">
        <v>8.5699999999999998E-2</v>
      </c>
      <c r="BE186" s="228">
        <v>1</v>
      </c>
      <c r="BF186" s="228">
        <v>0</v>
      </c>
      <c r="BG186" s="228">
        <v>0</v>
      </c>
      <c r="BH186" s="229">
        <v>2.5</v>
      </c>
      <c r="BI186" s="228">
        <v>284</v>
      </c>
      <c r="BJ186" s="228">
        <v>366</v>
      </c>
      <c r="BK186" s="228">
        <v>-82</v>
      </c>
      <c r="BL186" s="229">
        <v>-0.22409999999999999</v>
      </c>
      <c r="BM186" s="228">
        <v>110</v>
      </c>
      <c r="BN186" s="228">
        <v>183</v>
      </c>
      <c r="BO186" s="228">
        <v>-73</v>
      </c>
      <c r="BP186" s="229">
        <v>-0.40129999999999999</v>
      </c>
      <c r="BQ186" s="228">
        <v>532</v>
      </c>
      <c r="BR186" s="228">
        <v>718</v>
      </c>
      <c r="BS186" s="228">
        <v>-186</v>
      </c>
      <c r="BT186" s="229">
        <v>-0.25900000000000001</v>
      </c>
      <c r="BU186" s="230">
        <v>2504524</v>
      </c>
      <c r="BV186" s="230">
        <v>3917486</v>
      </c>
      <c r="BW186" s="230">
        <v>-1412962</v>
      </c>
      <c r="BX186" s="229">
        <v>-0.36070000000000002</v>
      </c>
      <c r="BY186" s="228">
        <v>927</v>
      </c>
      <c r="BZ186" s="228">
        <v>943</v>
      </c>
      <c r="CA186" s="228">
        <v>-16</v>
      </c>
      <c r="CB186" s="229">
        <v>-1.6799999999999999E-2</v>
      </c>
      <c r="CC186" s="228">
        <v>914</v>
      </c>
      <c r="CD186" s="228">
        <v>931</v>
      </c>
      <c r="CE186" s="228">
        <v>-17</v>
      </c>
      <c r="CF186" s="229">
        <v>-1.8700000000000001E-2</v>
      </c>
      <c r="CG186" s="228">
        <v>13</v>
      </c>
      <c r="CH186" s="228">
        <v>11</v>
      </c>
      <c r="CI186" s="228">
        <v>1</v>
      </c>
      <c r="CJ186" s="229">
        <v>0.1076</v>
      </c>
      <c r="CK186" s="228">
        <v>1</v>
      </c>
      <c r="CL186" s="228">
        <v>1</v>
      </c>
      <c r="CM186" s="228">
        <v>0</v>
      </c>
      <c r="CN186" s="229">
        <v>0.625</v>
      </c>
      <c r="CO186" s="228">
        <v>276</v>
      </c>
      <c r="CP186" s="228">
        <v>280</v>
      </c>
      <c r="CQ186" s="228">
        <v>-4</v>
      </c>
      <c r="CR186" s="229">
        <v>-1.5900000000000001E-2</v>
      </c>
      <c r="CS186" s="228">
        <v>160</v>
      </c>
      <c r="CT186" s="228">
        <v>160</v>
      </c>
      <c r="CU186" s="228">
        <v>0</v>
      </c>
      <c r="CV186" s="229">
        <v>-1.2999999999999999E-3</v>
      </c>
      <c r="CW186" s="230">
        <v>1363</v>
      </c>
      <c r="CX186" s="230">
        <v>1384</v>
      </c>
      <c r="CY186" s="228">
        <v>-20</v>
      </c>
      <c r="CZ186" s="229">
        <v>-1.4800000000000001E-2</v>
      </c>
      <c r="DA186" s="228">
        <v>35.200000000000003</v>
      </c>
      <c r="DB186" s="228">
        <v>36.54</v>
      </c>
      <c r="DC186" s="228">
        <v>-1.34</v>
      </c>
      <c r="DD186" s="228">
        <v>-1.34</v>
      </c>
      <c r="DE186" s="228">
        <v>41.8</v>
      </c>
      <c r="DF186" s="228">
        <v>41.86</v>
      </c>
      <c r="DG186" s="228">
        <v>-6.6</v>
      </c>
      <c r="DH186" s="228">
        <v>-0.06</v>
      </c>
      <c r="DI186" s="228">
        <v>35.229999999999997</v>
      </c>
      <c r="DJ186" s="228">
        <v>36.39</v>
      </c>
      <c r="DK186" s="228">
        <v>-1.1599999999999999</v>
      </c>
      <c r="DL186" s="228">
        <v>-1.1599999999999999</v>
      </c>
      <c r="DM186" s="228">
        <v>35.119999999999997</v>
      </c>
      <c r="DN186" s="228">
        <v>36.840000000000003</v>
      </c>
      <c r="DO186" s="228">
        <v>-1.72</v>
      </c>
      <c r="DP186" s="228">
        <v>-1.72</v>
      </c>
      <c r="DQ186" s="228">
        <v>0.57999999999999996</v>
      </c>
      <c r="DR186" s="228">
        <v>0.56999999999999995</v>
      </c>
      <c r="DS186" s="228">
        <v>0.01</v>
      </c>
      <c r="DT186" s="229">
        <v>1.7500000000000002E-2</v>
      </c>
      <c r="DU186" s="228">
        <v>600</v>
      </c>
      <c r="DV186" s="228">
        <v>600</v>
      </c>
      <c r="DW186" s="228">
        <v>0.39</v>
      </c>
      <c r="DX186" s="228">
        <v>0.5</v>
      </c>
      <c r="DY186" s="228">
        <v>-0.11</v>
      </c>
      <c r="DZ186" s="229">
        <v>-0.22</v>
      </c>
      <c r="EA186" s="229">
        <v>1.46E-2</v>
      </c>
      <c r="EB186" s="230">
        <v>203350</v>
      </c>
      <c r="EC186" s="229">
        <v>3.2000000000000002E-3</v>
      </c>
      <c r="ED186" s="229">
        <v>1.46E-2</v>
      </c>
      <c r="EE186" s="228">
        <v>0.28000000000000003</v>
      </c>
      <c r="EF186" s="229">
        <v>5.0000000000000001E-4</v>
      </c>
      <c r="EG186" s="230">
        <v>1221347</v>
      </c>
      <c r="EH186" s="230">
        <v>2106616</v>
      </c>
      <c r="EI186" s="229">
        <v>-0.42020000000000002</v>
      </c>
      <c r="EJ186" s="229">
        <v>0.48770000000000002</v>
      </c>
      <c r="EK186" s="228">
        <v>298.10000000000002</v>
      </c>
      <c r="EL186" s="228">
        <v>110.09</v>
      </c>
      <c r="EM186" s="228">
        <v>137.97999999999999</v>
      </c>
      <c r="EN186" s="228">
        <v>43.05</v>
      </c>
      <c r="EO186" s="228">
        <v>546.17999999999995</v>
      </c>
      <c r="EP186" s="228">
        <v>731.09</v>
      </c>
      <c r="EQ186" s="228">
        <v>-184.92</v>
      </c>
      <c r="ER186" s="229">
        <v>-0.25290000000000001</v>
      </c>
      <c r="ES186" s="228">
        <v>286.76</v>
      </c>
      <c r="ET186" s="228">
        <v>156.03</v>
      </c>
      <c r="EU186" s="228">
        <v>927.37</v>
      </c>
      <c r="EV186" s="231">
        <v>61283708</v>
      </c>
      <c r="EW186" s="231">
        <v>1370.16</v>
      </c>
      <c r="EX186" s="231">
        <v>1377.42</v>
      </c>
      <c r="EY186" s="228">
        <v>-7.26</v>
      </c>
      <c r="EZ186" s="229">
        <v>-5.3E-3</v>
      </c>
      <c r="FA186" s="229">
        <v>0.37930000000000003</v>
      </c>
      <c r="FB186" s="227" t="s">
        <v>691</v>
      </c>
      <c r="FC186">
        <f t="shared" si="3"/>
        <v>0</v>
      </c>
    </row>
    <row r="187" spans="1:159" ht="17.25" thickBot="1" x14ac:dyDescent="0.3">
      <c r="A187" s="226">
        <v>46148</v>
      </c>
      <c r="B187" s="227" t="s">
        <v>197</v>
      </c>
      <c r="C187" s="227" t="s">
        <v>286</v>
      </c>
      <c r="D187" s="228">
        <v>200</v>
      </c>
      <c r="E187" s="228">
        <v>20</v>
      </c>
      <c r="F187" s="231">
        <v>2735.6</v>
      </c>
      <c r="G187" s="231">
        <v>2542.5</v>
      </c>
      <c r="H187" s="228">
        <v>193.1</v>
      </c>
      <c r="I187" s="229">
        <v>7.5899999999999995E-2</v>
      </c>
      <c r="J187" s="231">
        <v>2719.6</v>
      </c>
      <c r="K187" s="231">
        <v>2522.8000000000002</v>
      </c>
      <c r="L187" s="228">
        <v>196.8</v>
      </c>
      <c r="M187" s="229">
        <v>7.8E-2</v>
      </c>
      <c r="N187" s="231">
        <v>2735.6</v>
      </c>
      <c r="O187" s="231">
        <v>2542.5</v>
      </c>
      <c r="P187" s="228">
        <v>193.1</v>
      </c>
      <c r="Q187" s="229">
        <v>7.5899999999999995E-2</v>
      </c>
      <c r="R187" s="231">
        <v>2750.6</v>
      </c>
      <c r="S187" s="231">
        <v>2556.8000000000002</v>
      </c>
      <c r="T187" s="228">
        <v>193.8</v>
      </c>
      <c r="U187" s="229">
        <v>7.5800000000000006E-2</v>
      </c>
      <c r="V187" s="231">
        <v>2765.7</v>
      </c>
      <c r="W187" s="231">
        <v>2574.5</v>
      </c>
      <c r="X187" s="228">
        <v>191.2</v>
      </c>
      <c r="Y187" s="229">
        <v>7.4300000000000005E-2</v>
      </c>
      <c r="Z187" s="228">
        <v>16</v>
      </c>
      <c r="AA187" s="228">
        <v>19.7</v>
      </c>
      <c r="AB187" s="228">
        <v>-3.7</v>
      </c>
      <c r="AC187" s="229">
        <v>5.8999999999999999E-3</v>
      </c>
      <c r="AD187" s="228">
        <v>16</v>
      </c>
      <c r="AE187" s="228">
        <v>19.7</v>
      </c>
      <c r="AF187" s="228">
        <v>-3.7</v>
      </c>
      <c r="AG187" s="229">
        <v>5.8999999999999999E-3</v>
      </c>
      <c r="AH187" s="228">
        <v>31</v>
      </c>
      <c r="AI187" s="228">
        <v>34</v>
      </c>
      <c r="AJ187" s="228">
        <v>-3</v>
      </c>
      <c r="AK187" s="229">
        <v>1.14E-2</v>
      </c>
      <c r="AL187" s="228">
        <v>46.1</v>
      </c>
      <c r="AM187" s="228">
        <v>51.7</v>
      </c>
      <c r="AN187" s="228">
        <v>-5.6</v>
      </c>
      <c r="AO187" s="229">
        <v>1.7000000000000001E-2</v>
      </c>
      <c r="AP187" s="231">
        <v>2690.51</v>
      </c>
      <c r="AQ187" s="231">
        <v>2703.03</v>
      </c>
      <c r="AR187" s="228">
        <v>0</v>
      </c>
      <c r="AS187" s="230">
        <v>1316</v>
      </c>
      <c r="AT187" s="228">
        <v>347</v>
      </c>
      <c r="AU187" s="228">
        <v>969</v>
      </c>
      <c r="AV187" s="229">
        <v>2.7907999999999999</v>
      </c>
      <c r="AW187" s="230">
        <v>1267</v>
      </c>
      <c r="AX187" s="228">
        <v>330</v>
      </c>
      <c r="AY187" s="228">
        <v>937</v>
      </c>
      <c r="AZ187" s="229">
        <v>2.8431999999999999</v>
      </c>
      <c r="BA187" s="228">
        <v>41</v>
      </c>
      <c r="BB187" s="228">
        <v>14</v>
      </c>
      <c r="BC187" s="228">
        <v>27</v>
      </c>
      <c r="BD187" s="229">
        <v>1.9839</v>
      </c>
      <c r="BE187" s="228">
        <v>8</v>
      </c>
      <c r="BF187" s="228">
        <v>4</v>
      </c>
      <c r="BG187" s="228">
        <v>4</v>
      </c>
      <c r="BH187" s="229">
        <v>1.1304000000000001</v>
      </c>
      <c r="BI187" s="230">
        <v>7337</v>
      </c>
      <c r="BJ187" s="228">
        <v>818</v>
      </c>
      <c r="BK187" s="230">
        <v>6519</v>
      </c>
      <c r="BL187" s="229">
        <v>7.9718</v>
      </c>
      <c r="BM187" s="230">
        <v>3160</v>
      </c>
      <c r="BN187" s="228">
        <v>395</v>
      </c>
      <c r="BO187" s="230">
        <v>2765</v>
      </c>
      <c r="BP187" s="229">
        <v>7.0010000000000003</v>
      </c>
      <c r="BQ187" s="230">
        <v>11813</v>
      </c>
      <c r="BR187" s="230">
        <v>1560</v>
      </c>
      <c r="BS187" s="230">
        <v>10253</v>
      </c>
      <c r="BT187" s="229">
        <v>6.5731000000000002</v>
      </c>
      <c r="BU187" s="230">
        <v>4405261</v>
      </c>
      <c r="BV187" s="230">
        <v>649122</v>
      </c>
      <c r="BW187" s="230">
        <v>3756139</v>
      </c>
      <c r="BX187" s="229">
        <v>5.7865000000000002</v>
      </c>
      <c r="BY187" s="230">
        <v>1043</v>
      </c>
      <c r="BZ187" s="230">
        <v>1037</v>
      </c>
      <c r="CA187" s="228">
        <v>6</v>
      </c>
      <c r="CB187" s="229">
        <v>5.7000000000000002E-3</v>
      </c>
      <c r="CC187" s="230">
        <v>1023</v>
      </c>
      <c r="CD187" s="230">
        <v>1020</v>
      </c>
      <c r="CE187" s="228">
        <v>3</v>
      </c>
      <c r="CF187" s="229">
        <v>3.2000000000000002E-3</v>
      </c>
      <c r="CG187" s="228">
        <v>18</v>
      </c>
      <c r="CH187" s="228">
        <v>15</v>
      </c>
      <c r="CI187" s="228">
        <v>4</v>
      </c>
      <c r="CJ187" s="229">
        <v>0.25840000000000002</v>
      </c>
      <c r="CK187" s="228">
        <v>2</v>
      </c>
      <c r="CL187" s="228">
        <v>3</v>
      </c>
      <c r="CM187" s="228">
        <v>-1</v>
      </c>
      <c r="CN187" s="229">
        <v>-0.36359999999999998</v>
      </c>
      <c r="CO187" s="228">
        <v>526</v>
      </c>
      <c r="CP187" s="228">
        <v>399</v>
      </c>
      <c r="CQ187" s="228">
        <v>127</v>
      </c>
      <c r="CR187" s="229">
        <v>0.31790000000000002</v>
      </c>
      <c r="CS187" s="228">
        <v>520</v>
      </c>
      <c r="CT187" s="228">
        <v>303</v>
      </c>
      <c r="CU187" s="228">
        <v>216</v>
      </c>
      <c r="CV187" s="229">
        <v>0.71279999999999999</v>
      </c>
      <c r="CW187" s="230">
        <v>2088</v>
      </c>
      <c r="CX187" s="230">
        <v>1739</v>
      </c>
      <c r="CY187" s="228">
        <v>349</v>
      </c>
      <c r="CZ187" s="229">
        <v>0.2006</v>
      </c>
      <c r="DA187" s="228">
        <v>30.46</v>
      </c>
      <c r="DB187" s="228">
        <v>37.659999999999997</v>
      </c>
      <c r="DC187" s="228">
        <v>-7.2</v>
      </c>
      <c r="DD187" s="228">
        <v>-7.2</v>
      </c>
      <c r="DE187" s="228">
        <v>37.31</v>
      </c>
      <c r="DF187" s="228">
        <v>35.99</v>
      </c>
      <c r="DG187" s="228">
        <v>-6.85</v>
      </c>
      <c r="DH187" s="228">
        <v>1.32</v>
      </c>
      <c r="DI187" s="228">
        <v>30.15</v>
      </c>
      <c r="DJ187" s="228">
        <v>37.17</v>
      </c>
      <c r="DK187" s="228">
        <v>-7.02</v>
      </c>
      <c r="DL187" s="228">
        <v>-7.02</v>
      </c>
      <c r="DM187" s="228">
        <v>31.19</v>
      </c>
      <c r="DN187" s="228">
        <v>38.68</v>
      </c>
      <c r="DO187" s="228">
        <v>-7.49</v>
      </c>
      <c r="DP187" s="228">
        <v>-7.49</v>
      </c>
      <c r="DQ187" s="228">
        <v>0.99</v>
      </c>
      <c r="DR187" s="228">
        <v>0.76</v>
      </c>
      <c r="DS187" s="228">
        <v>0.23</v>
      </c>
      <c r="DT187" s="229">
        <v>0.30259999999999998</v>
      </c>
      <c r="DU187" s="231">
        <v>2800</v>
      </c>
      <c r="DV187" s="231">
        <v>2500</v>
      </c>
      <c r="DW187" s="228">
        <v>0.43</v>
      </c>
      <c r="DX187" s="228">
        <v>0.48</v>
      </c>
      <c r="DY187" s="228">
        <v>-0.05</v>
      </c>
      <c r="DZ187" s="229">
        <v>-0.1042</v>
      </c>
      <c r="EA187" s="229">
        <v>1.95E-2</v>
      </c>
      <c r="EB187" s="230">
        <v>64400</v>
      </c>
      <c r="EC187" s="229">
        <v>5.4999999999999997E-3</v>
      </c>
      <c r="ED187" s="229">
        <v>1.95E-2</v>
      </c>
      <c r="EE187" s="228">
        <v>12.52</v>
      </c>
      <c r="EF187" s="229">
        <v>4.7000000000000002E-3</v>
      </c>
      <c r="EG187" s="230">
        <v>1253381</v>
      </c>
      <c r="EH187" s="230">
        <v>342963</v>
      </c>
      <c r="EI187" s="229">
        <v>2.6545999999999998</v>
      </c>
      <c r="EJ187" s="229">
        <v>0.28449999999999998</v>
      </c>
      <c r="EK187" s="231">
        <v>7526.83</v>
      </c>
      <c r="EL187" s="231">
        <v>3064.89</v>
      </c>
      <c r="EM187" s="231">
        <v>1294.26</v>
      </c>
      <c r="EN187" s="228">
        <v>39.99</v>
      </c>
      <c r="EO187" s="231">
        <v>11885.98</v>
      </c>
      <c r="EP187" s="231">
        <v>1492.9</v>
      </c>
      <c r="EQ187" s="231">
        <v>10393.09</v>
      </c>
      <c r="ER187" s="229">
        <v>6.9617000000000004</v>
      </c>
      <c r="ES187" s="228">
        <v>524.03</v>
      </c>
      <c r="ET187" s="228">
        <v>494.24</v>
      </c>
      <c r="EU187" s="231">
        <v>1043.26</v>
      </c>
      <c r="EV187" s="231">
        <v>19721628</v>
      </c>
      <c r="EW187" s="231">
        <v>2061.5300000000002</v>
      </c>
      <c r="EX187" s="231">
        <v>1625.36</v>
      </c>
      <c r="EY187" s="228">
        <v>436.17</v>
      </c>
      <c r="EZ187" s="229">
        <v>0.26840000000000003</v>
      </c>
      <c r="FA187" s="229">
        <v>0.3871</v>
      </c>
      <c r="FB187" s="227" t="s">
        <v>555</v>
      </c>
      <c r="FC187">
        <f t="shared" si="3"/>
        <v>0</v>
      </c>
    </row>
    <row r="188" spans="1:159" ht="17.25" thickBot="1" x14ac:dyDescent="0.3">
      <c r="A188" s="226">
        <v>46148</v>
      </c>
      <c r="B188" s="227" t="s">
        <v>170</v>
      </c>
      <c r="C188" s="227" t="s">
        <v>288</v>
      </c>
      <c r="D188" s="228">
        <v>350</v>
      </c>
      <c r="E188" s="228">
        <v>20</v>
      </c>
      <c r="F188" s="231">
        <v>1857.5</v>
      </c>
      <c r="G188" s="231">
        <v>1825.4</v>
      </c>
      <c r="H188" s="228">
        <v>32.1</v>
      </c>
      <c r="I188" s="229">
        <v>1.7600000000000001E-2</v>
      </c>
      <c r="J188" s="231">
        <v>1850.2</v>
      </c>
      <c r="K188" s="231">
        <v>1820.8</v>
      </c>
      <c r="L188" s="228">
        <v>29.4</v>
      </c>
      <c r="M188" s="229">
        <v>1.61E-2</v>
      </c>
      <c r="N188" s="231">
        <v>1857.5</v>
      </c>
      <c r="O188" s="231">
        <v>1825.4</v>
      </c>
      <c r="P188" s="228">
        <v>32.1</v>
      </c>
      <c r="Q188" s="229">
        <v>1.7600000000000001E-2</v>
      </c>
      <c r="R188" s="231">
        <v>1870.2</v>
      </c>
      <c r="S188" s="231">
        <v>1837.9</v>
      </c>
      <c r="T188" s="228">
        <v>32.299999999999997</v>
      </c>
      <c r="U188" s="229">
        <v>1.7600000000000001E-2</v>
      </c>
      <c r="V188" s="231">
        <v>1876.5</v>
      </c>
      <c r="W188" s="231">
        <v>1840.4</v>
      </c>
      <c r="X188" s="228">
        <v>36.1</v>
      </c>
      <c r="Y188" s="229">
        <v>1.9599999999999999E-2</v>
      </c>
      <c r="Z188" s="228">
        <v>7.3</v>
      </c>
      <c r="AA188" s="228">
        <v>4.5999999999999996</v>
      </c>
      <c r="AB188" s="228">
        <v>2.7</v>
      </c>
      <c r="AC188" s="229">
        <v>3.8999999999999998E-3</v>
      </c>
      <c r="AD188" s="228">
        <v>7.3</v>
      </c>
      <c r="AE188" s="228">
        <v>4.5999999999999996</v>
      </c>
      <c r="AF188" s="228">
        <v>2.7</v>
      </c>
      <c r="AG188" s="229">
        <v>3.8999999999999998E-3</v>
      </c>
      <c r="AH188" s="228">
        <v>20</v>
      </c>
      <c r="AI188" s="228">
        <v>17.100000000000001</v>
      </c>
      <c r="AJ188" s="228">
        <v>2.9</v>
      </c>
      <c r="AK188" s="229">
        <v>1.0800000000000001E-2</v>
      </c>
      <c r="AL188" s="228">
        <v>26.3</v>
      </c>
      <c r="AM188" s="228">
        <v>19.600000000000001</v>
      </c>
      <c r="AN188" s="228">
        <v>6.7</v>
      </c>
      <c r="AO188" s="229">
        <v>1.4200000000000001E-2</v>
      </c>
      <c r="AP188" s="231">
        <v>1851.29</v>
      </c>
      <c r="AQ188" s="231">
        <v>1862.01</v>
      </c>
      <c r="AR188" s="228">
        <v>0</v>
      </c>
      <c r="AS188" s="228">
        <v>557</v>
      </c>
      <c r="AT188" s="228">
        <v>381</v>
      </c>
      <c r="AU188" s="228">
        <v>176</v>
      </c>
      <c r="AV188" s="229">
        <v>0.46350000000000002</v>
      </c>
      <c r="AW188" s="228">
        <v>531</v>
      </c>
      <c r="AX188" s="228">
        <v>363</v>
      </c>
      <c r="AY188" s="228">
        <v>168</v>
      </c>
      <c r="AZ188" s="229">
        <v>0.46160000000000001</v>
      </c>
      <c r="BA188" s="228">
        <v>23</v>
      </c>
      <c r="BB188" s="228">
        <v>17</v>
      </c>
      <c r="BC188" s="228">
        <v>6</v>
      </c>
      <c r="BD188" s="229">
        <v>0.35020000000000001</v>
      </c>
      <c r="BE188" s="228">
        <v>4</v>
      </c>
      <c r="BF188" s="228">
        <v>1</v>
      </c>
      <c r="BG188" s="228">
        <v>3</v>
      </c>
      <c r="BH188" s="229">
        <v>3.2856999999999998</v>
      </c>
      <c r="BI188" s="230">
        <v>3202</v>
      </c>
      <c r="BJ188" s="230">
        <v>1437</v>
      </c>
      <c r="BK188" s="230">
        <v>1765</v>
      </c>
      <c r="BL188" s="229">
        <v>1.2278</v>
      </c>
      <c r="BM188" s="230">
        <v>1619</v>
      </c>
      <c r="BN188" s="228">
        <v>974</v>
      </c>
      <c r="BO188" s="228">
        <v>645</v>
      </c>
      <c r="BP188" s="229">
        <v>0.66210000000000002</v>
      </c>
      <c r="BQ188" s="230">
        <v>5378</v>
      </c>
      <c r="BR188" s="230">
        <v>2792</v>
      </c>
      <c r="BS188" s="230">
        <v>2586</v>
      </c>
      <c r="BT188" s="229">
        <v>0.92620000000000002</v>
      </c>
      <c r="BU188" s="230">
        <v>3461306</v>
      </c>
      <c r="BV188" s="230">
        <v>3260724</v>
      </c>
      <c r="BW188" s="230">
        <v>200582</v>
      </c>
      <c r="BX188" s="229">
        <v>6.1499999999999999E-2</v>
      </c>
      <c r="BY188" s="230">
        <v>5220</v>
      </c>
      <c r="BZ188" s="230">
        <v>5206</v>
      </c>
      <c r="CA188" s="228">
        <v>14</v>
      </c>
      <c r="CB188" s="229">
        <v>2.5999999999999999E-3</v>
      </c>
      <c r="CC188" s="230">
        <v>4525</v>
      </c>
      <c r="CD188" s="230">
        <v>4523</v>
      </c>
      <c r="CE188" s="228">
        <v>1</v>
      </c>
      <c r="CF188" s="229">
        <v>2.9999999999999997E-4</v>
      </c>
      <c r="CG188" s="228">
        <v>689</v>
      </c>
      <c r="CH188" s="228">
        <v>679</v>
      </c>
      <c r="CI188" s="228">
        <v>10</v>
      </c>
      <c r="CJ188" s="229">
        <v>1.47E-2</v>
      </c>
      <c r="CK188" s="228">
        <v>6</v>
      </c>
      <c r="CL188" s="228">
        <v>4</v>
      </c>
      <c r="CM188" s="228">
        <v>2</v>
      </c>
      <c r="CN188" s="229">
        <v>0.5</v>
      </c>
      <c r="CO188" s="230">
        <v>1805</v>
      </c>
      <c r="CP188" s="230">
        <v>1791</v>
      </c>
      <c r="CQ188" s="228">
        <v>13</v>
      </c>
      <c r="CR188" s="229">
        <v>7.4000000000000003E-3</v>
      </c>
      <c r="CS188" s="230">
        <v>1391</v>
      </c>
      <c r="CT188" s="230">
        <v>1276</v>
      </c>
      <c r="CU188" s="228">
        <v>116</v>
      </c>
      <c r="CV188" s="229">
        <v>9.0700000000000003E-2</v>
      </c>
      <c r="CW188" s="230">
        <v>8416</v>
      </c>
      <c r="CX188" s="230">
        <v>8273</v>
      </c>
      <c r="CY188" s="228">
        <v>143</v>
      </c>
      <c r="CZ188" s="229">
        <v>1.72E-2</v>
      </c>
      <c r="DA188" s="228">
        <v>22.68</v>
      </c>
      <c r="DB188" s="228">
        <v>23.35</v>
      </c>
      <c r="DC188" s="228">
        <v>-0.67</v>
      </c>
      <c r="DD188" s="228">
        <v>-0.67</v>
      </c>
      <c r="DE188" s="228">
        <v>25.56</v>
      </c>
      <c r="DF188" s="228">
        <v>25.53</v>
      </c>
      <c r="DG188" s="228">
        <v>-2.88</v>
      </c>
      <c r="DH188" s="228">
        <v>0.03</v>
      </c>
      <c r="DI188" s="228">
        <v>21.91</v>
      </c>
      <c r="DJ188" s="228">
        <v>22.48</v>
      </c>
      <c r="DK188" s="228">
        <v>-0.56999999999999995</v>
      </c>
      <c r="DL188" s="228">
        <v>-0.56999999999999995</v>
      </c>
      <c r="DM188" s="228">
        <v>24.19</v>
      </c>
      <c r="DN188" s="228">
        <v>24.65</v>
      </c>
      <c r="DO188" s="228">
        <v>-0.46</v>
      </c>
      <c r="DP188" s="228">
        <v>-0.46</v>
      </c>
      <c r="DQ188" s="228">
        <v>0.77</v>
      </c>
      <c r="DR188" s="228">
        <v>0.71</v>
      </c>
      <c r="DS188" s="228">
        <v>0.06</v>
      </c>
      <c r="DT188" s="229">
        <v>8.4500000000000006E-2</v>
      </c>
      <c r="DU188" s="231">
        <v>1860</v>
      </c>
      <c r="DV188" s="231">
        <v>1800</v>
      </c>
      <c r="DW188" s="228">
        <v>0.51</v>
      </c>
      <c r="DX188" s="228">
        <v>0.68</v>
      </c>
      <c r="DY188" s="228">
        <v>-0.17</v>
      </c>
      <c r="DZ188" s="229">
        <v>-0.25</v>
      </c>
      <c r="EA188" s="229">
        <v>0.13320000000000001</v>
      </c>
      <c r="EB188" s="230">
        <v>3677450</v>
      </c>
      <c r="EC188" s="229">
        <v>6.7999999999999996E-3</v>
      </c>
      <c r="ED188" s="229">
        <v>0.13320000000000001</v>
      </c>
      <c r="EE188" s="228">
        <v>10.72</v>
      </c>
      <c r="EF188" s="229">
        <v>5.7999999999999996E-3</v>
      </c>
      <c r="EG188" s="230">
        <v>2194827</v>
      </c>
      <c r="EH188" s="230">
        <v>1925820</v>
      </c>
      <c r="EI188" s="229">
        <v>0.13969999999999999</v>
      </c>
      <c r="EJ188" s="229">
        <v>0.6341</v>
      </c>
      <c r="EK188" s="231">
        <v>3298.17</v>
      </c>
      <c r="EL188" s="231">
        <v>1581.04</v>
      </c>
      <c r="EM188" s="228">
        <v>555.46</v>
      </c>
      <c r="EN188" s="228">
        <v>91.17</v>
      </c>
      <c r="EO188" s="231">
        <v>5434.67</v>
      </c>
      <c r="EP188" s="231">
        <v>2778.09</v>
      </c>
      <c r="EQ188" s="231">
        <v>2656.59</v>
      </c>
      <c r="ER188" s="229">
        <v>0.95630000000000004</v>
      </c>
      <c r="ES188" s="231">
        <v>1777.67</v>
      </c>
      <c r="ET188" s="231">
        <v>1283.33</v>
      </c>
      <c r="EU188" s="231">
        <v>5224.6899999999996</v>
      </c>
      <c r="EV188" s="231">
        <v>121755902</v>
      </c>
      <c r="EW188" s="231">
        <v>8285.69</v>
      </c>
      <c r="EX188" s="231">
        <v>8048.51</v>
      </c>
      <c r="EY188" s="228">
        <v>237.18</v>
      </c>
      <c r="EZ188" s="229">
        <v>2.9499999999999998E-2</v>
      </c>
      <c r="FA188" s="229">
        <v>0.37209999999999999</v>
      </c>
      <c r="FB188" s="227" t="s">
        <v>555</v>
      </c>
      <c r="FC188">
        <f t="shared" si="3"/>
        <v>0</v>
      </c>
    </row>
    <row r="189" spans="1:159" ht="17.25" thickBot="1" x14ac:dyDescent="0.3">
      <c r="A189" s="226">
        <v>46148</v>
      </c>
      <c r="B189" s="227" t="s">
        <v>184</v>
      </c>
      <c r="C189" s="227" t="s">
        <v>573</v>
      </c>
      <c r="D189" s="228">
        <v>175</v>
      </c>
      <c r="E189" s="228">
        <v>20</v>
      </c>
      <c r="F189" s="231">
        <v>3735.7</v>
      </c>
      <c r="G189" s="231">
        <v>3650.6</v>
      </c>
      <c r="H189" s="228">
        <v>85.1</v>
      </c>
      <c r="I189" s="229">
        <v>2.3300000000000001E-2</v>
      </c>
      <c r="J189" s="231">
        <v>3709.4</v>
      </c>
      <c r="K189" s="231">
        <v>3631</v>
      </c>
      <c r="L189" s="228">
        <v>78.400000000000006</v>
      </c>
      <c r="M189" s="229">
        <v>2.1600000000000001E-2</v>
      </c>
      <c r="N189" s="231">
        <v>3735.7</v>
      </c>
      <c r="O189" s="231">
        <v>3650.6</v>
      </c>
      <c r="P189" s="228">
        <v>85.1</v>
      </c>
      <c r="Q189" s="229">
        <v>2.3300000000000001E-2</v>
      </c>
      <c r="R189" s="231">
        <v>3733.3</v>
      </c>
      <c r="S189" s="231">
        <v>3643.9</v>
      </c>
      <c r="T189" s="228">
        <v>89.4</v>
      </c>
      <c r="U189" s="229">
        <v>2.4500000000000001E-2</v>
      </c>
      <c r="V189" s="231">
        <v>3719.4</v>
      </c>
      <c r="W189" s="231">
        <v>3610.4</v>
      </c>
      <c r="X189" s="228">
        <v>109</v>
      </c>
      <c r="Y189" s="229">
        <v>3.0200000000000001E-2</v>
      </c>
      <c r="Z189" s="228">
        <v>26.3</v>
      </c>
      <c r="AA189" s="228">
        <v>19.600000000000001</v>
      </c>
      <c r="AB189" s="228">
        <v>6.7</v>
      </c>
      <c r="AC189" s="229">
        <v>7.1000000000000004E-3</v>
      </c>
      <c r="AD189" s="228">
        <v>26.3</v>
      </c>
      <c r="AE189" s="228">
        <v>19.600000000000001</v>
      </c>
      <c r="AF189" s="228">
        <v>6.7</v>
      </c>
      <c r="AG189" s="229">
        <v>7.1000000000000004E-3</v>
      </c>
      <c r="AH189" s="228">
        <v>23.9</v>
      </c>
      <c r="AI189" s="228">
        <v>12.9</v>
      </c>
      <c r="AJ189" s="228">
        <v>11</v>
      </c>
      <c r="AK189" s="229">
        <v>6.4000000000000003E-3</v>
      </c>
      <c r="AL189" s="228">
        <v>10</v>
      </c>
      <c r="AM189" s="228">
        <v>-20.6</v>
      </c>
      <c r="AN189" s="228">
        <v>30.6</v>
      </c>
      <c r="AO189" s="229">
        <v>2.7000000000000001E-3</v>
      </c>
      <c r="AP189" s="231">
        <v>3712.59</v>
      </c>
      <c r="AQ189" s="231">
        <v>3710.29</v>
      </c>
      <c r="AR189" s="228">
        <v>0</v>
      </c>
      <c r="AS189" s="228">
        <v>159</v>
      </c>
      <c r="AT189" s="228">
        <v>81</v>
      </c>
      <c r="AU189" s="228">
        <v>78</v>
      </c>
      <c r="AV189" s="229">
        <v>0.95879999999999999</v>
      </c>
      <c r="AW189" s="228">
        <v>154</v>
      </c>
      <c r="AX189" s="228">
        <v>80</v>
      </c>
      <c r="AY189" s="228">
        <v>74</v>
      </c>
      <c r="AZ189" s="229">
        <v>0.92720000000000002</v>
      </c>
      <c r="BA189" s="228">
        <v>5</v>
      </c>
      <c r="BB189" s="228">
        <v>1</v>
      </c>
      <c r="BC189" s="228">
        <v>3</v>
      </c>
      <c r="BD189" s="229">
        <v>3.1175999999999999</v>
      </c>
      <c r="BE189" s="228">
        <v>0</v>
      </c>
      <c r="BF189" s="228">
        <v>0</v>
      </c>
      <c r="BG189" s="228">
        <v>0</v>
      </c>
      <c r="BH189" s="229">
        <v>0</v>
      </c>
      <c r="BI189" s="228">
        <v>389</v>
      </c>
      <c r="BJ189" s="228">
        <v>239</v>
      </c>
      <c r="BK189" s="228">
        <v>150</v>
      </c>
      <c r="BL189" s="229">
        <v>0.625</v>
      </c>
      <c r="BM189" s="228">
        <v>247</v>
      </c>
      <c r="BN189" s="228">
        <v>67</v>
      </c>
      <c r="BO189" s="228">
        <v>180</v>
      </c>
      <c r="BP189" s="229">
        <v>2.7016</v>
      </c>
      <c r="BQ189" s="228">
        <v>795</v>
      </c>
      <c r="BR189" s="228">
        <v>387</v>
      </c>
      <c r="BS189" s="228">
        <v>408</v>
      </c>
      <c r="BT189" s="229">
        <v>1.0531999999999999</v>
      </c>
      <c r="BU189" s="230">
        <v>308292</v>
      </c>
      <c r="BV189" s="230">
        <v>135449</v>
      </c>
      <c r="BW189" s="230">
        <v>172843</v>
      </c>
      <c r="BX189" s="229">
        <v>1.2761</v>
      </c>
      <c r="BY189" s="228">
        <v>829</v>
      </c>
      <c r="BZ189" s="228">
        <v>831</v>
      </c>
      <c r="CA189" s="228">
        <v>-2</v>
      </c>
      <c r="CB189" s="229">
        <v>-3.0000000000000001E-3</v>
      </c>
      <c r="CC189" s="228">
        <v>815</v>
      </c>
      <c r="CD189" s="228">
        <v>819</v>
      </c>
      <c r="CE189" s="228">
        <v>-3</v>
      </c>
      <c r="CF189" s="229">
        <v>-4.1999999999999997E-3</v>
      </c>
      <c r="CG189" s="228">
        <v>13</v>
      </c>
      <c r="CH189" s="228">
        <v>12</v>
      </c>
      <c r="CI189" s="228">
        <v>1</v>
      </c>
      <c r="CJ189" s="229">
        <v>8.0199999999999994E-2</v>
      </c>
      <c r="CK189" s="228">
        <v>0</v>
      </c>
      <c r="CL189" s="228">
        <v>0</v>
      </c>
      <c r="CM189" s="228">
        <v>0</v>
      </c>
      <c r="CN189" s="229">
        <v>-0.25</v>
      </c>
      <c r="CO189" s="228">
        <v>339</v>
      </c>
      <c r="CP189" s="228">
        <v>354</v>
      </c>
      <c r="CQ189" s="228">
        <v>-15</v>
      </c>
      <c r="CR189" s="229">
        <v>-4.2200000000000001E-2</v>
      </c>
      <c r="CS189" s="228">
        <v>144</v>
      </c>
      <c r="CT189" s="228">
        <v>149</v>
      </c>
      <c r="CU189" s="228">
        <v>-5</v>
      </c>
      <c r="CV189" s="229">
        <v>-3.4599999999999999E-2</v>
      </c>
      <c r="CW189" s="230">
        <v>1312</v>
      </c>
      <c r="CX189" s="230">
        <v>1334</v>
      </c>
      <c r="CY189" s="228">
        <v>-23</v>
      </c>
      <c r="CZ189" s="229">
        <v>-1.6899999999999998E-2</v>
      </c>
      <c r="DA189" s="228">
        <v>32.33</v>
      </c>
      <c r="DB189" s="228">
        <v>30.72</v>
      </c>
      <c r="DC189" s="228">
        <v>1.61</v>
      </c>
      <c r="DD189" s="228">
        <v>1.61</v>
      </c>
      <c r="DE189" s="228">
        <v>37.53</v>
      </c>
      <c r="DF189" s="228">
        <v>37.51</v>
      </c>
      <c r="DG189" s="228">
        <v>-5.2</v>
      </c>
      <c r="DH189" s="228">
        <v>0.02</v>
      </c>
      <c r="DI189" s="228">
        <v>30.33</v>
      </c>
      <c r="DJ189" s="228">
        <v>30.89</v>
      </c>
      <c r="DK189" s="228">
        <v>-0.56000000000000005</v>
      </c>
      <c r="DL189" s="228">
        <v>-0.56000000000000005</v>
      </c>
      <c r="DM189" s="228">
        <v>35.47</v>
      </c>
      <c r="DN189" s="228">
        <v>30.12</v>
      </c>
      <c r="DO189" s="228">
        <v>5.35</v>
      </c>
      <c r="DP189" s="228">
        <v>5.35</v>
      </c>
      <c r="DQ189" s="228">
        <v>0.43</v>
      </c>
      <c r="DR189" s="228">
        <v>0.42</v>
      </c>
      <c r="DS189" s="228">
        <v>0.01</v>
      </c>
      <c r="DT189" s="229">
        <v>2.3800000000000002E-2</v>
      </c>
      <c r="DU189" s="231">
        <v>4000</v>
      </c>
      <c r="DV189" s="231">
        <v>3700</v>
      </c>
      <c r="DW189" s="228">
        <v>0.64</v>
      </c>
      <c r="DX189" s="228">
        <v>0.28000000000000003</v>
      </c>
      <c r="DY189" s="228">
        <v>0.36</v>
      </c>
      <c r="DZ189" s="229">
        <v>1.2857000000000001</v>
      </c>
      <c r="EA189" s="229">
        <v>1.6199999999999999E-2</v>
      </c>
      <c r="EB189" s="230">
        <v>33425</v>
      </c>
      <c r="EC189" s="229">
        <v>-5.9999999999999995E-4</v>
      </c>
      <c r="ED189" s="229">
        <v>1.6199999999999999E-2</v>
      </c>
      <c r="EE189" s="228">
        <v>-2.2999999999999998</v>
      </c>
      <c r="EF189" s="229">
        <v>-5.9999999999999995E-4</v>
      </c>
      <c r="EG189" s="230">
        <v>169637</v>
      </c>
      <c r="EH189" s="230">
        <v>58987</v>
      </c>
      <c r="EI189" s="229">
        <v>1.8757999999999999</v>
      </c>
      <c r="EJ189" s="229">
        <v>0.55020000000000002</v>
      </c>
      <c r="EK189" s="228">
        <v>406.72</v>
      </c>
      <c r="EL189" s="228">
        <v>214.32</v>
      </c>
      <c r="EM189" s="228">
        <v>157.68</v>
      </c>
      <c r="EN189" s="228">
        <v>17.440000000000001</v>
      </c>
      <c r="EO189" s="228">
        <v>778.72</v>
      </c>
      <c r="EP189" s="228">
        <v>393.71</v>
      </c>
      <c r="EQ189" s="228">
        <v>385.01</v>
      </c>
      <c r="ER189" s="229">
        <v>0.97789999999999999</v>
      </c>
      <c r="ES189" s="228">
        <v>355.87</v>
      </c>
      <c r="ET189" s="228">
        <v>136.6</v>
      </c>
      <c r="EU189" s="228">
        <v>828.88</v>
      </c>
      <c r="EV189" s="231">
        <v>9724371</v>
      </c>
      <c r="EW189" s="231">
        <v>1321.35</v>
      </c>
      <c r="EX189" s="231">
        <v>1324.04</v>
      </c>
      <c r="EY189" s="228">
        <v>-2.69</v>
      </c>
      <c r="EZ189" s="229">
        <v>-2E-3</v>
      </c>
      <c r="FA189" s="229">
        <v>0.36109999999999998</v>
      </c>
      <c r="FB189" s="227" t="s">
        <v>691</v>
      </c>
      <c r="FC189">
        <f t="shared" si="3"/>
        <v>0</v>
      </c>
    </row>
    <row r="190" spans="1:159" ht="17.25" thickBot="1" x14ac:dyDescent="0.3">
      <c r="A190" s="226">
        <v>46148</v>
      </c>
      <c r="B190" s="227" t="s">
        <v>161</v>
      </c>
      <c r="C190" s="227" t="s">
        <v>680</v>
      </c>
      <c r="D190" s="228">
        <v>9025</v>
      </c>
      <c r="E190" s="228">
        <v>20</v>
      </c>
      <c r="F190" s="228">
        <v>54.62</v>
      </c>
      <c r="G190" s="228">
        <v>55.07</v>
      </c>
      <c r="H190" s="228">
        <v>-0.45</v>
      </c>
      <c r="I190" s="229">
        <v>-8.2000000000000007E-3</v>
      </c>
      <c r="J190" s="228">
        <v>54.32</v>
      </c>
      <c r="K190" s="228">
        <v>54.85</v>
      </c>
      <c r="L190" s="228">
        <v>-0.53</v>
      </c>
      <c r="M190" s="229">
        <v>-9.7000000000000003E-3</v>
      </c>
      <c r="N190" s="228">
        <v>54.62</v>
      </c>
      <c r="O190" s="228">
        <v>55.07</v>
      </c>
      <c r="P190" s="228">
        <v>-0.45</v>
      </c>
      <c r="Q190" s="229">
        <v>-8.2000000000000007E-3</v>
      </c>
      <c r="R190" s="228">
        <v>54.9</v>
      </c>
      <c r="S190" s="228">
        <v>55.36</v>
      </c>
      <c r="T190" s="228">
        <v>-0.46</v>
      </c>
      <c r="U190" s="229">
        <v>-8.3000000000000001E-3</v>
      </c>
      <c r="V190" s="228">
        <v>55.21</v>
      </c>
      <c r="W190" s="228">
        <v>55.69</v>
      </c>
      <c r="X190" s="228">
        <v>-0.48</v>
      </c>
      <c r="Y190" s="229">
        <v>-8.6E-3</v>
      </c>
      <c r="Z190" s="228">
        <v>0.3</v>
      </c>
      <c r="AA190" s="228">
        <v>0.22</v>
      </c>
      <c r="AB190" s="228">
        <v>0.08</v>
      </c>
      <c r="AC190" s="229">
        <v>5.4999999999999997E-3</v>
      </c>
      <c r="AD190" s="228">
        <v>0.3</v>
      </c>
      <c r="AE190" s="228">
        <v>0.22</v>
      </c>
      <c r="AF190" s="228">
        <v>0.08</v>
      </c>
      <c r="AG190" s="229">
        <v>5.4999999999999997E-3</v>
      </c>
      <c r="AH190" s="228">
        <v>0.57999999999999996</v>
      </c>
      <c r="AI190" s="228">
        <v>0.51</v>
      </c>
      <c r="AJ190" s="228">
        <v>7.0000000000000007E-2</v>
      </c>
      <c r="AK190" s="229">
        <v>1.0699999999999999E-2</v>
      </c>
      <c r="AL190" s="228">
        <v>0.89</v>
      </c>
      <c r="AM190" s="228">
        <v>0.84</v>
      </c>
      <c r="AN190" s="228">
        <v>0.05</v>
      </c>
      <c r="AO190" s="229">
        <v>1.6400000000000001E-2</v>
      </c>
      <c r="AP190" s="228">
        <v>54.23</v>
      </c>
      <c r="AQ190" s="228">
        <v>54.54</v>
      </c>
      <c r="AR190" s="228">
        <v>0</v>
      </c>
      <c r="AS190" s="228">
        <v>246</v>
      </c>
      <c r="AT190" s="228">
        <v>197</v>
      </c>
      <c r="AU190" s="228">
        <v>49</v>
      </c>
      <c r="AV190" s="229">
        <v>0.25119999999999998</v>
      </c>
      <c r="AW190" s="228">
        <v>215</v>
      </c>
      <c r="AX190" s="228">
        <v>174</v>
      </c>
      <c r="AY190" s="228">
        <v>40</v>
      </c>
      <c r="AZ190" s="229">
        <v>0.23150000000000001</v>
      </c>
      <c r="BA190" s="228">
        <v>25</v>
      </c>
      <c r="BB190" s="228">
        <v>18</v>
      </c>
      <c r="BC190" s="228">
        <v>7</v>
      </c>
      <c r="BD190" s="229">
        <v>0.40050000000000002</v>
      </c>
      <c r="BE190" s="228">
        <v>6</v>
      </c>
      <c r="BF190" s="228">
        <v>4</v>
      </c>
      <c r="BG190" s="228">
        <v>2</v>
      </c>
      <c r="BH190" s="229">
        <v>0.42049999999999998</v>
      </c>
      <c r="BI190" s="228">
        <v>799</v>
      </c>
      <c r="BJ190" s="228">
        <v>676</v>
      </c>
      <c r="BK190" s="228">
        <v>123</v>
      </c>
      <c r="BL190" s="229">
        <v>0.18240000000000001</v>
      </c>
      <c r="BM190" s="228">
        <v>231</v>
      </c>
      <c r="BN190" s="228">
        <v>207</v>
      </c>
      <c r="BO190" s="228">
        <v>24</v>
      </c>
      <c r="BP190" s="229">
        <v>0.1138</v>
      </c>
      <c r="BQ190" s="230">
        <v>1276</v>
      </c>
      <c r="BR190" s="230">
        <v>1080</v>
      </c>
      <c r="BS190" s="228">
        <v>196</v>
      </c>
      <c r="BT190" s="229">
        <v>0.1817</v>
      </c>
      <c r="BU190" s="230">
        <v>99603719</v>
      </c>
      <c r="BV190" s="230">
        <v>79245912</v>
      </c>
      <c r="BW190" s="230">
        <v>20357807</v>
      </c>
      <c r="BX190" s="229">
        <v>0.25690000000000002</v>
      </c>
      <c r="BY190" s="230">
        <v>1619</v>
      </c>
      <c r="BZ190" s="230">
        <v>1601</v>
      </c>
      <c r="CA190" s="228">
        <v>18</v>
      </c>
      <c r="CB190" s="229">
        <v>1.12E-2</v>
      </c>
      <c r="CC190" s="230">
        <v>1454</v>
      </c>
      <c r="CD190" s="230">
        <v>1448</v>
      </c>
      <c r="CE190" s="228">
        <v>6</v>
      </c>
      <c r="CF190" s="229">
        <v>4.1999999999999997E-3</v>
      </c>
      <c r="CG190" s="228">
        <v>148</v>
      </c>
      <c r="CH190" s="228">
        <v>142</v>
      </c>
      <c r="CI190" s="228">
        <v>6</v>
      </c>
      <c r="CJ190" s="229">
        <v>4.2700000000000002E-2</v>
      </c>
      <c r="CK190" s="228">
        <v>16</v>
      </c>
      <c r="CL190" s="228">
        <v>10</v>
      </c>
      <c r="CM190" s="228">
        <v>6</v>
      </c>
      <c r="CN190" s="229">
        <v>0.56289999999999996</v>
      </c>
      <c r="CO190" s="228">
        <v>875</v>
      </c>
      <c r="CP190" s="228">
        <v>835</v>
      </c>
      <c r="CQ190" s="228">
        <v>40</v>
      </c>
      <c r="CR190" s="229">
        <v>4.7600000000000003E-2</v>
      </c>
      <c r="CS190" s="228">
        <v>337</v>
      </c>
      <c r="CT190" s="228">
        <v>329</v>
      </c>
      <c r="CU190" s="228">
        <v>8</v>
      </c>
      <c r="CV190" s="229">
        <v>2.46E-2</v>
      </c>
      <c r="CW190" s="230">
        <v>2830</v>
      </c>
      <c r="CX190" s="230">
        <v>2765</v>
      </c>
      <c r="CY190" s="228">
        <v>66</v>
      </c>
      <c r="CZ190" s="229">
        <v>2.3800000000000002E-2</v>
      </c>
      <c r="DA190" s="228">
        <v>47.72</v>
      </c>
      <c r="DB190" s="228">
        <v>47.13</v>
      </c>
      <c r="DC190" s="228">
        <v>0.59</v>
      </c>
      <c r="DD190" s="228">
        <v>0.59</v>
      </c>
      <c r="DE190" s="228">
        <v>47</v>
      </c>
      <c r="DF190" s="228">
        <v>47.11</v>
      </c>
      <c r="DG190" s="228">
        <v>0.72</v>
      </c>
      <c r="DH190" s="228">
        <v>-0.11</v>
      </c>
      <c r="DI190" s="228">
        <v>47.9</v>
      </c>
      <c r="DJ190" s="228">
        <v>46.96</v>
      </c>
      <c r="DK190" s="228">
        <v>0.94</v>
      </c>
      <c r="DL190" s="228">
        <v>0.94</v>
      </c>
      <c r="DM190" s="228">
        <v>47.09</v>
      </c>
      <c r="DN190" s="228">
        <v>47.68</v>
      </c>
      <c r="DO190" s="228">
        <v>-0.59</v>
      </c>
      <c r="DP190" s="228">
        <v>-0.59</v>
      </c>
      <c r="DQ190" s="228">
        <v>0.38</v>
      </c>
      <c r="DR190" s="228">
        <v>0.39</v>
      </c>
      <c r="DS190" s="228">
        <v>-0.01</v>
      </c>
      <c r="DT190" s="229">
        <v>-2.5600000000000001E-2</v>
      </c>
      <c r="DU190" s="228">
        <v>60</v>
      </c>
      <c r="DV190" s="228">
        <v>50</v>
      </c>
      <c r="DW190" s="228">
        <v>0.28999999999999998</v>
      </c>
      <c r="DX190" s="228">
        <v>0.31</v>
      </c>
      <c r="DY190" s="228">
        <v>-0.02</v>
      </c>
      <c r="DZ190" s="229">
        <v>-6.4500000000000002E-2</v>
      </c>
      <c r="EA190" s="229">
        <v>0.10150000000000001</v>
      </c>
      <c r="EB190" s="230">
        <v>27891650</v>
      </c>
      <c r="EC190" s="229">
        <v>5.1000000000000004E-3</v>
      </c>
      <c r="ED190" s="229">
        <v>0.10150000000000001</v>
      </c>
      <c r="EE190" s="228">
        <v>0.31</v>
      </c>
      <c r="EF190" s="229">
        <v>5.7000000000000002E-3</v>
      </c>
      <c r="EG190" s="230">
        <v>32045983</v>
      </c>
      <c r="EH190" s="230">
        <v>20587551</v>
      </c>
      <c r="EI190" s="229">
        <v>0.55659999999999998</v>
      </c>
      <c r="EJ190" s="229">
        <v>0.32169999999999999</v>
      </c>
      <c r="EK190" s="228">
        <v>871.78</v>
      </c>
      <c r="EL190" s="228">
        <v>224.65</v>
      </c>
      <c r="EM190" s="228">
        <v>247.03</v>
      </c>
      <c r="EN190" s="228">
        <v>62.02</v>
      </c>
      <c r="EO190" s="231">
        <v>1343.45</v>
      </c>
      <c r="EP190" s="231">
        <v>1155.94</v>
      </c>
      <c r="EQ190" s="228">
        <v>187.52</v>
      </c>
      <c r="ER190" s="229">
        <v>0.16220000000000001</v>
      </c>
      <c r="ES190" s="228">
        <v>935.75</v>
      </c>
      <c r="ET190" s="228">
        <v>320.47000000000003</v>
      </c>
      <c r="EU190" s="231">
        <v>1619.53</v>
      </c>
      <c r="EV190" s="231">
        <v>1815546735</v>
      </c>
      <c r="EW190" s="231">
        <v>2875.74</v>
      </c>
      <c r="EX190" s="231">
        <v>2823.3</v>
      </c>
      <c r="EY190" s="228">
        <v>52.44</v>
      </c>
      <c r="EZ190" s="229">
        <v>1.8599999999999998E-2</v>
      </c>
      <c r="FA190" s="229">
        <v>0.28539999999999999</v>
      </c>
      <c r="FB190" s="227" t="s">
        <v>566</v>
      </c>
      <c r="FC190">
        <f t="shared" si="3"/>
        <v>0</v>
      </c>
    </row>
    <row r="191" spans="1:159" ht="17.25" thickBot="1" x14ac:dyDescent="0.3">
      <c r="A191" s="226">
        <v>46148</v>
      </c>
      <c r="B191" s="227" t="s">
        <v>614</v>
      </c>
      <c r="C191" s="227" t="s">
        <v>689</v>
      </c>
      <c r="D191" s="228">
        <v>1300</v>
      </c>
      <c r="E191" s="228">
        <v>20</v>
      </c>
      <c r="F191" s="228">
        <v>281.60000000000002</v>
      </c>
      <c r="G191" s="228">
        <v>274.8</v>
      </c>
      <c r="H191" s="228">
        <v>6.8</v>
      </c>
      <c r="I191" s="229">
        <v>2.47E-2</v>
      </c>
      <c r="J191" s="228">
        <v>279.85000000000002</v>
      </c>
      <c r="K191" s="228">
        <v>273.7</v>
      </c>
      <c r="L191" s="228">
        <v>6.15</v>
      </c>
      <c r="M191" s="229">
        <v>2.2499999999999999E-2</v>
      </c>
      <c r="N191" s="228">
        <v>281.60000000000002</v>
      </c>
      <c r="O191" s="228">
        <v>274.8</v>
      </c>
      <c r="P191" s="228">
        <v>6.8</v>
      </c>
      <c r="Q191" s="229">
        <v>2.47E-2</v>
      </c>
      <c r="R191" s="228">
        <v>280.64999999999998</v>
      </c>
      <c r="S191" s="228">
        <v>273.45</v>
      </c>
      <c r="T191" s="228">
        <v>7.2</v>
      </c>
      <c r="U191" s="229">
        <v>2.63E-2</v>
      </c>
      <c r="V191" s="228">
        <v>280.14999999999998</v>
      </c>
      <c r="W191" s="228">
        <v>273.45</v>
      </c>
      <c r="X191" s="228">
        <v>6.7</v>
      </c>
      <c r="Y191" s="229">
        <v>2.4500000000000001E-2</v>
      </c>
      <c r="Z191" s="228">
        <v>1.75</v>
      </c>
      <c r="AA191" s="228">
        <v>1.1000000000000001</v>
      </c>
      <c r="AB191" s="228">
        <v>0.65</v>
      </c>
      <c r="AC191" s="229">
        <v>6.3E-3</v>
      </c>
      <c r="AD191" s="228">
        <v>1.75</v>
      </c>
      <c r="AE191" s="228">
        <v>1.1000000000000001</v>
      </c>
      <c r="AF191" s="228">
        <v>0.65</v>
      </c>
      <c r="AG191" s="229">
        <v>6.3E-3</v>
      </c>
      <c r="AH191" s="228">
        <v>0.8</v>
      </c>
      <c r="AI191" s="228">
        <v>-0.25</v>
      </c>
      <c r="AJ191" s="228">
        <v>1.05</v>
      </c>
      <c r="AK191" s="229">
        <v>2.8999999999999998E-3</v>
      </c>
      <c r="AL191" s="228">
        <v>0.3</v>
      </c>
      <c r="AM191" s="228">
        <v>-0.25</v>
      </c>
      <c r="AN191" s="228">
        <v>0.55000000000000004</v>
      </c>
      <c r="AO191" s="229">
        <v>1.1000000000000001E-3</v>
      </c>
      <c r="AP191" s="228">
        <v>279.01</v>
      </c>
      <c r="AQ191" s="228">
        <v>277.45</v>
      </c>
      <c r="AR191" s="228">
        <v>0</v>
      </c>
      <c r="AS191" s="228">
        <v>132</v>
      </c>
      <c r="AT191" s="228">
        <v>151</v>
      </c>
      <c r="AU191" s="228">
        <v>-19</v>
      </c>
      <c r="AV191" s="229">
        <v>-0.1241</v>
      </c>
      <c r="AW191" s="228">
        <v>122</v>
      </c>
      <c r="AX191" s="228">
        <v>140</v>
      </c>
      <c r="AY191" s="228">
        <v>-18</v>
      </c>
      <c r="AZ191" s="229">
        <v>-0.127</v>
      </c>
      <c r="BA191" s="228">
        <v>9</v>
      </c>
      <c r="BB191" s="228">
        <v>11</v>
      </c>
      <c r="BC191" s="228">
        <v>-2</v>
      </c>
      <c r="BD191" s="229">
        <v>-0.1953</v>
      </c>
      <c r="BE191" s="228">
        <v>2</v>
      </c>
      <c r="BF191" s="228">
        <v>0</v>
      </c>
      <c r="BG191" s="228">
        <v>1</v>
      </c>
      <c r="BH191" s="229">
        <v>2.8182</v>
      </c>
      <c r="BI191" s="228">
        <v>216</v>
      </c>
      <c r="BJ191" s="228">
        <v>206</v>
      </c>
      <c r="BK191" s="228">
        <v>10</v>
      </c>
      <c r="BL191" s="229">
        <v>4.9700000000000001E-2</v>
      </c>
      <c r="BM191" s="228">
        <v>91</v>
      </c>
      <c r="BN191" s="228">
        <v>69</v>
      </c>
      <c r="BO191" s="228">
        <v>22</v>
      </c>
      <c r="BP191" s="229">
        <v>0.3175</v>
      </c>
      <c r="BQ191" s="228">
        <v>440</v>
      </c>
      <c r="BR191" s="228">
        <v>426</v>
      </c>
      <c r="BS191" s="228">
        <v>13</v>
      </c>
      <c r="BT191" s="229">
        <v>3.1600000000000003E-2</v>
      </c>
      <c r="BU191" s="230">
        <v>4945649</v>
      </c>
      <c r="BV191" s="230">
        <v>8389362</v>
      </c>
      <c r="BW191" s="230">
        <v>-3443713</v>
      </c>
      <c r="BX191" s="229">
        <v>-0.41049999999999998</v>
      </c>
      <c r="BY191" s="230">
        <v>1207</v>
      </c>
      <c r="BZ191" s="230">
        <v>1206</v>
      </c>
      <c r="CA191" s="228">
        <v>1</v>
      </c>
      <c r="CB191" s="229">
        <v>8.0000000000000004E-4</v>
      </c>
      <c r="CC191" s="230">
        <v>1170</v>
      </c>
      <c r="CD191" s="230">
        <v>1170</v>
      </c>
      <c r="CE191" s="228">
        <v>0</v>
      </c>
      <c r="CF191" s="229">
        <v>4.0000000000000002E-4</v>
      </c>
      <c r="CG191" s="228">
        <v>34</v>
      </c>
      <c r="CH191" s="228">
        <v>34</v>
      </c>
      <c r="CI191" s="228">
        <v>0</v>
      </c>
      <c r="CJ191" s="229">
        <v>-1.18E-2</v>
      </c>
      <c r="CK191" s="228">
        <v>3</v>
      </c>
      <c r="CL191" s="228">
        <v>2</v>
      </c>
      <c r="CM191" s="228">
        <v>1</v>
      </c>
      <c r="CN191" s="229">
        <v>0.39129999999999998</v>
      </c>
      <c r="CO191" s="228">
        <v>292</v>
      </c>
      <c r="CP191" s="228">
        <v>288</v>
      </c>
      <c r="CQ191" s="228">
        <v>3</v>
      </c>
      <c r="CR191" s="229">
        <v>1.1900000000000001E-2</v>
      </c>
      <c r="CS191" s="228">
        <v>173</v>
      </c>
      <c r="CT191" s="228">
        <v>169</v>
      </c>
      <c r="CU191" s="228">
        <v>5</v>
      </c>
      <c r="CV191" s="229">
        <v>2.69E-2</v>
      </c>
      <c r="CW191" s="230">
        <v>1673</v>
      </c>
      <c r="CX191" s="230">
        <v>1664</v>
      </c>
      <c r="CY191" s="228">
        <v>9</v>
      </c>
      <c r="CZ191" s="229">
        <v>5.4000000000000003E-3</v>
      </c>
      <c r="DA191" s="228">
        <v>44.95</v>
      </c>
      <c r="DB191" s="228">
        <v>48.62</v>
      </c>
      <c r="DC191" s="228">
        <v>-3.67</v>
      </c>
      <c r="DD191" s="228">
        <v>-3.67</v>
      </c>
      <c r="DE191" s="228">
        <v>45.17</v>
      </c>
      <c r="DF191" s="228">
        <v>45.18</v>
      </c>
      <c r="DG191" s="228">
        <v>-0.22</v>
      </c>
      <c r="DH191" s="228">
        <v>-0.01</v>
      </c>
      <c r="DI191" s="228">
        <v>44.49</v>
      </c>
      <c r="DJ191" s="228">
        <v>48.81</v>
      </c>
      <c r="DK191" s="228">
        <v>-4.32</v>
      </c>
      <c r="DL191" s="228">
        <v>-4.32</v>
      </c>
      <c r="DM191" s="228">
        <v>46.03</v>
      </c>
      <c r="DN191" s="228">
        <v>48.07</v>
      </c>
      <c r="DO191" s="228">
        <v>-2.04</v>
      </c>
      <c r="DP191" s="228">
        <v>-2.04</v>
      </c>
      <c r="DQ191" s="228">
        <v>0.59</v>
      </c>
      <c r="DR191" s="228">
        <v>0.59</v>
      </c>
      <c r="DS191" s="228">
        <v>0</v>
      </c>
      <c r="DT191" s="229">
        <v>0</v>
      </c>
      <c r="DU191" s="228">
        <v>300</v>
      </c>
      <c r="DV191" s="228">
        <v>260</v>
      </c>
      <c r="DW191" s="228">
        <v>0.42</v>
      </c>
      <c r="DX191" s="228">
        <v>0.34</v>
      </c>
      <c r="DY191" s="228">
        <v>0.08</v>
      </c>
      <c r="DZ191" s="229">
        <v>0.23530000000000001</v>
      </c>
      <c r="EA191" s="229">
        <v>3.0700000000000002E-2</v>
      </c>
      <c r="EB191" s="230">
        <v>1299450</v>
      </c>
      <c r="EC191" s="229">
        <v>-3.3999999999999998E-3</v>
      </c>
      <c r="ED191" s="229">
        <v>3.0700000000000002E-2</v>
      </c>
      <c r="EE191" s="228">
        <v>-1.56</v>
      </c>
      <c r="EF191" s="229">
        <v>-5.5999999999999999E-3</v>
      </c>
      <c r="EG191" s="230">
        <v>2050961</v>
      </c>
      <c r="EH191" s="230">
        <v>3939297</v>
      </c>
      <c r="EI191" s="229">
        <v>-0.47939999999999999</v>
      </c>
      <c r="EJ191" s="229">
        <v>0.41470000000000001</v>
      </c>
      <c r="EK191" s="228">
        <v>230.37</v>
      </c>
      <c r="EL191" s="228">
        <v>88.68</v>
      </c>
      <c r="EM191" s="228">
        <v>131.63999999999999</v>
      </c>
      <c r="EN191" s="228">
        <v>56.6</v>
      </c>
      <c r="EO191" s="228">
        <v>450.69</v>
      </c>
      <c r="EP191" s="228">
        <v>434.98</v>
      </c>
      <c r="EQ191" s="228">
        <v>15.71</v>
      </c>
      <c r="ER191" s="229">
        <v>3.61E-2</v>
      </c>
      <c r="ES191" s="228">
        <v>306.67</v>
      </c>
      <c r="ET191" s="228">
        <v>165.65</v>
      </c>
      <c r="EU191" s="231">
        <v>1207.3399999999999</v>
      </c>
      <c r="EV191" s="231">
        <v>389472858</v>
      </c>
      <c r="EW191" s="231">
        <v>1679.66</v>
      </c>
      <c r="EX191" s="231">
        <v>1640.84</v>
      </c>
      <c r="EY191" s="228">
        <v>38.82</v>
      </c>
      <c r="EZ191" s="229">
        <v>2.3699999999999999E-2</v>
      </c>
      <c r="FA191" s="229">
        <v>0.1525</v>
      </c>
      <c r="FB191" s="227" t="s">
        <v>555</v>
      </c>
      <c r="FC191">
        <f t="shared" si="3"/>
        <v>0</v>
      </c>
    </row>
    <row r="192" spans="1:159" ht="17.25" thickBot="1" x14ac:dyDescent="0.3">
      <c r="A192" s="226">
        <v>46148</v>
      </c>
      <c r="B192" s="227" t="s">
        <v>168</v>
      </c>
      <c r="C192" s="227" t="s">
        <v>291</v>
      </c>
      <c r="D192" s="228">
        <v>550</v>
      </c>
      <c r="E192" s="228">
        <v>20</v>
      </c>
      <c r="F192" s="231">
        <v>1158.5</v>
      </c>
      <c r="G192" s="231">
        <v>1158.9000000000001</v>
      </c>
      <c r="H192" s="228">
        <v>-0.4</v>
      </c>
      <c r="I192" s="229">
        <v>-2.9999999999999997E-4</v>
      </c>
      <c r="J192" s="231">
        <v>1152.2</v>
      </c>
      <c r="K192" s="231">
        <v>1153.5</v>
      </c>
      <c r="L192" s="228">
        <v>-1.3</v>
      </c>
      <c r="M192" s="229">
        <v>-1.1000000000000001E-3</v>
      </c>
      <c r="N192" s="231">
        <v>1158.5</v>
      </c>
      <c r="O192" s="231">
        <v>1158.9000000000001</v>
      </c>
      <c r="P192" s="228">
        <v>-0.4</v>
      </c>
      <c r="Q192" s="229">
        <v>-2.9999999999999997E-4</v>
      </c>
      <c r="R192" s="231">
        <v>1160.7</v>
      </c>
      <c r="S192" s="231">
        <v>1158.0999999999999</v>
      </c>
      <c r="T192" s="228">
        <v>2.6</v>
      </c>
      <c r="U192" s="229">
        <v>2.2000000000000001E-3</v>
      </c>
      <c r="V192" s="231">
        <v>1165.5</v>
      </c>
      <c r="W192" s="231">
        <v>1157.5</v>
      </c>
      <c r="X192" s="228">
        <v>8</v>
      </c>
      <c r="Y192" s="229">
        <v>6.8999999999999999E-3</v>
      </c>
      <c r="Z192" s="228">
        <v>6.3</v>
      </c>
      <c r="AA192" s="228">
        <v>5.4</v>
      </c>
      <c r="AB192" s="228">
        <v>0.9</v>
      </c>
      <c r="AC192" s="229">
        <v>5.4999999999999997E-3</v>
      </c>
      <c r="AD192" s="228">
        <v>6.3</v>
      </c>
      <c r="AE192" s="228">
        <v>5.4</v>
      </c>
      <c r="AF192" s="228">
        <v>0.9</v>
      </c>
      <c r="AG192" s="229">
        <v>5.4999999999999997E-3</v>
      </c>
      <c r="AH192" s="228">
        <v>8.5</v>
      </c>
      <c r="AI192" s="228">
        <v>4.5999999999999996</v>
      </c>
      <c r="AJ192" s="228">
        <v>3.9</v>
      </c>
      <c r="AK192" s="229">
        <v>7.4000000000000003E-3</v>
      </c>
      <c r="AL192" s="228">
        <v>13.3</v>
      </c>
      <c r="AM192" s="228">
        <v>4</v>
      </c>
      <c r="AN192" s="228">
        <v>9.3000000000000007</v>
      </c>
      <c r="AO192" s="229">
        <v>1.15E-2</v>
      </c>
      <c r="AP192" s="231">
        <v>1155.6099999999999</v>
      </c>
      <c r="AQ192" s="231">
        <v>1156.02</v>
      </c>
      <c r="AR192" s="228">
        <v>0</v>
      </c>
      <c r="AS192" s="228">
        <v>210</v>
      </c>
      <c r="AT192" s="228">
        <v>125</v>
      </c>
      <c r="AU192" s="228">
        <v>85</v>
      </c>
      <c r="AV192" s="229">
        <v>0.68320000000000003</v>
      </c>
      <c r="AW192" s="228">
        <v>195</v>
      </c>
      <c r="AX192" s="228">
        <v>114</v>
      </c>
      <c r="AY192" s="228">
        <v>81</v>
      </c>
      <c r="AZ192" s="229">
        <v>0.70779999999999998</v>
      </c>
      <c r="BA192" s="228">
        <v>14</v>
      </c>
      <c r="BB192" s="228">
        <v>10</v>
      </c>
      <c r="BC192" s="228">
        <v>4</v>
      </c>
      <c r="BD192" s="229">
        <v>0.37890000000000001</v>
      </c>
      <c r="BE192" s="228">
        <v>0</v>
      </c>
      <c r="BF192" s="228">
        <v>0</v>
      </c>
      <c r="BG192" s="228">
        <v>0</v>
      </c>
      <c r="BH192" s="229">
        <v>0</v>
      </c>
      <c r="BI192" s="228">
        <v>444</v>
      </c>
      <c r="BJ192" s="228">
        <v>179</v>
      </c>
      <c r="BK192" s="228">
        <v>264</v>
      </c>
      <c r="BL192" s="229">
        <v>1.4721</v>
      </c>
      <c r="BM192" s="228">
        <v>115</v>
      </c>
      <c r="BN192" s="228">
        <v>54</v>
      </c>
      <c r="BO192" s="228">
        <v>61</v>
      </c>
      <c r="BP192" s="229">
        <v>1.1299999999999999</v>
      </c>
      <c r="BQ192" s="228">
        <v>768</v>
      </c>
      <c r="BR192" s="228">
        <v>358</v>
      </c>
      <c r="BS192" s="228">
        <v>410</v>
      </c>
      <c r="BT192" s="229">
        <v>1.1462000000000001</v>
      </c>
      <c r="BU192" s="230">
        <v>1584633</v>
      </c>
      <c r="BV192" s="230">
        <v>1147765</v>
      </c>
      <c r="BW192" s="230">
        <v>436868</v>
      </c>
      <c r="BX192" s="229">
        <v>0.38059999999999999</v>
      </c>
      <c r="BY192" s="230">
        <v>1104</v>
      </c>
      <c r="BZ192" s="230">
        <v>1099</v>
      </c>
      <c r="CA192" s="228">
        <v>4</v>
      </c>
      <c r="CB192" s="229">
        <v>4.0000000000000001E-3</v>
      </c>
      <c r="CC192" s="228">
        <v>990</v>
      </c>
      <c r="CD192" s="228">
        <v>987</v>
      </c>
      <c r="CE192" s="228">
        <v>3</v>
      </c>
      <c r="CF192" s="229">
        <v>2.8E-3</v>
      </c>
      <c r="CG192" s="228">
        <v>113</v>
      </c>
      <c r="CH192" s="228">
        <v>112</v>
      </c>
      <c r="CI192" s="228">
        <v>1</v>
      </c>
      <c r="CJ192" s="229">
        <v>1.14E-2</v>
      </c>
      <c r="CK192" s="228">
        <v>1</v>
      </c>
      <c r="CL192" s="228">
        <v>1</v>
      </c>
      <c r="CM192" s="228">
        <v>0</v>
      </c>
      <c r="CN192" s="229">
        <v>0.5</v>
      </c>
      <c r="CO192" s="228">
        <v>353</v>
      </c>
      <c r="CP192" s="228">
        <v>298</v>
      </c>
      <c r="CQ192" s="228">
        <v>55</v>
      </c>
      <c r="CR192" s="229">
        <v>0.18540000000000001</v>
      </c>
      <c r="CS192" s="228">
        <v>165</v>
      </c>
      <c r="CT192" s="228">
        <v>159</v>
      </c>
      <c r="CU192" s="228">
        <v>6</v>
      </c>
      <c r="CV192" s="229">
        <v>3.9300000000000002E-2</v>
      </c>
      <c r="CW192" s="230">
        <v>1621</v>
      </c>
      <c r="CX192" s="230">
        <v>1556</v>
      </c>
      <c r="CY192" s="228">
        <v>66</v>
      </c>
      <c r="CZ192" s="229">
        <v>4.2299999999999997E-2</v>
      </c>
      <c r="DA192" s="228">
        <v>27.9</v>
      </c>
      <c r="DB192" s="228">
        <v>28.14</v>
      </c>
      <c r="DC192" s="228">
        <v>-0.24</v>
      </c>
      <c r="DD192" s="228">
        <v>-0.24</v>
      </c>
      <c r="DE192" s="228">
        <v>27.43</v>
      </c>
      <c r="DF192" s="228">
        <v>27.5</v>
      </c>
      <c r="DG192" s="228">
        <v>0.47</v>
      </c>
      <c r="DH192" s="228">
        <v>-7.0000000000000007E-2</v>
      </c>
      <c r="DI192" s="228">
        <v>27.84</v>
      </c>
      <c r="DJ192" s="228">
        <v>28</v>
      </c>
      <c r="DK192" s="228">
        <v>-0.16</v>
      </c>
      <c r="DL192" s="228">
        <v>-0.16</v>
      </c>
      <c r="DM192" s="228">
        <v>28.13</v>
      </c>
      <c r="DN192" s="228">
        <v>28.62</v>
      </c>
      <c r="DO192" s="228">
        <v>-0.49</v>
      </c>
      <c r="DP192" s="228">
        <v>-0.49</v>
      </c>
      <c r="DQ192" s="228">
        <v>0.47</v>
      </c>
      <c r="DR192" s="228">
        <v>0.53</v>
      </c>
      <c r="DS192" s="228">
        <v>-0.06</v>
      </c>
      <c r="DT192" s="229">
        <v>-0.1132</v>
      </c>
      <c r="DU192" s="231">
        <v>1200</v>
      </c>
      <c r="DV192" s="231">
        <v>1100</v>
      </c>
      <c r="DW192" s="228">
        <v>0.26</v>
      </c>
      <c r="DX192" s="228">
        <v>0.3</v>
      </c>
      <c r="DY192" s="228">
        <v>-0.04</v>
      </c>
      <c r="DZ192" s="229">
        <v>-0.1333</v>
      </c>
      <c r="EA192" s="229">
        <v>0.1032</v>
      </c>
      <c r="EB192" s="230">
        <v>969650</v>
      </c>
      <c r="EC192" s="229">
        <v>1.9E-3</v>
      </c>
      <c r="ED192" s="229">
        <v>0.1032</v>
      </c>
      <c r="EE192" s="228">
        <v>0.41</v>
      </c>
      <c r="EF192" s="229">
        <v>4.0000000000000002E-4</v>
      </c>
      <c r="EG192" s="230">
        <v>1003696</v>
      </c>
      <c r="EH192" s="230">
        <v>674581</v>
      </c>
      <c r="EI192" s="229">
        <v>0.4879</v>
      </c>
      <c r="EJ192" s="229">
        <v>0.63339999999999996</v>
      </c>
      <c r="EK192" s="228">
        <v>465.37</v>
      </c>
      <c r="EL192" s="228">
        <v>114.26</v>
      </c>
      <c r="EM192" s="228">
        <v>209.05</v>
      </c>
      <c r="EN192" s="228">
        <v>23.72</v>
      </c>
      <c r="EO192" s="228">
        <v>788.69</v>
      </c>
      <c r="EP192" s="228">
        <v>367.1</v>
      </c>
      <c r="EQ192" s="228">
        <v>421.59</v>
      </c>
      <c r="ER192" s="229">
        <v>1.1484000000000001</v>
      </c>
      <c r="ES192" s="228">
        <v>371.56</v>
      </c>
      <c r="ET192" s="228">
        <v>158.77000000000001</v>
      </c>
      <c r="EU192" s="231">
        <v>1103.74</v>
      </c>
      <c r="EV192" s="231">
        <v>65472757</v>
      </c>
      <c r="EW192" s="231">
        <v>1634.07</v>
      </c>
      <c r="EX192" s="231">
        <v>1566.39</v>
      </c>
      <c r="EY192" s="228">
        <v>67.680000000000007</v>
      </c>
      <c r="EZ192" s="229">
        <v>4.3200000000000002E-2</v>
      </c>
      <c r="FA192" s="229">
        <v>0.21379999999999999</v>
      </c>
      <c r="FB192" s="227" t="s">
        <v>566</v>
      </c>
      <c r="FC192">
        <f t="shared" si="3"/>
        <v>0</v>
      </c>
    </row>
    <row r="193" spans="1:159" ht="17.25" thickBot="1" x14ac:dyDescent="0.3">
      <c r="A193" s="226">
        <v>46148</v>
      </c>
      <c r="B193" s="227" t="s">
        <v>221</v>
      </c>
      <c r="C193" s="227" t="s">
        <v>603</v>
      </c>
      <c r="D193" s="228">
        <v>100</v>
      </c>
      <c r="E193" s="228">
        <v>20</v>
      </c>
      <c r="F193" s="231">
        <v>4284.7</v>
      </c>
      <c r="G193" s="231">
        <v>4218.6000000000004</v>
      </c>
      <c r="H193" s="228">
        <v>66.099999999999994</v>
      </c>
      <c r="I193" s="229">
        <v>1.5699999999999999E-2</v>
      </c>
      <c r="J193" s="231">
        <v>4281.3</v>
      </c>
      <c r="K193" s="231">
        <v>4219.3999999999996</v>
      </c>
      <c r="L193" s="228">
        <v>61.9</v>
      </c>
      <c r="M193" s="229">
        <v>1.47E-2</v>
      </c>
      <c r="N193" s="231">
        <v>4284.7</v>
      </c>
      <c r="O193" s="231">
        <v>4218.6000000000004</v>
      </c>
      <c r="P193" s="228">
        <v>66.099999999999994</v>
      </c>
      <c r="Q193" s="229">
        <v>1.5699999999999999E-2</v>
      </c>
      <c r="R193" s="231">
        <v>4207.8</v>
      </c>
      <c r="S193" s="231">
        <v>4125.5</v>
      </c>
      <c r="T193" s="228">
        <v>82.3</v>
      </c>
      <c r="U193" s="229">
        <v>1.9900000000000001E-2</v>
      </c>
      <c r="V193" s="231">
        <v>4211.3</v>
      </c>
      <c r="W193" s="231">
        <v>4115</v>
      </c>
      <c r="X193" s="228">
        <v>96.3</v>
      </c>
      <c r="Y193" s="229">
        <v>2.3400000000000001E-2</v>
      </c>
      <c r="Z193" s="228">
        <v>3.4</v>
      </c>
      <c r="AA193" s="228">
        <v>-0.8</v>
      </c>
      <c r="AB193" s="228">
        <v>4.2</v>
      </c>
      <c r="AC193" s="229">
        <v>8.0000000000000004E-4</v>
      </c>
      <c r="AD193" s="228">
        <v>3.4</v>
      </c>
      <c r="AE193" s="228">
        <v>-0.8</v>
      </c>
      <c r="AF193" s="228">
        <v>4.2</v>
      </c>
      <c r="AG193" s="229">
        <v>8.0000000000000004E-4</v>
      </c>
      <c r="AH193" s="228">
        <v>-73.5</v>
      </c>
      <c r="AI193" s="228">
        <v>-93.9</v>
      </c>
      <c r="AJ193" s="228">
        <v>20.399999999999999</v>
      </c>
      <c r="AK193" s="229">
        <v>-1.72E-2</v>
      </c>
      <c r="AL193" s="228">
        <v>-70</v>
      </c>
      <c r="AM193" s="228">
        <v>-104.4</v>
      </c>
      <c r="AN193" s="228">
        <v>34.4</v>
      </c>
      <c r="AO193" s="229">
        <v>-1.6400000000000001E-2</v>
      </c>
      <c r="AP193" s="231">
        <v>4287.88</v>
      </c>
      <c r="AQ193" s="231">
        <v>4204.53</v>
      </c>
      <c r="AR193" s="228">
        <v>0</v>
      </c>
      <c r="AS193" s="228">
        <v>199</v>
      </c>
      <c r="AT193" s="228">
        <v>129</v>
      </c>
      <c r="AU193" s="228">
        <v>70</v>
      </c>
      <c r="AV193" s="229">
        <v>0.54039999999999999</v>
      </c>
      <c r="AW193" s="228">
        <v>172</v>
      </c>
      <c r="AX193" s="228">
        <v>115</v>
      </c>
      <c r="AY193" s="228">
        <v>57</v>
      </c>
      <c r="AZ193" s="229">
        <v>0.49759999999999999</v>
      </c>
      <c r="BA193" s="228">
        <v>25</v>
      </c>
      <c r="BB193" s="228">
        <v>13</v>
      </c>
      <c r="BC193" s="228">
        <v>12</v>
      </c>
      <c r="BD193" s="229">
        <v>0.88819999999999999</v>
      </c>
      <c r="BE193" s="228">
        <v>1</v>
      </c>
      <c r="BF193" s="228">
        <v>0</v>
      </c>
      <c r="BG193" s="228">
        <v>0</v>
      </c>
      <c r="BH193" s="229">
        <v>1.2222</v>
      </c>
      <c r="BI193" s="228">
        <v>857</v>
      </c>
      <c r="BJ193" s="228">
        <v>385</v>
      </c>
      <c r="BK193" s="228">
        <v>472</v>
      </c>
      <c r="BL193" s="229">
        <v>1.2238</v>
      </c>
      <c r="BM193" s="228">
        <v>255</v>
      </c>
      <c r="BN193" s="228">
        <v>131</v>
      </c>
      <c r="BO193" s="228">
        <v>124</v>
      </c>
      <c r="BP193" s="229">
        <v>0.94830000000000003</v>
      </c>
      <c r="BQ193" s="230">
        <v>1310</v>
      </c>
      <c r="BR193" s="228">
        <v>645</v>
      </c>
      <c r="BS193" s="228">
        <v>665</v>
      </c>
      <c r="BT193" s="229">
        <v>1.0313000000000001</v>
      </c>
      <c r="BU193" s="230">
        <v>301850</v>
      </c>
      <c r="BV193" s="230">
        <v>194291</v>
      </c>
      <c r="BW193" s="230">
        <v>107559</v>
      </c>
      <c r="BX193" s="229">
        <v>0.55359999999999998</v>
      </c>
      <c r="BY193" s="230">
        <v>1003</v>
      </c>
      <c r="BZ193" s="230">
        <v>1027</v>
      </c>
      <c r="CA193" s="228">
        <v>-23</v>
      </c>
      <c r="CB193" s="229">
        <v>-2.2700000000000001E-2</v>
      </c>
      <c r="CC193" s="228">
        <v>916</v>
      </c>
      <c r="CD193" s="228">
        <v>941</v>
      </c>
      <c r="CE193" s="228">
        <v>-25</v>
      </c>
      <c r="CF193" s="229">
        <v>-2.6599999999999999E-2</v>
      </c>
      <c r="CG193" s="228">
        <v>85</v>
      </c>
      <c r="CH193" s="228">
        <v>84</v>
      </c>
      <c r="CI193" s="228">
        <v>1</v>
      </c>
      <c r="CJ193" s="229">
        <v>1.7399999999999999E-2</v>
      </c>
      <c r="CK193" s="228">
        <v>3</v>
      </c>
      <c r="CL193" s="228">
        <v>2</v>
      </c>
      <c r="CM193" s="228">
        <v>0</v>
      </c>
      <c r="CN193" s="229">
        <v>0.11360000000000001</v>
      </c>
      <c r="CO193" s="228">
        <v>589</v>
      </c>
      <c r="CP193" s="228">
        <v>586</v>
      </c>
      <c r="CQ193" s="228">
        <v>3</v>
      </c>
      <c r="CR193" s="229">
        <v>4.7999999999999996E-3</v>
      </c>
      <c r="CS193" s="228">
        <v>265</v>
      </c>
      <c r="CT193" s="228">
        <v>251</v>
      </c>
      <c r="CU193" s="228">
        <v>14</v>
      </c>
      <c r="CV193" s="229">
        <v>5.7200000000000001E-2</v>
      </c>
      <c r="CW193" s="230">
        <v>1857</v>
      </c>
      <c r="CX193" s="230">
        <v>1863</v>
      </c>
      <c r="CY193" s="228">
        <v>-6</v>
      </c>
      <c r="CZ193" s="229">
        <v>-3.3E-3</v>
      </c>
      <c r="DA193" s="228">
        <v>34.659999999999997</v>
      </c>
      <c r="DB193" s="228">
        <v>36.21</v>
      </c>
      <c r="DC193" s="228">
        <v>-1.55</v>
      </c>
      <c r="DD193" s="228">
        <v>-1.55</v>
      </c>
      <c r="DE193" s="228">
        <v>39.51</v>
      </c>
      <c r="DF193" s="228">
        <v>39.549999999999997</v>
      </c>
      <c r="DG193" s="228">
        <v>-4.8499999999999996</v>
      </c>
      <c r="DH193" s="228">
        <v>-0.04</v>
      </c>
      <c r="DI193" s="228">
        <v>34.82</v>
      </c>
      <c r="DJ193" s="228">
        <v>36.39</v>
      </c>
      <c r="DK193" s="228">
        <v>-1.57</v>
      </c>
      <c r="DL193" s="228">
        <v>-1.57</v>
      </c>
      <c r="DM193" s="228">
        <v>34.090000000000003</v>
      </c>
      <c r="DN193" s="228">
        <v>35.700000000000003</v>
      </c>
      <c r="DO193" s="228">
        <v>-1.61</v>
      </c>
      <c r="DP193" s="228">
        <v>-1.61</v>
      </c>
      <c r="DQ193" s="228">
        <v>0.45</v>
      </c>
      <c r="DR193" s="228">
        <v>0.43</v>
      </c>
      <c r="DS193" s="228">
        <v>0.02</v>
      </c>
      <c r="DT193" s="229">
        <v>4.65E-2</v>
      </c>
      <c r="DU193" s="231">
        <v>5000</v>
      </c>
      <c r="DV193" s="231">
        <v>4200</v>
      </c>
      <c r="DW193" s="228">
        <v>0.3</v>
      </c>
      <c r="DX193" s="228">
        <v>0.34</v>
      </c>
      <c r="DY193" s="228">
        <v>-0.04</v>
      </c>
      <c r="DZ193" s="229">
        <v>-0.1176</v>
      </c>
      <c r="EA193" s="229">
        <v>8.7400000000000005E-2</v>
      </c>
      <c r="EB193" s="230">
        <v>200600</v>
      </c>
      <c r="EC193" s="229">
        <v>-1.7899999999999999E-2</v>
      </c>
      <c r="ED193" s="229">
        <v>8.7400000000000005E-2</v>
      </c>
      <c r="EE193" s="228">
        <v>-83.35</v>
      </c>
      <c r="EF193" s="229">
        <v>-1.9400000000000001E-2</v>
      </c>
      <c r="EG193" s="230">
        <v>80584</v>
      </c>
      <c r="EH193" s="230">
        <v>60858</v>
      </c>
      <c r="EI193" s="229">
        <v>0.3241</v>
      </c>
      <c r="EJ193" s="229">
        <v>0.26700000000000002</v>
      </c>
      <c r="EK193" s="228">
        <v>914.41</v>
      </c>
      <c r="EL193" s="228">
        <v>249.65</v>
      </c>
      <c r="EM193" s="228">
        <v>198.44</v>
      </c>
      <c r="EN193" s="228">
        <v>30.79</v>
      </c>
      <c r="EO193" s="231">
        <v>1362.5</v>
      </c>
      <c r="EP193" s="228">
        <v>662.3</v>
      </c>
      <c r="EQ193" s="228">
        <v>700.21</v>
      </c>
      <c r="ER193" s="229">
        <v>1.0571999999999999</v>
      </c>
      <c r="ES193" s="228">
        <v>631.95000000000005</v>
      </c>
      <c r="ET193" s="228">
        <v>258.57</v>
      </c>
      <c r="EU193" s="231">
        <v>1001.83</v>
      </c>
      <c r="EV193" s="231">
        <v>5241946</v>
      </c>
      <c r="EW193" s="231">
        <v>1892.34</v>
      </c>
      <c r="EX193" s="231">
        <v>1879.29</v>
      </c>
      <c r="EY193" s="228">
        <v>13.05</v>
      </c>
      <c r="EZ193" s="229">
        <v>6.8999999999999999E-3</v>
      </c>
      <c r="FA193" s="229">
        <v>0.82689999999999997</v>
      </c>
      <c r="FB193" s="227" t="s">
        <v>691</v>
      </c>
      <c r="FC193">
        <f t="shared" si="3"/>
        <v>0</v>
      </c>
    </row>
    <row r="194" spans="1:159" ht="17.25" thickBot="1" x14ac:dyDescent="0.3">
      <c r="A194" s="226">
        <v>46148</v>
      </c>
      <c r="B194" s="227" t="s">
        <v>161</v>
      </c>
      <c r="C194" s="227" t="s">
        <v>293</v>
      </c>
      <c r="D194" s="228">
        <v>1450</v>
      </c>
      <c r="E194" s="228">
        <v>20</v>
      </c>
      <c r="F194" s="228">
        <v>445.05</v>
      </c>
      <c r="G194" s="228">
        <v>443.75</v>
      </c>
      <c r="H194" s="228">
        <v>1.3</v>
      </c>
      <c r="I194" s="229">
        <v>2.8999999999999998E-3</v>
      </c>
      <c r="J194" s="228">
        <v>443.25</v>
      </c>
      <c r="K194" s="228">
        <v>442.65</v>
      </c>
      <c r="L194" s="228">
        <v>0.6</v>
      </c>
      <c r="M194" s="229">
        <v>1.4E-3</v>
      </c>
      <c r="N194" s="228">
        <v>445.05</v>
      </c>
      <c r="O194" s="228">
        <v>443.75</v>
      </c>
      <c r="P194" s="228">
        <v>1.3</v>
      </c>
      <c r="Q194" s="229">
        <v>2.8999999999999998E-3</v>
      </c>
      <c r="R194" s="228">
        <v>446.9</v>
      </c>
      <c r="S194" s="228">
        <v>445.1</v>
      </c>
      <c r="T194" s="228">
        <v>1.8</v>
      </c>
      <c r="U194" s="229">
        <v>4.0000000000000001E-3</v>
      </c>
      <c r="V194" s="228">
        <v>448.4</v>
      </c>
      <c r="W194" s="228">
        <v>447.35</v>
      </c>
      <c r="X194" s="228">
        <v>1.05</v>
      </c>
      <c r="Y194" s="229">
        <v>2.3E-3</v>
      </c>
      <c r="Z194" s="228">
        <v>1.8</v>
      </c>
      <c r="AA194" s="228">
        <v>1.1000000000000001</v>
      </c>
      <c r="AB194" s="228">
        <v>0.7</v>
      </c>
      <c r="AC194" s="229">
        <v>4.1000000000000003E-3</v>
      </c>
      <c r="AD194" s="228">
        <v>1.8</v>
      </c>
      <c r="AE194" s="228">
        <v>1.1000000000000001</v>
      </c>
      <c r="AF194" s="228">
        <v>0.7</v>
      </c>
      <c r="AG194" s="229">
        <v>4.1000000000000003E-3</v>
      </c>
      <c r="AH194" s="228">
        <v>3.65</v>
      </c>
      <c r="AI194" s="228">
        <v>2.4500000000000002</v>
      </c>
      <c r="AJ194" s="228">
        <v>1.2</v>
      </c>
      <c r="AK194" s="229">
        <v>8.2000000000000007E-3</v>
      </c>
      <c r="AL194" s="228">
        <v>5.15</v>
      </c>
      <c r="AM194" s="228">
        <v>4.7</v>
      </c>
      <c r="AN194" s="228">
        <v>0.45</v>
      </c>
      <c r="AO194" s="229">
        <v>1.1599999999999999E-2</v>
      </c>
      <c r="AP194" s="228">
        <v>444.15</v>
      </c>
      <c r="AQ194" s="228">
        <v>445.61</v>
      </c>
      <c r="AR194" s="228">
        <v>0</v>
      </c>
      <c r="AS194" s="228">
        <v>231</v>
      </c>
      <c r="AT194" s="228">
        <v>533</v>
      </c>
      <c r="AU194" s="228">
        <v>-303</v>
      </c>
      <c r="AV194" s="229">
        <v>-0.56759999999999999</v>
      </c>
      <c r="AW194" s="228">
        <v>212</v>
      </c>
      <c r="AX194" s="228">
        <v>507</v>
      </c>
      <c r="AY194" s="228">
        <v>-295</v>
      </c>
      <c r="AZ194" s="229">
        <v>-0.58250000000000002</v>
      </c>
      <c r="BA194" s="228">
        <v>15</v>
      </c>
      <c r="BB194" s="228">
        <v>21</v>
      </c>
      <c r="BC194" s="228">
        <v>-6</v>
      </c>
      <c r="BD194" s="229">
        <v>-0.29520000000000002</v>
      </c>
      <c r="BE194" s="228">
        <v>4</v>
      </c>
      <c r="BF194" s="228">
        <v>5</v>
      </c>
      <c r="BG194" s="228">
        <v>-1</v>
      </c>
      <c r="BH194" s="229">
        <v>-0.2278</v>
      </c>
      <c r="BI194" s="228">
        <v>983</v>
      </c>
      <c r="BJ194" s="230">
        <v>1697</v>
      </c>
      <c r="BK194" s="228">
        <v>-714</v>
      </c>
      <c r="BL194" s="229">
        <v>-0.42099999999999999</v>
      </c>
      <c r="BM194" s="228">
        <v>354</v>
      </c>
      <c r="BN194" s="228">
        <v>689</v>
      </c>
      <c r="BO194" s="228">
        <v>-335</v>
      </c>
      <c r="BP194" s="229">
        <v>-0.4859</v>
      </c>
      <c r="BQ194" s="230">
        <v>1568</v>
      </c>
      <c r="BR194" s="230">
        <v>2920</v>
      </c>
      <c r="BS194" s="230">
        <v>-1352</v>
      </c>
      <c r="BT194" s="229">
        <v>-0.46310000000000001</v>
      </c>
      <c r="BU194" s="230">
        <v>4846591</v>
      </c>
      <c r="BV194" s="230">
        <v>7046316</v>
      </c>
      <c r="BW194" s="230">
        <v>-2199725</v>
      </c>
      <c r="BX194" s="229">
        <v>-0.31219999999999998</v>
      </c>
      <c r="BY194" s="230">
        <v>2388</v>
      </c>
      <c r="BZ194" s="230">
        <v>2366</v>
      </c>
      <c r="CA194" s="228">
        <v>22</v>
      </c>
      <c r="CB194" s="229">
        <v>9.1999999999999998E-3</v>
      </c>
      <c r="CC194" s="230">
        <v>2312</v>
      </c>
      <c r="CD194" s="230">
        <v>2298</v>
      </c>
      <c r="CE194" s="228">
        <v>14</v>
      </c>
      <c r="CF194" s="229">
        <v>6.0000000000000001E-3</v>
      </c>
      <c r="CG194" s="228">
        <v>61</v>
      </c>
      <c r="CH194" s="228">
        <v>56</v>
      </c>
      <c r="CI194" s="228">
        <v>5</v>
      </c>
      <c r="CJ194" s="229">
        <v>9.74E-2</v>
      </c>
      <c r="CK194" s="228">
        <v>15</v>
      </c>
      <c r="CL194" s="228">
        <v>12</v>
      </c>
      <c r="CM194" s="228">
        <v>3</v>
      </c>
      <c r="CN194" s="229">
        <v>0.22109999999999999</v>
      </c>
      <c r="CO194" s="230">
        <v>1196</v>
      </c>
      <c r="CP194" s="230">
        <v>1172</v>
      </c>
      <c r="CQ194" s="228">
        <v>24</v>
      </c>
      <c r="CR194" s="229">
        <v>2.0400000000000001E-2</v>
      </c>
      <c r="CS194" s="228">
        <v>720</v>
      </c>
      <c r="CT194" s="228">
        <v>744</v>
      </c>
      <c r="CU194" s="228">
        <v>-23</v>
      </c>
      <c r="CV194" s="229">
        <v>-3.15E-2</v>
      </c>
      <c r="CW194" s="230">
        <v>4304</v>
      </c>
      <c r="CX194" s="230">
        <v>4281</v>
      </c>
      <c r="CY194" s="228">
        <v>22</v>
      </c>
      <c r="CZ194" s="229">
        <v>5.1999999999999998E-3</v>
      </c>
      <c r="DA194" s="228">
        <v>31.7</v>
      </c>
      <c r="DB194" s="228">
        <v>31.86</v>
      </c>
      <c r="DC194" s="228">
        <v>-0.16</v>
      </c>
      <c r="DD194" s="228">
        <v>-0.16</v>
      </c>
      <c r="DE194" s="228">
        <v>31.64</v>
      </c>
      <c r="DF194" s="228">
        <v>31.72</v>
      </c>
      <c r="DG194" s="228">
        <v>0.06</v>
      </c>
      <c r="DH194" s="228">
        <v>-0.08</v>
      </c>
      <c r="DI194" s="228">
        <v>31.68</v>
      </c>
      <c r="DJ194" s="228">
        <v>31.84</v>
      </c>
      <c r="DK194" s="228">
        <v>-0.16</v>
      </c>
      <c r="DL194" s="228">
        <v>-0.16</v>
      </c>
      <c r="DM194" s="228">
        <v>31.75</v>
      </c>
      <c r="DN194" s="228">
        <v>31.92</v>
      </c>
      <c r="DO194" s="228">
        <v>-0.17</v>
      </c>
      <c r="DP194" s="228">
        <v>-0.17</v>
      </c>
      <c r="DQ194" s="228">
        <v>0.6</v>
      </c>
      <c r="DR194" s="228">
        <v>0.63</v>
      </c>
      <c r="DS194" s="228">
        <v>-0.03</v>
      </c>
      <c r="DT194" s="229">
        <v>-4.7600000000000003E-2</v>
      </c>
      <c r="DU194" s="228">
        <v>450</v>
      </c>
      <c r="DV194" s="228">
        <v>430</v>
      </c>
      <c r="DW194" s="228">
        <v>0.36</v>
      </c>
      <c r="DX194" s="228">
        <v>0.41</v>
      </c>
      <c r="DY194" s="228">
        <v>-0.05</v>
      </c>
      <c r="DZ194" s="229">
        <v>-0.122</v>
      </c>
      <c r="EA194" s="229">
        <v>3.1800000000000002E-2</v>
      </c>
      <c r="EB194" s="230">
        <v>1525400</v>
      </c>
      <c r="EC194" s="229">
        <v>4.1999999999999997E-3</v>
      </c>
      <c r="ED194" s="229">
        <v>3.1800000000000002E-2</v>
      </c>
      <c r="EE194" s="228">
        <v>1.46</v>
      </c>
      <c r="EF194" s="229">
        <v>3.3E-3</v>
      </c>
      <c r="EG194" s="230">
        <v>2277781</v>
      </c>
      <c r="EH194" s="230">
        <v>2682396</v>
      </c>
      <c r="EI194" s="229">
        <v>-0.15079999999999999</v>
      </c>
      <c r="EJ194" s="229">
        <v>0.47</v>
      </c>
      <c r="EK194" s="231">
        <v>1034.26</v>
      </c>
      <c r="EL194" s="228">
        <v>343.86</v>
      </c>
      <c r="EM194" s="228">
        <v>230.32</v>
      </c>
      <c r="EN194" s="228">
        <v>60.06</v>
      </c>
      <c r="EO194" s="231">
        <v>1608.43</v>
      </c>
      <c r="EP194" s="231">
        <v>2993.58</v>
      </c>
      <c r="EQ194" s="231">
        <v>-1385.15</v>
      </c>
      <c r="ER194" s="229">
        <v>-0.4627</v>
      </c>
      <c r="ES194" s="231">
        <v>1241</v>
      </c>
      <c r="ET194" s="228">
        <v>694.48</v>
      </c>
      <c r="EU194" s="231">
        <v>2388.12</v>
      </c>
      <c r="EV194" s="231">
        <v>169808198</v>
      </c>
      <c r="EW194" s="231">
        <v>4323.6099999999997</v>
      </c>
      <c r="EX194" s="231">
        <v>4292.04</v>
      </c>
      <c r="EY194" s="228">
        <v>31.57</v>
      </c>
      <c r="EZ194" s="229">
        <v>7.4000000000000003E-3</v>
      </c>
      <c r="FA194" s="229">
        <v>0.56950000000000001</v>
      </c>
      <c r="FB194" s="227" t="s">
        <v>555</v>
      </c>
      <c r="FC194">
        <f t="shared" si="3"/>
        <v>0</v>
      </c>
    </row>
    <row r="195" spans="1:159" ht="17.25" thickBot="1" x14ac:dyDescent="0.3">
      <c r="A195" s="226">
        <v>46148</v>
      </c>
      <c r="B195" s="227" t="s">
        <v>227</v>
      </c>
      <c r="C195" s="227" t="s">
        <v>294</v>
      </c>
      <c r="D195" s="228">
        <v>2750</v>
      </c>
      <c r="E195" s="228">
        <v>20</v>
      </c>
      <c r="F195" s="228">
        <v>216.73</v>
      </c>
      <c r="G195" s="228">
        <v>212.45</v>
      </c>
      <c r="H195" s="228">
        <v>4.28</v>
      </c>
      <c r="I195" s="229">
        <v>2.01E-2</v>
      </c>
      <c r="J195" s="228">
        <v>215.47</v>
      </c>
      <c r="K195" s="228">
        <v>211.32</v>
      </c>
      <c r="L195" s="228">
        <v>4.1500000000000004</v>
      </c>
      <c r="M195" s="229">
        <v>1.9599999999999999E-2</v>
      </c>
      <c r="N195" s="228">
        <v>216.73</v>
      </c>
      <c r="O195" s="228">
        <v>212.45</v>
      </c>
      <c r="P195" s="228">
        <v>4.28</v>
      </c>
      <c r="Q195" s="229">
        <v>2.01E-2</v>
      </c>
      <c r="R195" s="228">
        <v>215.32</v>
      </c>
      <c r="S195" s="228">
        <v>211.02</v>
      </c>
      <c r="T195" s="228">
        <v>4.3</v>
      </c>
      <c r="U195" s="229">
        <v>2.0400000000000001E-2</v>
      </c>
      <c r="V195" s="228">
        <v>216.6</v>
      </c>
      <c r="W195" s="228">
        <v>212.08</v>
      </c>
      <c r="X195" s="228">
        <v>4.5199999999999996</v>
      </c>
      <c r="Y195" s="229">
        <v>2.1299999999999999E-2</v>
      </c>
      <c r="Z195" s="228">
        <v>1.26</v>
      </c>
      <c r="AA195" s="228">
        <v>1.1299999999999999</v>
      </c>
      <c r="AB195" s="228">
        <v>0.13</v>
      </c>
      <c r="AC195" s="229">
        <v>5.7999999999999996E-3</v>
      </c>
      <c r="AD195" s="228">
        <v>1.26</v>
      </c>
      <c r="AE195" s="228">
        <v>1.1299999999999999</v>
      </c>
      <c r="AF195" s="228">
        <v>0.13</v>
      </c>
      <c r="AG195" s="229">
        <v>5.7999999999999996E-3</v>
      </c>
      <c r="AH195" s="228">
        <v>-0.15</v>
      </c>
      <c r="AI195" s="228">
        <v>-0.3</v>
      </c>
      <c r="AJ195" s="228">
        <v>0.15</v>
      </c>
      <c r="AK195" s="229">
        <v>-6.9999999999999999E-4</v>
      </c>
      <c r="AL195" s="228">
        <v>1.1299999999999999</v>
      </c>
      <c r="AM195" s="228">
        <v>0.76</v>
      </c>
      <c r="AN195" s="228">
        <v>0.37</v>
      </c>
      <c r="AO195" s="229">
        <v>5.1999999999999998E-3</v>
      </c>
      <c r="AP195" s="228">
        <v>216.09</v>
      </c>
      <c r="AQ195" s="228">
        <v>213.97</v>
      </c>
      <c r="AR195" s="228">
        <v>0</v>
      </c>
      <c r="AS195" s="228">
        <v>607</v>
      </c>
      <c r="AT195" s="228">
        <v>297</v>
      </c>
      <c r="AU195" s="228">
        <v>311</v>
      </c>
      <c r="AV195" s="229">
        <v>1.0482</v>
      </c>
      <c r="AW195" s="228">
        <v>531</v>
      </c>
      <c r="AX195" s="228">
        <v>257</v>
      </c>
      <c r="AY195" s="228">
        <v>274</v>
      </c>
      <c r="AZ195" s="229">
        <v>1.0650999999999999</v>
      </c>
      <c r="BA195" s="228">
        <v>68</v>
      </c>
      <c r="BB195" s="228">
        <v>36</v>
      </c>
      <c r="BC195" s="228">
        <v>32</v>
      </c>
      <c r="BD195" s="229">
        <v>0.90639999999999998</v>
      </c>
      <c r="BE195" s="228">
        <v>8</v>
      </c>
      <c r="BF195" s="228">
        <v>4</v>
      </c>
      <c r="BG195" s="228">
        <v>5</v>
      </c>
      <c r="BH195" s="229">
        <v>1.2459</v>
      </c>
      <c r="BI195" s="230">
        <v>1594</v>
      </c>
      <c r="BJ195" s="228">
        <v>985</v>
      </c>
      <c r="BK195" s="228">
        <v>609</v>
      </c>
      <c r="BL195" s="229">
        <v>0.61850000000000005</v>
      </c>
      <c r="BM195" s="230">
        <v>1103</v>
      </c>
      <c r="BN195" s="228">
        <v>680</v>
      </c>
      <c r="BO195" s="228">
        <v>423</v>
      </c>
      <c r="BP195" s="229">
        <v>0.62160000000000004</v>
      </c>
      <c r="BQ195" s="230">
        <v>3305</v>
      </c>
      <c r="BR195" s="230">
        <v>1962</v>
      </c>
      <c r="BS195" s="230">
        <v>1343</v>
      </c>
      <c r="BT195" s="229">
        <v>0.6845</v>
      </c>
      <c r="BU195" s="230">
        <v>25063055</v>
      </c>
      <c r="BV195" s="230">
        <v>21445079</v>
      </c>
      <c r="BW195" s="230">
        <v>3617976</v>
      </c>
      <c r="BX195" s="229">
        <v>0.16869999999999999</v>
      </c>
      <c r="BY195" s="230">
        <v>4037</v>
      </c>
      <c r="BZ195" s="230">
        <v>4026</v>
      </c>
      <c r="CA195" s="228">
        <v>11</v>
      </c>
      <c r="CB195" s="229">
        <v>2.8E-3</v>
      </c>
      <c r="CC195" s="230">
        <v>3721</v>
      </c>
      <c r="CD195" s="230">
        <v>3718</v>
      </c>
      <c r="CE195" s="228">
        <v>3</v>
      </c>
      <c r="CF195" s="229">
        <v>8.9999999999999998E-4</v>
      </c>
      <c r="CG195" s="228">
        <v>309</v>
      </c>
      <c r="CH195" s="228">
        <v>303</v>
      </c>
      <c r="CI195" s="228">
        <v>7</v>
      </c>
      <c r="CJ195" s="229">
        <v>2.1899999999999999E-2</v>
      </c>
      <c r="CK195" s="228">
        <v>7</v>
      </c>
      <c r="CL195" s="228">
        <v>6</v>
      </c>
      <c r="CM195" s="228">
        <v>1</v>
      </c>
      <c r="CN195" s="229">
        <v>0.19800000000000001</v>
      </c>
      <c r="CO195" s="230">
        <v>1748</v>
      </c>
      <c r="CP195" s="230">
        <v>1805</v>
      </c>
      <c r="CQ195" s="228">
        <v>-58</v>
      </c>
      <c r="CR195" s="229">
        <v>-3.2000000000000001E-2</v>
      </c>
      <c r="CS195" s="230">
        <v>1241</v>
      </c>
      <c r="CT195" s="230">
        <v>1167</v>
      </c>
      <c r="CU195" s="228">
        <v>75</v>
      </c>
      <c r="CV195" s="229">
        <v>6.3899999999999998E-2</v>
      </c>
      <c r="CW195" s="230">
        <v>7026</v>
      </c>
      <c r="CX195" s="230">
        <v>6998</v>
      </c>
      <c r="CY195" s="228">
        <v>28</v>
      </c>
      <c r="CZ195" s="229">
        <v>4.0000000000000001E-3</v>
      </c>
      <c r="DA195" s="228">
        <v>29.05</v>
      </c>
      <c r="DB195" s="228">
        <v>29.44</v>
      </c>
      <c r="DC195" s="228">
        <v>-0.39</v>
      </c>
      <c r="DD195" s="228">
        <v>-0.39</v>
      </c>
      <c r="DE195" s="228">
        <v>35.450000000000003</v>
      </c>
      <c r="DF195" s="228">
        <v>35.44</v>
      </c>
      <c r="DG195" s="228">
        <v>-6.4</v>
      </c>
      <c r="DH195" s="228">
        <v>0.01</v>
      </c>
      <c r="DI195" s="228">
        <v>28.28</v>
      </c>
      <c r="DJ195" s="228">
        <v>28.76</v>
      </c>
      <c r="DK195" s="228">
        <v>-0.48</v>
      </c>
      <c r="DL195" s="228">
        <v>-0.48</v>
      </c>
      <c r="DM195" s="228">
        <v>30.17</v>
      </c>
      <c r="DN195" s="228">
        <v>30.42</v>
      </c>
      <c r="DO195" s="228">
        <v>-0.25</v>
      </c>
      <c r="DP195" s="228">
        <v>-0.25</v>
      </c>
      <c r="DQ195" s="228">
        <v>0.71</v>
      </c>
      <c r="DR195" s="228">
        <v>0.65</v>
      </c>
      <c r="DS195" s="228">
        <v>0.06</v>
      </c>
      <c r="DT195" s="229">
        <v>9.2299999999999993E-2</v>
      </c>
      <c r="DU195" s="228">
        <v>210</v>
      </c>
      <c r="DV195" s="228">
        <v>210</v>
      </c>
      <c r="DW195" s="228">
        <v>0.69</v>
      </c>
      <c r="DX195" s="228">
        <v>0.69</v>
      </c>
      <c r="DY195" s="228">
        <v>0</v>
      </c>
      <c r="DZ195" s="229">
        <v>0</v>
      </c>
      <c r="EA195" s="229">
        <v>7.8399999999999997E-2</v>
      </c>
      <c r="EB195" s="230">
        <v>14242250</v>
      </c>
      <c r="EC195" s="229">
        <v>-6.4999999999999997E-3</v>
      </c>
      <c r="ED195" s="229">
        <v>7.8399999999999997E-2</v>
      </c>
      <c r="EE195" s="228">
        <v>-2.12</v>
      </c>
      <c r="EF195" s="229">
        <v>-9.7999999999999997E-3</v>
      </c>
      <c r="EG195" s="230">
        <v>12977836</v>
      </c>
      <c r="EH195" s="230">
        <v>7343801</v>
      </c>
      <c r="EI195" s="229">
        <v>0.76719999999999999</v>
      </c>
      <c r="EJ195" s="229">
        <v>0.51780000000000004</v>
      </c>
      <c r="EK195" s="231">
        <v>1658.63</v>
      </c>
      <c r="EL195" s="231">
        <v>1071.3499999999999</v>
      </c>
      <c r="EM195" s="228">
        <v>604.97</v>
      </c>
      <c r="EN195" s="228">
        <v>85.57</v>
      </c>
      <c r="EO195" s="231">
        <v>3334.94</v>
      </c>
      <c r="EP195" s="231">
        <v>1960.2</v>
      </c>
      <c r="EQ195" s="231">
        <v>1374.74</v>
      </c>
      <c r="ER195" s="229">
        <v>0.70130000000000003</v>
      </c>
      <c r="ES195" s="231">
        <v>1760.08</v>
      </c>
      <c r="ET195" s="231">
        <v>1171.77</v>
      </c>
      <c r="EU195" s="231">
        <v>4035.4</v>
      </c>
      <c r="EV195" s="231">
        <v>1049350971</v>
      </c>
      <c r="EW195" s="231">
        <v>6967.25</v>
      </c>
      <c r="EX195" s="231">
        <v>6860.14</v>
      </c>
      <c r="EY195" s="228">
        <v>107.11</v>
      </c>
      <c r="EZ195" s="229">
        <v>1.5599999999999999E-2</v>
      </c>
      <c r="FA195" s="229">
        <v>0.309</v>
      </c>
      <c r="FB195" s="227" t="s">
        <v>555</v>
      </c>
      <c r="FC195">
        <f t="shared" ref="FC195:FC258" si="4">BY262-CC262</f>
        <v>0</v>
      </c>
    </row>
    <row r="196" spans="1:159" ht="17.25" thickBot="1" x14ac:dyDescent="0.3">
      <c r="A196" s="226">
        <v>46148</v>
      </c>
      <c r="B196" s="227" t="s">
        <v>221</v>
      </c>
      <c r="C196" s="227" t="s">
        <v>295</v>
      </c>
      <c r="D196" s="228">
        <v>175</v>
      </c>
      <c r="E196" s="228">
        <v>20</v>
      </c>
      <c r="F196" s="231">
        <v>2409.5</v>
      </c>
      <c r="G196" s="231">
        <v>2418.1999999999998</v>
      </c>
      <c r="H196" s="228">
        <v>-8.6999999999999993</v>
      </c>
      <c r="I196" s="229">
        <v>-3.5999999999999999E-3</v>
      </c>
      <c r="J196" s="231">
        <v>2435.4</v>
      </c>
      <c r="K196" s="231">
        <v>2427.3000000000002</v>
      </c>
      <c r="L196" s="228">
        <v>8.1</v>
      </c>
      <c r="M196" s="229">
        <v>3.3E-3</v>
      </c>
      <c r="N196" s="231">
        <v>2409.5</v>
      </c>
      <c r="O196" s="231">
        <v>2418.1999999999998</v>
      </c>
      <c r="P196" s="228">
        <v>-8.6999999999999993</v>
      </c>
      <c r="Q196" s="229">
        <v>-3.5999999999999999E-3</v>
      </c>
      <c r="R196" s="231">
        <v>2407.5</v>
      </c>
      <c r="S196" s="231">
        <v>2406</v>
      </c>
      <c r="T196" s="228">
        <v>1.5</v>
      </c>
      <c r="U196" s="229">
        <v>5.9999999999999995E-4</v>
      </c>
      <c r="V196" s="231">
        <v>2402.6</v>
      </c>
      <c r="W196" s="231">
        <v>2404.8000000000002</v>
      </c>
      <c r="X196" s="228">
        <v>-2.2000000000000002</v>
      </c>
      <c r="Y196" s="229">
        <v>-8.9999999999999998E-4</v>
      </c>
      <c r="Z196" s="228">
        <v>-25.9</v>
      </c>
      <c r="AA196" s="228">
        <v>-9.1</v>
      </c>
      <c r="AB196" s="228">
        <v>-16.8</v>
      </c>
      <c r="AC196" s="229">
        <v>-1.06E-2</v>
      </c>
      <c r="AD196" s="228">
        <v>-25.9</v>
      </c>
      <c r="AE196" s="228">
        <v>-9.1</v>
      </c>
      <c r="AF196" s="228">
        <v>-16.8</v>
      </c>
      <c r="AG196" s="229">
        <v>-1.06E-2</v>
      </c>
      <c r="AH196" s="228">
        <v>-27.9</v>
      </c>
      <c r="AI196" s="228">
        <v>-21.3</v>
      </c>
      <c r="AJ196" s="228">
        <v>-6.6</v>
      </c>
      <c r="AK196" s="229">
        <v>-1.15E-2</v>
      </c>
      <c r="AL196" s="228">
        <v>-32.799999999999997</v>
      </c>
      <c r="AM196" s="228">
        <v>-22.5</v>
      </c>
      <c r="AN196" s="228">
        <v>-10.3</v>
      </c>
      <c r="AO196" s="229">
        <v>-1.35E-2</v>
      </c>
      <c r="AP196" s="231">
        <v>2409.48</v>
      </c>
      <c r="AQ196" s="231">
        <v>2407.5700000000002</v>
      </c>
      <c r="AR196" s="228">
        <v>0</v>
      </c>
      <c r="AS196" s="230">
        <v>1170</v>
      </c>
      <c r="AT196" s="228">
        <v>520</v>
      </c>
      <c r="AU196" s="228">
        <v>650</v>
      </c>
      <c r="AV196" s="229">
        <v>1.25</v>
      </c>
      <c r="AW196" s="228">
        <v>932</v>
      </c>
      <c r="AX196" s="228">
        <v>427</v>
      </c>
      <c r="AY196" s="228">
        <v>505</v>
      </c>
      <c r="AZ196" s="229">
        <v>1.1833</v>
      </c>
      <c r="BA196" s="228">
        <v>210</v>
      </c>
      <c r="BB196" s="228">
        <v>83</v>
      </c>
      <c r="BC196" s="228">
        <v>127</v>
      </c>
      <c r="BD196" s="229">
        <v>1.5422</v>
      </c>
      <c r="BE196" s="228">
        <v>28</v>
      </c>
      <c r="BF196" s="228">
        <v>10</v>
      </c>
      <c r="BG196" s="228">
        <v>17</v>
      </c>
      <c r="BH196" s="229">
        <v>1.6735</v>
      </c>
      <c r="BI196" s="230">
        <v>3764</v>
      </c>
      <c r="BJ196" s="230">
        <v>1902</v>
      </c>
      <c r="BK196" s="230">
        <v>1861</v>
      </c>
      <c r="BL196" s="229">
        <v>0.97850000000000004</v>
      </c>
      <c r="BM196" s="230">
        <v>1868</v>
      </c>
      <c r="BN196" s="228">
        <v>811</v>
      </c>
      <c r="BO196" s="230">
        <v>1057</v>
      </c>
      <c r="BP196" s="229">
        <v>1.3025</v>
      </c>
      <c r="BQ196" s="230">
        <v>6802</v>
      </c>
      <c r="BR196" s="230">
        <v>3234</v>
      </c>
      <c r="BS196" s="230">
        <v>3568</v>
      </c>
      <c r="BT196" s="229">
        <v>1.1033999999999999</v>
      </c>
      <c r="BU196" s="230">
        <v>3218152</v>
      </c>
      <c r="BV196" s="230">
        <v>3471696</v>
      </c>
      <c r="BW196" s="230">
        <v>-253544</v>
      </c>
      <c r="BX196" s="229">
        <v>-7.2999999999999995E-2</v>
      </c>
      <c r="BY196" s="230">
        <v>9353</v>
      </c>
      <c r="BZ196" s="230">
        <v>9040</v>
      </c>
      <c r="CA196" s="228">
        <v>313</v>
      </c>
      <c r="CB196" s="229">
        <v>3.4599999999999999E-2</v>
      </c>
      <c r="CC196" s="230">
        <v>8586</v>
      </c>
      <c r="CD196" s="230">
        <v>8374</v>
      </c>
      <c r="CE196" s="228">
        <v>212</v>
      </c>
      <c r="CF196" s="229">
        <v>2.53E-2</v>
      </c>
      <c r="CG196" s="228">
        <v>694</v>
      </c>
      <c r="CH196" s="228">
        <v>613</v>
      </c>
      <c r="CI196" s="228">
        <v>81</v>
      </c>
      <c r="CJ196" s="229">
        <v>0.1323</v>
      </c>
      <c r="CK196" s="228">
        <v>73</v>
      </c>
      <c r="CL196" s="228">
        <v>53</v>
      </c>
      <c r="CM196" s="228">
        <v>20</v>
      </c>
      <c r="CN196" s="229">
        <v>0.376</v>
      </c>
      <c r="CO196" s="230">
        <v>3209</v>
      </c>
      <c r="CP196" s="230">
        <v>2874</v>
      </c>
      <c r="CQ196" s="228">
        <v>336</v>
      </c>
      <c r="CR196" s="229">
        <v>0.1168</v>
      </c>
      <c r="CS196" s="230">
        <v>2195</v>
      </c>
      <c r="CT196" s="230">
        <v>2045</v>
      </c>
      <c r="CU196" s="228">
        <v>150</v>
      </c>
      <c r="CV196" s="229">
        <v>7.3300000000000004E-2</v>
      </c>
      <c r="CW196" s="230">
        <v>14757</v>
      </c>
      <c r="CX196" s="230">
        <v>13959</v>
      </c>
      <c r="CY196" s="228">
        <v>798</v>
      </c>
      <c r="CZ196" s="229">
        <v>5.7200000000000001E-2</v>
      </c>
      <c r="DA196" s="228">
        <v>26.8</v>
      </c>
      <c r="DB196" s="228">
        <v>26.84</v>
      </c>
      <c r="DC196" s="228">
        <v>-0.04</v>
      </c>
      <c r="DD196" s="228">
        <v>-0.04</v>
      </c>
      <c r="DE196" s="228">
        <v>27.95</v>
      </c>
      <c r="DF196" s="228">
        <v>28.02</v>
      </c>
      <c r="DG196" s="228">
        <v>-1.1499999999999999</v>
      </c>
      <c r="DH196" s="228">
        <v>-7.0000000000000007E-2</v>
      </c>
      <c r="DI196" s="228">
        <v>27.27</v>
      </c>
      <c r="DJ196" s="228">
        <v>26.92</v>
      </c>
      <c r="DK196" s="228">
        <v>0.35</v>
      </c>
      <c r="DL196" s="228">
        <v>0.35</v>
      </c>
      <c r="DM196" s="228">
        <v>25.85</v>
      </c>
      <c r="DN196" s="228">
        <v>26.65</v>
      </c>
      <c r="DO196" s="228">
        <v>-0.8</v>
      </c>
      <c r="DP196" s="228">
        <v>-0.8</v>
      </c>
      <c r="DQ196" s="228">
        <v>0.68</v>
      </c>
      <c r="DR196" s="228">
        <v>0.71</v>
      </c>
      <c r="DS196" s="228">
        <v>-0.03</v>
      </c>
      <c r="DT196" s="229">
        <v>-4.2299999999999997E-2</v>
      </c>
      <c r="DU196" s="231">
        <v>2600</v>
      </c>
      <c r="DV196" s="231">
        <v>2400</v>
      </c>
      <c r="DW196" s="228">
        <v>0.5</v>
      </c>
      <c r="DX196" s="228">
        <v>0.43</v>
      </c>
      <c r="DY196" s="228">
        <v>7.0000000000000007E-2</v>
      </c>
      <c r="DZ196" s="229">
        <v>0.1628</v>
      </c>
      <c r="EA196" s="229">
        <v>8.2000000000000003E-2</v>
      </c>
      <c r="EB196" s="230">
        <v>2763400</v>
      </c>
      <c r="EC196" s="229">
        <v>-8.0000000000000004E-4</v>
      </c>
      <c r="ED196" s="229">
        <v>8.2000000000000003E-2</v>
      </c>
      <c r="EE196" s="228">
        <v>-1.91</v>
      </c>
      <c r="EF196" s="229">
        <v>-8.0000000000000004E-4</v>
      </c>
      <c r="EG196" s="230">
        <v>1660290</v>
      </c>
      <c r="EH196" s="230">
        <v>1360972</v>
      </c>
      <c r="EI196" s="229">
        <v>0.21990000000000001</v>
      </c>
      <c r="EJ196" s="229">
        <v>0.51590000000000003</v>
      </c>
      <c r="EK196" s="231">
        <v>3970.28</v>
      </c>
      <c r="EL196" s="231">
        <v>1867.3</v>
      </c>
      <c r="EM196" s="231">
        <v>1177.1199999999999</v>
      </c>
      <c r="EN196" s="228">
        <v>154.51</v>
      </c>
      <c r="EO196" s="231">
        <v>7014.71</v>
      </c>
      <c r="EP196" s="231">
        <v>3353.62</v>
      </c>
      <c r="EQ196" s="231">
        <v>3661.09</v>
      </c>
      <c r="ER196" s="229">
        <v>1.0916999999999999</v>
      </c>
      <c r="ES196" s="231">
        <v>3414.04</v>
      </c>
      <c r="ET196" s="231">
        <v>2272.0700000000002</v>
      </c>
      <c r="EU196" s="231">
        <v>9352.01</v>
      </c>
      <c r="EV196" s="231">
        <v>153229333</v>
      </c>
      <c r="EW196" s="231">
        <v>15038.12</v>
      </c>
      <c r="EX196" s="231">
        <v>14267</v>
      </c>
      <c r="EY196" s="228">
        <v>771.12</v>
      </c>
      <c r="EZ196" s="229">
        <v>5.3999999999999999E-2</v>
      </c>
      <c r="FA196" s="229">
        <v>0.3997</v>
      </c>
      <c r="FB196" s="227" t="s">
        <v>566</v>
      </c>
      <c r="FC196">
        <f t="shared" si="4"/>
        <v>0</v>
      </c>
    </row>
    <row r="197" spans="1:159" ht="17.25" thickBot="1" x14ac:dyDescent="0.3">
      <c r="A197" s="226">
        <v>46148</v>
      </c>
      <c r="B197" s="227" t="s">
        <v>221</v>
      </c>
      <c r="C197" s="227" t="s">
        <v>296</v>
      </c>
      <c r="D197" s="228">
        <v>600</v>
      </c>
      <c r="E197" s="228">
        <v>20</v>
      </c>
      <c r="F197" s="231">
        <v>1466</v>
      </c>
      <c r="G197" s="231">
        <v>1453.8</v>
      </c>
      <c r="H197" s="228">
        <v>12.2</v>
      </c>
      <c r="I197" s="229">
        <v>8.3999999999999995E-3</v>
      </c>
      <c r="J197" s="231">
        <v>1466.7</v>
      </c>
      <c r="K197" s="231">
        <v>1452.2</v>
      </c>
      <c r="L197" s="228">
        <v>14.5</v>
      </c>
      <c r="M197" s="229">
        <v>0.01</v>
      </c>
      <c r="N197" s="231">
        <v>1466</v>
      </c>
      <c r="O197" s="231">
        <v>1453.8</v>
      </c>
      <c r="P197" s="228">
        <v>12.2</v>
      </c>
      <c r="Q197" s="229">
        <v>8.3999999999999995E-3</v>
      </c>
      <c r="R197" s="231">
        <v>1466.5</v>
      </c>
      <c r="S197" s="231">
        <v>1454.4</v>
      </c>
      <c r="T197" s="228">
        <v>12.1</v>
      </c>
      <c r="U197" s="229">
        <v>8.3000000000000001E-3</v>
      </c>
      <c r="V197" s="231">
        <v>1471</v>
      </c>
      <c r="W197" s="231">
        <v>1455.9</v>
      </c>
      <c r="X197" s="228">
        <v>15.1</v>
      </c>
      <c r="Y197" s="229">
        <v>1.04E-2</v>
      </c>
      <c r="Z197" s="228">
        <v>-0.7</v>
      </c>
      <c r="AA197" s="228">
        <v>1.6</v>
      </c>
      <c r="AB197" s="228">
        <v>-2.2999999999999998</v>
      </c>
      <c r="AC197" s="229">
        <v>-5.0000000000000001E-4</v>
      </c>
      <c r="AD197" s="228">
        <v>-0.7</v>
      </c>
      <c r="AE197" s="228">
        <v>1.6</v>
      </c>
      <c r="AF197" s="228">
        <v>-2.2999999999999998</v>
      </c>
      <c r="AG197" s="229">
        <v>-5.0000000000000001E-4</v>
      </c>
      <c r="AH197" s="228">
        <v>-0.2</v>
      </c>
      <c r="AI197" s="228">
        <v>2.2000000000000002</v>
      </c>
      <c r="AJ197" s="228">
        <v>-2.4</v>
      </c>
      <c r="AK197" s="229">
        <v>-1E-4</v>
      </c>
      <c r="AL197" s="228">
        <v>4.3</v>
      </c>
      <c r="AM197" s="228">
        <v>3.7</v>
      </c>
      <c r="AN197" s="228">
        <v>0.6</v>
      </c>
      <c r="AO197" s="229">
        <v>2.8999999999999998E-3</v>
      </c>
      <c r="AP197" s="231">
        <v>1466.94</v>
      </c>
      <c r="AQ197" s="231">
        <v>1465.98</v>
      </c>
      <c r="AR197" s="228">
        <v>0</v>
      </c>
      <c r="AS197" s="228">
        <v>184</v>
      </c>
      <c r="AT197" s="228">
        <v>182</v>
      </c>
      <c r="AU197" s="228">
        <v>3</v>
      </c>
      <c r="AV197" s="229">
        <v>1.4500000000000001E-2</v>
      </c>
      <c r="AW197" s="228">
        <v>172</v>
      </c>
      <c r="AX197" s="228">
        <v>168</v>
      </c>
      <c r="AY197" s="228">
        <v>4</v>
      </c>
      <c r="AZ197" s="229">
        <v>2.2499999999999999E-2</v>
      </c>
      <c r="BA197" s="228">
        <v>12</v>
      </c>
      <c r="BB197" s="228">
        <v>12</v>
      </c>
      <c r="BC197" s="228">
        <v>-1</v>
      </c>
      <c r="BD197" s="229">
        <v>-4.2599999999999999E-2</v>
      </c>
      <c r="BE197" s="228">
        <v>0</v>
      </c>
      <c r="BF197" s="228">
        <v>1</v>
      </c>
      <c r="BG197" s="228">
        <v>-1</v>
      </c>
      <c r="BH197" s="229">
        <v>-0.58330000000000004</v>
      </c>
      <c r="BI197" s="228">
        <v>778</v>
      </c>
      <c r="BJ197" s="228">
        <v>567</v>
      </c>
      <c r="BK197" s="228">
        <v>211</v>
      </c>
      <c r="BL197" s="229">
        <v>0.37130000000000002</v>
      </c>
      <c r="BM197" s="228">
        <v>378</v>
      </c>
      <c r="BN197" s="228">
        <v>330</v>
      </c>
      <c r="BO197" s="228">
        <v>48</v>
      </c>
      <c r="BP197" s="229">
        <v>0.14460000000000001</v>
      </c>
      <c r="BQ197" s="230">
        <v>1340</v>
      </c>
      <c r="BR197" s="230">
        <v>1079</v>
      </c>
      <c r="BS197" s="228">
        <v>261</v>
      </c>
      <c r="BT197" s="229">
        <v>0.24179999999999999</v>
      </c>
      <c r="BU197" s="230">
        <v>909242</v>
      </c>
      <c r="BV197" s="230">
        <v>726691</v>
      </c>
      <c r="BW197" s="230">
        <v>182551</v>
      </c>
      <c r="BX197" s="229">
        <v>0.25119999999999998</v>
      </c>
      <c r="BY197" s="230">
        <v>2880</v>
      </c>
      <c r="BZ197" s="230">
        <v>2859</v>
      </c>
      <c r="CA197" s="228">
        <v>21</v>
      </c>
      <c r="CB197" s="229">
        <v>7.1999999999999998E-3</v>
      </c>
      <c r="CC197" s="230">
        <v>2803</v>
      </c>
      <c r="CD197" s="230">
        <v>2786</v>
      </c>
      <c r="CE197" s="228">
        <v>17</v>
      </c>
      <c r="CF197" s="229">
        <v>6.0000000000000001E-3</v>
      </c>
      <c r="CG197" s="228">
        <v>74</v>
      </c>
      <c r="CH197" s="228">
        <v>70</v>
      </c>
      <c r="CI197" s="228">
        <v>3</v>
      </c>
      <c r="CJ197" s="229">
        <v>4.87E-2</v>
      </c>
      <c r="CK197" s="228">
        <v>3</v>
      </c>
      <c r="CL197" s="228">
        <v>3</v>
      </c>
      <c r="CM197" s="228">
        <v>0</v>
      </c>
      <c r="CN197" s="229">
        <v>0.16669999999999999</v>
      </c>
      <c r="CO197" s="228">
        <v>977</v>
      </c>
      <c r="CP197" s="228">
        <v>964</v>
      </c>
      <c r="CQ197" s="228">
        <v>13</v>
      </c>
      <c r="CR197" s="229">
        <v>1.2999999999999999E-2</v>
      </c>
      <c r="CS197" s="228">
        <v>660</v>
      </c>
      <c r="CT197" s="228">
        <v>679</v>
      </c>
      <c r="CU197" s="228">
        <v>-19</v>
      </c>
      <c r="CV197" s="229">
        <v>-2.7699999999999999E-2</v>
      </c>
      <c r="CW197" s="230">
        <v>4517</v>
      </c>
      <c r="CX197" s="230">
        <v>4503</v>
      </c>
      <c r="CY197" s="228">
        <v>14</v>
      </c>
      <c r="CZ197" s="229">
        <v>3.2000000000000002E-3</v>
      </c>
      <c r="DA197" s="228">
        <v>27.81</v>
      </c>
      <c r="DB197" s="228">
        <v>28.37</v>
      </c>
      <c r="DC197" s="228">
        <v>-0.56000000000000005</v>
      </c>
      <c r="DD197" s="228">
        <v>-0.56000000000000005</v>
      </c>
      <c r="DE197" s="228">
        <v>32.08</v>
      </c>
      <c r="DF197" s="228">
        <v>32.130000000000003</v>
      </c>
      <c r="DG197" s="228">
        <v>-4.2699999999999996</v>
      </c>
      <c r="DH197" s="228">
        <v>-0.05</v>
      </c>
      <c r="DI197" s="228">
        <v>27.6</v>
      </c>
      <c r="DJ197" s="228">
        <v>27.97</v>
      </c>
      <c r="DK197" s="228">
        <v>-0.37</v>
      </c>
      <c r="DL197" s="228">
        <v>-0.37</v>
      </c>
      <c r="DM197" s="228">
        <v>28.24</v>
      </c>
      <c r="DN197" s="228">
        <v>29.06</v>
      </c>
      <c r="DO197" s="228">
        <v>-0.82</v>
      </c>
      <c r="DP197" s="228">
        <v>-0.82</v>
      </c>
      <c r="DQ197" s="228">
        <v>0.68</v>
      </c>
      <c r="DR197" s="228">
        <v>0.7</v>
      </c>
      <c r="DS197" s="228">
        <v>-0.02</v>
      </c>
      <c r="DT197" s="229">
        <v>-2.86E-2</v>
      </c>
      <c r="DU197" s="231">
        <v>1500</v>
      </c>
      <c r="DV197" s="231">
        <v>1500</v>
      </c>
      <c r="DW197" s="228">
        <v>0.49</v>
      </c>
      <c r="DX197" s="228">
        <v>0.57999999999999996</v>
      </c>
      <c r="DY197" s="228">
        <v>-0.09</v>
      </c>
      <c r="DZ197" s="229">
        <v>-0.1552</v>
      </c>
      <c r="EA197" s="229">
        <v>2.6700000000000002E-2</v>
      </c>
      <c r="EB197" s="230">
        <v>498600</v>
      </c>
      <c r="EC197" s="229">
        <v>2.9999999999999997E-4</v>
      </c>
      <c r="ED197" s="229">
        <v>2.6700000000000002E-2</v>
      </c>
      <c r="EE197" s="228">
        <v>-0.96</v>
      </c>
      <c r="EF197" s="229">
        <v>-6.9999999999999999E-4</v>
      </c>
      <c r="EG197" s="230">
        <v>402563</v>
      </c>
      <c r="EH197" s="230">
        <v>252380</v>
      </c>
      <c r="EI197" s="229">
        <v>0.59509999999999996</v>
      </c>
      <c r="EJ197" s="229">
        <v>0.44269999999999998</v>
      </c>
      <c r="EK197" s="228">
        <v>816.23</v>
      </c>
      <c r="EL197" s="228">
        <v>370.12</v>
      </c>
      <c r="EM197" s="228">
        <v>184.39</v>
      </c>
      <c r="EN197" s="228">
        <v>50.35</v>
      </c>
      <c r="EO197" s="231">
        <v>1370.74</v>
      </c>
      <c r="EP197" s="231">
        <v>1101.28</v>
      </c>
      <c r="EQ197" s="228">
        <v>269.45999999999998</v>
      </c>
      <c r="ER197" s="229">
        <v>0.2447</v>
      </c>
      <c r="ES197" s="231">
        <v>1012.85</v>
      </c>
      <c r="ET197" s="228">
        <v>629.17999999999995</v>
      </c>
      <c r="EU197" s="231">
        <v>2879.85</v>
      </c>
      <c r="EV197" s="231">
        <v>95553300</v>
      </c>
      <c r="EW197" s="231">
        <v>4521.88</v>
      </c>
      <c r="EX197" s="231">
        <v>4480.9399999999996</v>
      </c>
      <c r="EY197" s="228">
        <v>40.94</v>
      </c>
      <c r="EZ197" s="229">
        <v>9.1000000000000004E-3</v>
      </c>
      <c r="FA197" s="229">
        <v>0.32250000000000001</v>
      </c>
      <c r="FB197" s="227" t="s">
        <v>555</v>
      </c>
      <c r="FC197">
        <f t="shared" si="4"/>
        <v>0</v>
      </c>
    </row>
    <row r="198" spans="1:159" ht="17.25" thickBot="1" x14ac:dyDescent="0.3">
      <c r="A198" s="226">
        <v>46148</v>
      </c>
      <c r="B198" s="227" t="s">
        <v>184</v>
      </c>
      <c r="C198" s="227" t="s">
        <v>594</v>
      </c>
      <c r="D198" s="228">
        <v>200</v>
      </c>
      <c r="E198" s="228">
        <v>20</v>
      </c>
      <c r="F198" s="231">
        <v>2937.7</v>
      </c>
      <c r="G198" s="231">
        <v>2949.9</v>
      </c>
      <c r="H198" s="228">
        <v>-12.2</v>
      </c>
      <c r="I198" s="229">
        <v>-4.1000000000000003E-3</v>
      </c>
      <c r="J198" s="231">
        <v>2917</v>
      </c>
      <c r="K198" s="231">
        <v>2932.4</v>
      </c>
      <c r="L198" s="228">
        <v>-15.4</v>
      </c>
      <c r="M198" s="229">
        <v>-5.3E-3</v>
      </c>
      <c r="N198" s="231">
        <v>2937.7</v>
      </c>
      <c r="O198" s="231">
        <v>2949.9</v>
      </c>
      <c r="P198" s="228">
        <v>-12.2</v>
      </c>
      <c r="Q198" s="229">
        <v>-4.1000000000000003E-3</v>
      </c>
      <c r="R198" s="231">
        <v>2952.6</v>
      </c>
      <c r="S198" s="231">
        <v>2971.5</v>
      </c>
      <c r="T198" s="228">
        <v>-18.899999999999999</v>
      </c>
      <c r="U198" s="229">
        <v>-6.4000000000000003E-3</v>
      </c>
      <c r="V198" s="231">
        <v>2951.6</v>
      </c>
      <c r="W198" s="231">
        <v>2951.6</v>
      </c>
      <c r="X198" s="228">
        <v>0</v>
      </c>
      <c r="Y198" s="229">
        <v>0</v>
      </c>
      <c r="Z198" s="228">
        <v>20.7</v>
      </c>
      <c r="AA198" s="228">
        <v>17.5</v>
      </c>
      <c r="AB198" s="228">
        <v>3.2</v>
      </c>
      <c r="AC198" s="229">
        <v>7.1000000000000004E-3</v>
      </c>
      <c r="AD198" s="228">
        <v>20.7</v>
      </c>
      <c r="AE198" s="228">
        <v>17.5</v>
      </c>
      <c r="AF198" s="228">
        <v>3.2</v>
      </c>
      <c r="AG198" s="229">
        <v>7.1000000000000004E-3</v>
      </c>
      <c r="AH198" s="228">
        <v>35.6</v>
      </c>
      <c r="AI198" s="228">
        <v>39.1</v>
      </c>
      <c r="AJ198" s="228">
        <v>-3.5</v>
      </c>
      <c r="AK198" s="229">
        <v>1.2200000000000001E-2</v>
      </c>
      <c r="AL198" s="228">
        <v>34.6</v>
      </c>
      <c r="AM198" s="228">
        <v>19.2</v>
      </c>
      <c r="AN198" s="228">
        <v>15.4</v>
      </c>
      <c r="AO198" s="229">
        <v>1.1900000000000001E-2</v>
      </c>
      <c r="AP198" s="231">
        <v>2923.58</v>
      </c>
      <c r="AQ198" s="231">
        <v>2930.82</v>
      </c>
      <c r="AR198" s="228">
        <v>0</v>
      </c>
      <c r="AS198" s="228">
        <v>128</v>
      </c>
      <c r="AT198" s="228">
        <v>38</v>
      </c>
      <c r="AU198" s="228">
        <v>90</v>
      </c>
      <c r="AV198" s="229">
        <v>2.3424999999999998</v>
      </c>
      <c r="AW198" s="228">
        <v>126</v>
      </c>
      <c r="AX198" s="228">
        <v>37</v>
      </c>
      <c r="AY198" s="228">
        <v>89</v>
      </c>
      <c r="AZ198" s="229">
        <v>2.4083000000000001</v>
      </c>
      <c r="BA198" s="228">
        <v>3</v>
      </c>
      <c r="BB198" s="228">
        <v>2</v>
      </c>
      <c r="BC198" s="228">
        <v>1</v>
      </c>
      <c r="BD198" s="229">
        <v>0.81479999999999997</v>
      </c>
      <c r="BE198" s="228">
        <v>0</v>
      </c>
      <c r="BF198" s="228">
        <v>0</v>
      </c>
      <c r="BG198" s="228">
        <v>0</v>
      </c>
      <c r="BH198" s="229">
        <v>0</v>
      </c>
      <c r="BI198" s="228">
        <v>119</v>
      </c>
      <c r="BJ198" s="228">
        <v>67</v>
      </c>
      <c r="BK198" s="228">
        <v>52</v>
      </c>
      <c r="BL198" s="229">
        <v>0.77810000000000001</v>
      </c>
      <c r="BM198" s="228">
        <v>34</v>
      </c>
      <c r="BN198" s="228">
        <v>11</v>
      </c>
      <c r="BO198" s="228">
        <v>23</v>
      </c>
      <c r="BP198" s="229">
        <v>2.0909</v>
      </c>
      <c r="BQ198" s="228">
        <v>281</v>
      </c>
      <c r="BR198" s="228">
        <v>116</v>
      </c>
      <c r="BS198" s="228">
        <v>165</v>
      </c>
      <c r="BT198" s="229">
        <v>1.4185000000000001</v>
      </c>
      <c r="BU198" s="230">
        <v>447846</v>
      </c>
      <c r="BV198" s="230">
        <v>110835</v>
      </c>
      <c r="BW198" s="230">
        <v>337011</v>
      </c>
      <c r="BX198" s="229">
        <v>3.0407000000000002</v>
      </c>
      <c r="BY198" s="228">
        <v>712</v>
      </c>
      <c r="BZ198" s="228">
        <v>718</v>
      </c>
      <c r="CA198" s="228">
        <v>-5</v>
      </c>
      <c r="CB198" s="229">
        <v>-7.4000000000000003E-3</v>
      </c>
      <c r="CC198" s="228">
        <v>705</v>
      </c>
      <c r="CD198" s="228">
        <v>711</v>
      </c>
      <c r="CE198" s="228">
        <v>-6</v>
      </c>
      <c r="CF198" s="229">
        <v>-8.3000000000000001E-3</v>
      </c>
      <c r="CG198" s="228">
        <v>7</v>
      </c>
      <c r="CH198" s="228">
        <v>6</v>
      </c>
      <c r="CI198" s="228">
        <v>1</v>
      </c>
      <c r="CJ198" s="229">
        <v>0.10780000000000001</v>
      </c>
      <c r="CK198" s="228">
        <v>0</v>
      </c>
      <c r="CL198" s="228">
        <v>0</v>
      </c>
      <c r="CM198" s="228">
        <v>0</v>
      </c>
      <c r="CN198" s="229">
        <v>0</v>
      </c>
      <c r="CO198" s="228">
        <v>127</v>
      </c>
      <c r="CP198" s="228">
        <v>98</v>
      </c>
      <c r="CQ198" s="228">
        <v>28</v>
      </c>
      <c r="CR198" s="229">
        <v>0.28839999999999999</v>
      </c>
      <c r="CS198" s="228">
        <v>70</v>
      </c>
      <c r="CT198" s="228">
        <v>67</v>
      </c>
      <c r="CU198" s="228">
        <v>3</v>
      </c>
      <c r="CV198" s="229">
        <v>5.1999999999999998E-2</v>
      </c>
      <c r="CW198" s="228">
        <v>909</v>
      </c>
      <c r="CX198" s="228">
        <v>883</v>
      </c>
      <c r="CY198" s="228">
        <v>27</v>
      </c>
      <c r="CZ198" s="229">
        <v>3.0099999999999998E-2</v>
      </c>
      <c r="DA198" s="228">
        <v>38.9</v>
      </c>
      <c r="DB198" s="228">
        <v>39.520000000000003</v>
      </c>
      <c r="DC198" s="228">
        <v>-0.62</v>
      </c>
      <c r="DD198" s="228">
        <v>-0.62</v>
      </c>
      <c r="DE198" s="228">
        <v>44.05</v>
      </c>
      <c r="DF198" s="228">
        <v>44.16</v>
      </c>
      <c r="DG198" s="228">
        <v>-5.15</v>
      </c>
      <c r="DH198" s="228">
        <v>-0.11</v>
      </c>
      <c r="DI198" s="228">
        <v>38.33</v>
      </c>
      <c r="DJ198" s="228">
        <v>39.200000000000003</v>
      </c>
      <c r="DK198" s="228">
        <v>-0.87</v>
      </c>
      <c r="DL198" s="228">
        <v>-0.87</v>
      </c>
      <c r="DM198" s="228">
        <v>40.92</v>
      </c>
      <c r="DN198" s="228">
        <v>41.49</v>
      </c>
      <c r="DO198" s="228">
        <v>-0.56999999999999995</v>
      </c>
      <c r="DP198" s="228">
        <v>-0.56999999999999995</v>
      </c>
      <c r="DQ198" s="228">
        <v>0.55000000000000004</v>
      </c>
      <c r="DR198" s="228">
        <v>0.68</v>
      </c>
      <c r="DS198" s="228">
        <v>-0.13</v>
      </c>
      <c r="DT198" s="229">
        <v>-0.19120000000000001</v>
      </c>
      <c r="DU198" s="231">
        <v>3200</v>
      </c>
      <c r="DV198" s="231">
        <v>2900</v>
      </c>
      <c r="DW198" s="228">
        <v>0.28999999999999998</v>
      </c>
      <c r="DX198" s="228">
        <v>0.16</v>
      </c>
      <c r="DY198" s="228">
        <v>0.13</v>
      </c>
      <c r="DZ198" s="229">
        <v>0.8125</v>
      </c>
      <c r="EA198" s="229">
        <v>9.5999999999999992E-3</v>
      </c>
      <c r="EB198" s="230">
        <v>21000</v>
      </c>
      <c r="EC198" s="229">
        <v>5.1000000000000004E-3</v>
      </c>
      <c r="ED198" s="229">
        <v>9.5999999999999992E-3</v>
      </c>
      <c r="EE198" s="228">
        <v>7.24</v>
      </c>
      <c r="EF198" s="229">
        <v>2.5000000000000001E-3</v>
      </c>
      <c r="EG198" s="230">
        <v>269012</v>
      </c>
      <c r="EH198" s="230">
        <v>51501</v>
      </c>
      <c r="EI198" s="229">
        <v>4.2233999999999998</v>
      </c>
      <c r="EJ198" s="229">
        <v>0.60070000000000001</v>
      </c>
      <c r="EK198" s="228">
        <v>126.87</v>
      </c>
      <c r="EL198" s="228">
        <v>34.520000000000003</v>
      </c>
      <c r="EM198" s="228">
        <v>127.83</v>
      </c>
      <c r="EN198" s="228">
        <v>9.68</v>
      </c>
      <c r="EO198" s="228">
        <v>289.22000000000003</v>
      </c>
      <c r="EP198" s="228">
        <v>122.35</v>
      </c>
      <c r="EQ198" s="228">
        <v>166.86</v>
      </c>
      <c r="ER198" s="229">
        <v>1.3636999999999999</v>
      </c>
      <c r="ES198" s="228">
        <v>135.19999999999999</v>
      </c>
      <c r="ET198" s="228">
        <v>67.25</v>
      </c>
      <c r="EU198" s="228">
        <v>712.31</v>
      </c>
      <c r="EV198" s="231">
        <v>16239060</v>
      </c>
      <c r="EW198" s="228">
        <v>914.77</v>
      </c>
      <c r="EX198" s="228">
        <v>889.72</v>
      </c>
      <c r="EY198" s="228">
        <v>25.05</v>
      </c>
      <c r="EZ198" s="229">
        <v>2.8199999999999999E-2</v>
      </c>
      <c r="FA198" s="229">
        <v>0.19059999999999999</v>
      </c>
      <c r="FB198" s="227" t="s">
        <v>567</v>
      </c>
      <c r="FC198">
        <f t="shared" si="4"/>
        <v>0</v>
      </c>
    </row>
    <row r="199" spans="1:159" ht="17.25" thickBot="1" x14ac:dyDescent="0.3">
      <c r="A199" s="226">
        <v>46148</v>
      </c>
      <c r="B199" s="227" t="s">
        <v>168</v>
      </c>
      <c r="C199" s="227" t="s">
        <v>297</v>
      </c>
      <c r="D199" s="228">
        <v>175</v>
      </c>
      <c r="E199" s="228">
        <v>20</v>
      </c>
      <c r="F199" s="231">
        <v>4375.8999999999996</v>
      </c>
      <c r="G199" s="231">
        <v>4387.6000000000004</v>
      </c>
      <c r="H199" s="228">
        <v>-11.7</v>
      </c>
      <c r="I199" s="229">
        <v>-2.7000000000000001E-3</v>
      </c>
      <c r="J199" s="231">
        <v>4359.6000000000004</v>
      </c>
      <c r="K199" s="231">
        <v>4373.6000000000004</v>
      </c>
      <c r="L199" s="228">
        <v>-14</v>
      </c>
      <c r="M199" s="229">
        <v>-3.2000000000000002E-3</v>
      </c>
      <c r="N199" s="231">
        <v>4375.8999999999996</v>
      </c>
      <c r="O199" s="231">
        <v>4387.6000000000004</v>
      </c>
      <c r="P199" s="228">
        <v>-11.7</v>
      </c>
      <c r="Q199" s="229">
        <v>-2.7000000000000001E-3</v>
      </c>
      <c r="R199" s="231">
        <v>4404.3</v>
      </c>
      <c r="S199" s="231">
        <v>4417.1000000000004</v>
      </c>
      <c r="T199" s="228">
        <v>-12.8</v>
      </c>
      <c r="U199" s="229">
        <v>-2.8999999999999998E-3</v>
      </c>
      <c r="V199" s="231">
        <v>4418.3999999999996</v>
      </c>
      <c r="W199" s="231">
        <v>4427.3999999999996</v>
      </c>
      <c r="X199" s="228">
        <v>-9</v>
      </c>
      <c r="Y199" s="229">
        <v>-2E-3</v>
      </c>
      <c r="Z199" s="228">
        <v>16.3</v>
      </c>
      <c r="AA199" s="228">
        <v>14</v>
      </c>
      <c r="AB199" s="228">
        <v>2.2999999999999998</v>
      </c>
      <c r="AC199" s="229">
        <v>3.7000000000000002E-3</v>
      </c>
      <c r="AD199" s="228">
        <v>16.3</v>
      </c>
      <c r="AE199" s="228">
        <v>14</v>
      </c>
      <c r="AF199" s="228">
        <v>2.2999999999999998</v>
      </c>
      <c r="AG199" s="229">
        <v>3.7000000000000002E-3</v>
      </c>
      <c r="AH199" s="228">
        <v>44.7</v>
      </c>
      <c r="AI199" s="228">
        <v>43.5</v>
      </c>
      <c r="AJ199" s="228">
        <v>1.2</v>
      </c>
      <c r="AK199" s="229">
        <v>1.03E-2</v>
      </c>
      <c r="AL199" s="228">
        <v>58.8</v>
      </c>
      <c r="AM199" s="228">
        <v>53.8</v>
      </c>
      <c r="AN199" s="228">
        <v>5</v>
      </c>
      <c r="AO199" s="229">
        <v>1.35E-2</v>
      </c>
      <c r="AP199" s="231">
        <v>4350.3599999999997</v>
      </c>
      <c r="AQ199" s="231">
        <v>4376.7</v>
      </c>
      <c r="AR199" s="228">
        <v>0</v>
      </c>
      <c r="AS199" s="228">
        <v>790</v>
      </c>
      <c r="AT199" s="228">
        <v>368</v>
      </c>
      <c r="AU199" s="228">
        <v>422</v>
      </c>
      <c r="AV199" s="229">
        <v>1.1449</v>
      </c>
      <c r="AW199" s="228">
        <v>769</v>
      </c>
      <c r="AX199" s="228">
        <v>356</v>
      </c>
      <c r="AY199" s="228">
        <v>413</v>
      </c>
      <c r="AZ199" s="229">
        <v>1.1617999999999999</v>
      </c>
      <c r="BA199" s="228">
        <v>18</v>
      </c>
      <c r="BB199" s="228">
        <v>11</v>
      </c>
      <c r="BC199" s="228">
        <v>7</v>
      </c>
      <c r="BD199" s="229">
        <v>0.59589999999999999</v>
      </c>
      <c r="BE199" s="228">
        <v>3</v>
      </c>
      <c r="BF199" s="228">
        <v>1</v>
      </c>
      <c r="BG199" s="228">
        <v>2</v>
      </c>
      <c r="BH199" s="229">
        <v>1.2222</v>
      </c>
      <c r="BI199" s="230">
        <v>2075</v>
      </c>
      <c r="BJ199" s="228">
        <v>974</v>
      </c>
      <c r="BK199" s="230">
        <v>1101</v>
      </c>
      <c r="BL199" s="229">
        <v>1.1308</v>
      </c>
      <c r="BM199" s="230">
        <v>1323</v>
      </c>
      <c r="BN199" s="228">
        <v>615</v>
      </c>
      <c r="BO199" s="228">
        <v>708</v>
      </c>
      <c r="BP199" s="229">
        <v>1.1523000000000001</v>
      </c>
      <c r="BQ199" s="230">
        <v>4188</v>
      </c>
      <c r="BR199" s="230">
        <v>1957</v>
      </c>
      <c r="BS199" s="230">
        <v>2231</v>
      </c>
      <c r="BT199" s="229">
        <v>1.1402000000000001</v>
      </c>
      <c r="BU199" s="230">
        <v>1495439</v>
      </c>
      <c r="BV199" s="230">
        <v>867118</v>
      </c>
      <c r="BW199" s="230">
        <v>628321</v>
      </c>
      <c r="BX199" s="229">
        <v>0.72460000000000002</v>
      </c>
      <c r="BY199" s="230">
        <v>3808</v>
      </c>
      <c r="BZ199" s="230">
        <v>3913</v>
      </c>
      <c r="CA199" s="228">
        <v>-105</v>
      </c>
      <c r="CB199" s="229">
        <v>-2.69E-2</v>
      </c>
      <c r="CC199" s="230">
        <v>3406</v>
      </c>
      <c r="CD199" s="230">
        <v>3520</v>
      </c>
      <c r="CE199" s="228">
        <v>-114</v>
      </c>
      <c r="CF199" s="229">
        <v>-3.2399999999999998E-2</v>
      </c>
      <c r="CG199" s="228">
        <v>398</v>
      </c>
      <c r="CH199" s="228">
        <v>391</v>
      </c>
      <c r="CI199" s="228">
        <v>7</v>
      </c>
      <c r="CJ199" s="229">
        <v>1.8200000000000001E-2</v>
      </c>
      <c r="CK199" s="228">
        <v>4</v>
      </c>
      <c r="CL199" s="228">
        <v>3</v>
      </c>
      <c r="CM199" s="228">
        <v>2</v>
      </c>
      <c r="CN199" s="229">
        <v>0.54049999999999998</v>
      </c>
      <c r="CO199" s="228">
        <v>846</v>
      </c>
      <c r="CP199" s="228">
        <v>757</v>
      </c>
      <c r="CQ199" s="228">
        <v>90</v>
      </c>
      <c r="CR199" s="229">
        <v>0.1188</v>
      </c>
      <c r="CS199" s="228">
        <v>591</v>
      </c>
      <c r="CT199" s="228">
        <v>595</v>
      </c>
      <c r="CU199" s="228">
        <v>-4</v>
      </c>
      <c r="CV199" s="229">
        <v>-6.6E-3</v>
      </c>
      <c r="CW199" s="230">
        <v>5246</v>
      </c>
      <c r="CX199" s="230">
        <v>5265</v>
      </c>
      <c r="CY199" s="228">
        <v>-19</v>
      </c>
      <c r="CZ199" s="229">
        <v>-3.7000000000000002E-3</v>
      </c>
      <c r="DA199" s="228">
        <v>27.53</v>
      </c>
      <c r="DB199" s="228">
        <v>27.55</v>
      </c>
      <c r="DC199" s="228">
        <v>-0.02</v>
      </c>
      <c r="DD199" s="228">
        <v>-0.02</v>
      </c>
      <c r="DE199" s="228">
        <v>27.31</v>
      </c>
      <c r="DF199" s="228">
        <v>27.37</v>
      </c>
      <c r="DG199" s="228">
        <v>0.22</v>
      </c>
      <c r="DH199" s="228">
        <v>-0.06</v>
      </c>
      <c r="DI199" s="228">
        <v>27.3</v>
      </c>
      <c r="DJ199" s="228">
        <v>27.12</v>
      </c>
      <c r="DK199" s="228">
        <v>0.18</v>
      </c>
      <c r="DL199" s="228">
        <v>0.18</v>
      </c>
      <c r="DM199" s="228">
        <v>27.9</v>
      </c>
      <c r="DN199" s="228">
        <v>28.21</v>
      </c>
      <c r="DO199" s="228">
        <v>-0.31</v>
      </c>
      <c r="DP199" s="228">
        <v>-0.31</v>
      </c>
      <c r="DQ199" s="228">
        <v>0.7</v>
      </c>
      <c r="DR199" s="228">
        <v>0.79</v>
      </c>
      <c r="DS199" s="228">
        <v>-0.09</v>
      </c>
      <c r="DT199" s="229">
        <v>-0.1139</v>
      </c>
      <c r="DU199" s="231">
        <v>4500</v>
      </c>
      <c r="DV199" s="231">
        <v>4000</v>
      </c>
      <c r="DW199" s="228">
        <v>0.64</v>
      </c>
      <c r="DX199" s="228">
        <v>0.63</v>
      </c>
      <c r="DY199" s="228">
        <v>0.01</v>
      </c>
      <c r="DZ199" s="229">
        <v>1.5900000000000001E-2</v>
      </c>
      <c r="EA199" s="229">
        <v>0.1056</v>
      </c>
      <c r="EB199" s="230">
        <v>899500</v>
      </c>
      <c r="EC199" s="229">
        <v>6.4999999999999997E-3</v>
      </c>
      <c r="ED199" s="229">
        <v>0.1056</v>
      </c>
      <c r="EE199" s="228">
        <v>26.34</v>
      </c>
      <c r="EF199" s="229">
        <v>6.1000000000000004E-3</v>
      </c>
      <c r="EG199" s="230">
        <v>846175</v>
      </c>
      <c r="EH199" s="230">
        <v>452300</v>
      </c>
      <c r="EI199" s="229">
        <v>0.87080000000000002</v>
      </c>
      <c r="EJ199" s="229">
        <v>0.56579999999999997</v>
      </c>
      <c r="EK199" s="231">
        <v>2170.7800000000002</v>
      </c>
      <c r="EL199" s="231">
        <v>1314.97</v>
      </c>
      <c r="EM199" s="228">
        <v>785.74</v>
      </c>
      <c r="EN199" s="228">
        <v>42.56</v>
      </c>
      <c r="EO199" s="231">
        <v>4271.5</v>
      </c>
      <c r="EP199" s="231">
        <v>2003.08</v>
      </c>
      <c r="EQ199" s="231">
        <v>2268.42</v>
      </c>
      <c r="ER199" s="229">
        <v>1.1325000000000001</v>
      </c>
      <c r="ES199" s="228">
        <v>883.13</v>
      </c>
      <c r="ET199" s="228">
        <v>565.07000000000005</v>
      </c>
      <c r="EU199" s="231">
        <v>3810.71</v>
      </c>
      <c r="EV199" s="231">
        <v>41744334</v>
      </c>
      <c r="EW199" s="231">
        <v>5258.91</v>
      </c>
      <c r="EX199" s="231">
        <v>5286.3</v>
      </c>
      <c r="EY199" s="228">
        <v>-27.39</v>
      </c>
      <c r="EZ199" s="229">
        <v>-5.1999999999999998E-3</v>
      </c>
      <c r="FA199" s="229">
        <v>0.28720000000000001</v>
      </c>
      <c r="FB199" s="227" t="s">
        <v>567</v>
      </c>
      <c r="FC199">
        <f t="shared" si="4"/>
        <v>0</v>
      </c>
    </row>
    <row r="200" spans="1:159" ht="17.25" thickBot="1" x14ac:dyDescent="0.3">
      <c r="A200" s="226">
        <v>46148</v>
      </c>
      <c r="B200" s="227" t="s">
        <v>162</v>
      </c>
      <c r="C200" s="227" t="s">
        <v>685</v>
      </c>
      <c r="D200" s="228">
        <v>800</v>
      </c>
      <c r="E200" s="228">
        <v>20</v>
      </c>
      <c r="F200" s="228">
        <v>360.35</v>
      </c>
      <c r="G200" s="228">
        <v>342.1</v>
      </c>
      <c r="H200" s="228">
        <v>18.25</v>
      </c>
      <c r="I200" s="229">
        <v>5.33E-2</v>
      </c>
      <c r="J200" s="228">
        <v>358.15</v>
      </c>
      <c r="K200" s="228">
        <v>340.15</v>
      </c>
      <c r="L200" s="228">
        <v>18</v>
      </c>
      <c r="M200" s="229">
        <v>5.2900000000000003E-2</v>
      </c>
      <c r="N200" s="228">
        <v>360.35</v>
      </c>
      <c r="O200" s="228">
        <v>342.1</v>
      </c>
      <c r="P200" s="228">
        <v>18.25</v>
      </c>
      <c r="Q200" s="229">
        <v>5.33E-2</v>
      </c>
      <c r="R200" s="228">
        <v>359.65</v>
      </c>
      <c r="S200" s="228">
        <v>343.05</v>
      </c>
      <c r="T200" s="228">
        <v>16.600000000000001</v>
      </c>
      <c r="U200" s="229">
        <v>4.8399999999999999E-2</v>
      </c>
      <c r="V200" s="228">
        <v>360.9</v>
      </c>
      <c r="W200" s="228">
        <v>344.2</v>
      </c>
      <c r="X200" s="228">
        <v>16.7</v>
      </c>
      <c r="Y200" s="229">
        <v>4.8500000000000001E-2</v>
      </c>
      <c r="Z200" s="228">
        <v>2.2000000000000002</v>
      </c>
      <c r="AA200" s="228">
        <v>1.95</v>
      </c>
      <c r="AB200" s="228">
        <v>0.25</v>
      </c>
      <c r="AC200" s="229">
        <v>6.1000000000000004E-3</v>
      </c>
      <c r="AD200" s="228">
        <v>2.2000000000000002</v>
      </c>
      <c r="AE200" s="228">
        <v>1.95</v>
      </c>
      <c r="AF200" s="228">
        <v>0.25</v>
      </c>
      <c r="AG200" s="229">
        <v>6.1000000000000004E-3</v>
      </c>
      <c r="AH200" s="228">
        <v>1.5</v>
      </c>
      <c r="AI200" s="228">
        <v>2.9</v>
      </c>
      <c r="AJ200" s="228">
        <v>-1.4</v>
      </c>
      <c r="AK200" s="229">
        <v>4.1999999999999997E-3</v>
      </c>
      <c r="AL200" s="228">
        <v>2.75</v>
      </c>
      <c r="AM200" s="228">
        <v>4.05</v>
      </c>
      <c r="AN200" s="228">
        <v>-1.3</v>
      </c>
      <c r="AO200" s="229">
        <v>7.7000000000000002E-3</v>
      </c>
      <c r="AP200" s="228">
        <v>353.58</v>
      </c>
      <c r="AQ200" s="228">
        <v>354.58</v>
      </c>
      <c r="AR200" s="228">
        <v>0</v>
      </c>
      <c r="AS200" s="228">
        <v>569</v>
      </c>
      <c r="AT200" s="228">
        <v>305</v>
      </c>
      <c r="AU200" s="228">
        <v>264</v>
      </c>
      <c r="AV200" s="229">
        <v>0.86399999999999999</v>
      </c>
      <c r="AW200" s="228">
        <v>501</v>
      </c>
      <c r="AX200" s="228">
        <v>274</v>
      </c>
      <c r="AY200" s="228">
        <v>226</v>
      </c>
      <c r="AZ200" s="229">
        <v>0.82520000000000004</v>
      </c>
      <c r="BA200" s="228">
        <v>62</v>
      </c>
      <c r="BB200" s="228">
        <v>30</v>
      </c>
      <c r="BC200" s="228">
        <v>32</v>
      </c>
      <c r="BD200" s="229">
        <v>1.0799000000000001</v>
      </c>
      <c r="BE200" s="228">
        <v>6</v>
      </c>
      <c r="BF200" s="228">
        <v>1</v>
      </c>
      <c r="BG200" s="228">
        <v>5</v>
      </c>
      <c r="BH200" s="229">
        <v>5.2727000000000004</v>
      </c>
      <c r="BI200" s="230">
        <v>1565</v>
      </c>
      <c r="BJ200" s="228">
        <v>804</v>
      </c>
      <c r="BK200" s="228">
        <v>761</v>
      </c>
      <c r="BL200" s="229">
        <v>0.94640000000000002</v>
      </c>
      <c r="BM200" s="228">
        <v>719</v>
      </c>
      <c r="BN200" s="228">
        <v>256</v>
      </c>
      <c r="BO200" s="228">
        <v>464</v>
      </c>
      <c r="BP200" s="229">
        <v>1.8116000000000001</v>
      </c>
      <c r="BQ200" s="230">
        <v>2853</v>
      </c>
      <c r="BR200" s="230">
        <v>1365</v>
      </c>
      <c r="BS200" s="230">
        <v>1488</v>
      </c>
      <c r="BT200" s="229">
        <v>1.0901000000000001</v>
      </c>
      <c r="BU200" s="230">
        <v>11036464</v>
      </c>
      <c r="BV200" s="230">
        <v>6084755</v>
      </c>
      <c r="BW200" s="230">
        <v>4951709</v>
      </c>
      <c r="BX200" s="229">
        <v>0.81379999999999997</v>
      </c>
      <c r="BY200" s="230">
        <v>2488</v>
      </c>
      <c r="BZ200" s="230">
        <v>2519</v>
      </c>
      <c r="CA200" s="228">
        <v>-31</v>
      </c>
      <c r="CB200" s="229">
        <v>-1.2500000000000001E-2</v>
      </c>
      <c r="CC200" s="230">
        <v>2309</v>
      </c>
      <c r="CD200" s="230">
        <v>2335</v>
      </c>
      <c r="CE200" s="228">
        <v>-26</v>
      </c>
      <c r="CF200" s="229">
        <v>-1.0999999999999999E-2</v>
      </c>
      <c r="CG200" s="228">
        <v>162</v>
      </c>
      <c r="CH200" s="228">
        <v>166</v>
      </c>
      <c r="CI200" s="228">
        <v>-3</v>
      </c>
      <c r="CJ200" s="229">
        <v>-2.0199999999999999E-2</v>
      </c>
      <c r="CK200" s="228">
        <v>16</v>
      </c>
      <c r="CL200" s="228">
        <v>18</v>
      </c>
      <c r="CM200" s="228">
        <v>-2</v>
      </c>
      <c r="CN200" s="229">
        <v>-0.12620000000000001</v>
      </c>
      <c r="CO200" s="228">
        <v>970</v>
      </c>
      <c r="CP200" s="228">
        <v>934</v>
      </c>
      <c r="CQ200" s="228">
        <v>36</v>
      </c>
      <c r="CR200" s="229">
        <v>3.7999999999999999E-2</v>
      </c>
      <c r="CS200" s="228">
        <v>626</v>
      </c>
      <c r="CT200" s="228">
        <v>592</v>
      </c>
      <c r="CU200" s="228">
        <v>33</v>
      </c>
      <c r="CV200" s="229">
        <v>5.6399999999999999E-2</v>
      </c>
      <c r="CW200" s="230">
        <v>4083</v>
      </c>
      <c r="CX200" s="230">
        <v>4046</v>
      </c>
      <c r="CY200" s="228">
        <v>38</v>
      </c>
      <c r="CZ200" s="229">
        <v>9.2999999999999992E-3</v>
      </c>
      <c r="DA200" s="228">
        <v>36.72</v>
      </c>
      <c r="DB200" s="228">
        <v>37.950000000000003</v>
      </c>
      <c r="DC200" s="228">
        <v>-1.23</v>
      </c>
      <c r="DD200" s="228">
        <v>-1.23</v>
      </c>
      <c r="DE200" s="228">
        <v>38.46</v>
      </c>
      <c r="DF200" s="228">
        <v>37.909999999999997</v>
      </c>
      <c r="DG200" s="228">
        <v>-1.74</v>
      </c>
      <c r="DH200" s="228">
        <v>0.55000000000000004</v>
      </c>
      <c r="DI200" s="228">
        <v>35.79</v>
      </c>
      <c r="DJ200" s="228">
        <v>37.770000000000003</v>
      </c>
      <c r="DK200" s="228">
        <v>-1.98</v>
      </c>
      <c r="DL200" s="228">
        <v>-1.98</v>
      </c>
      <c r="DM200" s="228">
        <v>38.729999999999997</v>
      </c>
      <c r="DN200" s="228">
        <v>38.520000000000003</v>
      </c>
      <c r="DO200" s="228">
        <v>0.21</v>
      </c>
      <c r="DP200" s="228">
        <v>0.21</v>
      </c>
      <c r="DQ200" s="228">
        <v>0.65</v>
      </c>
      <c r="DR200" s="228">
        <v>0.63</v>
      </c>
      <c r="DS200" s="228">
        <v>0.02</v>
      </c>
      <c r="DT200" s="229">
        <v>3.1699999999999999E-2</v>
      </c>
      <c r="DU200" s="228">
        <v>400</v>
      </c>
      <c r="DV200" s="228">
        <v>350</v>
      </c>
      <c r="DW200" s="228">
        <v>0.46</v>
      </c>
      <c r="DX200" s="228">
        <v>0.32</v>
      </c>
      <c r="DY200" s="228">
        <v>0.14000000000000001</v>
      </c>
      <c r="DZ200" s="229">
        <v>0.4375</v>
      </c>
      <c r="EA200" s="229">
        <v>7.1599999999999997E-2</v>
      </c>
      <c r="EB200" s="230">
        <v>5101600</v>
      </c>
      <c r="EC200" s="229">
        <v>-1.9E-3</v>
      </c>
      <c r="ED200" s="229">
        <v>7.1599999999999997E-2</v>
      </c>
      <c r="EE200" s="228">
        <v>1</v>
      </c>
      <c r="EF200" s="229">
        <v>2.8E-3</v>
      </c>
      <c r="EG200" s="230">
        <v>4473362</v>
      </c>
      <c r="EH200" s="230">
        <v>2222317</v>
      </c>
      <c r="EI200" s="229">
        <v>1.0128999999999999</v>
      </c>
      <c r="EJ200" s="229">
        <v>0.40529999999999999</v>
      </c>
      <c r="EK200" s="231">
        <v>1634.23</v>
      </c>
      <c r="EL200" s="228">
        <v>687.86</v>
      </c>
      <c r="EM200" s="228">
        <v>564.41999999999996</v>
      </c>
      <c r="EN200" s="228">
        <v>172.28</v>
      </c>
      <c r="EO200" s="231">
        <v>2886.52</v>
      </c>
      <c r="EP200" s="231">
        <v>1363.79</v>
      </c>
      <c r="EQ200" s="231">
        <v>1522.73</v>
      </c>
      <c r="ER200" s="229">
        <v>1.1165</v>
      </c>
      <c r="ES200" s="228">
        <v>989.23</v>
      </c>
      <c r="ET200" s="228">
        <v>599.33000000000004</v>
      </c>
      <c r="EU200" s="231">
        <v>2487.2800000000002</v>
      </c>
      <c r="EV200" s="231">
        <v>317244234</v>
      </c>
      <c r="EW200" s="231">
        <v>4075.84</v>
      </c>
      <c r="EX200" s="231">
        <v>3903.98</v>
      </c>
      <c r="EY200" s="228">
        <v>171.86</v>
      </c>
      <c r="EZ200" s="229">
        <v>4.3999999999999997E-2</v>
      </c>
      <c r="FA200" s="229">
        <v>0.35720000000000002</v>
      </c>
      <c r="FB200" s="227" t="s">
        <v>691</v>
      </c>
      <c r="FC200">
        <f t="shared" si="4"/>
        <v>0</v>
      </c>
    </row>
    <row r="201" spans="1:159" ht="17.25" thickBot="1" x14ac:dyDescent="0.3">
      <c r="A201" s="226">
        <v>46148</v>
      </c>
      <c r="B201" s="227" t="s">
        <v>170</v>
      </c>
      <c r="C201" s="227" t="s">
        <v>298</v>
      </c>
      <c r="D201" s="228">
        <v>125</v>
      </c>
      <c r="E201" s="228">
        <v>20</v>
      </c>
      <c r="F201" s="231">
        <v>4372.3</v>
      </c>
      <c r="G201" s="231">
        <v>4291.7</v>
      </c>
      <c r="H201" s="228">
        <v>80.599999999999994</v>
      </c>
      <c r="I201" s="229">
        <v>1.8800000000000001E-2</v>
      </c>
      <c r="J201" s="231">
        <v>4358.3</v>
      </c>
      <c r="K201" s="231">
        <v>4275.1000000000004</v>
      </c>
      <c r="L201" s="228">
        <v>83.2</v>
      </c>
      <c r="M201" s="229">
        <v>1.95E-2</v>
      </c>
      <c r="N201" s="231">
        <v>4372.3</v>
      </c>
      <c r="O201" s="231">
        <v>4291.7</v>
      </c>
      <c r="P201" s="228">
        <v>80.599999999999994</v>
      </c>
      <c r="Q201" s="229">
        <v>1.8800000000000001E-2</v>
      </c>
      <c r="R201" s="231">
        <v>4372.8999999999996</v>
      </c>
      <c r="S201" s="231">
        <v>4294.3999999999996</v>
      </c>
      <c r="T201" s="228">
        <v>78.5</v>
      </c>
      <c r="U201" s="229">
        <v>1.83E-2</v>
      </c>
      <c r="V201" s="228">
        <v>0</v>
      </c>
      <c r="W201" s="228">
        <v>0</v>
      </c>
      <c r="X201" s="228">
        <v>0</v>
      </c>
      <c r="Y201" s="229">
        <v>0</v>
      </c>
      <c r="Z201" s="228">
        <v>14</v>
      </c>
      <c r="AA201" s="228">
        <v>16.600000000000001</v>
      </c>
      <c r="AB201" s="228">
        <v>-2.6</v>
      </c>
      <c r="AC201" s="229">
        <v>3.2000000000000002E-3</v>
      </c>
      <c r="AD201" s="228">
        <v>14</v>
      </c>
      <c r="AE201" s="228">
        <v>16.600000000000001</v>
      </c>
      <c r="AF201" s="228">
        <v>-2.6</v>
      </c>
      <c r="AG201" s="229">
        <v>3.2000000000000002E-3</v>
      </c>
      <c r="AH201" s="228">
        <v>14.6</v>
      </c>
      <c r="AI201" s="228">
        <v>19.3</v>
      </c>
      <c r="AJ201" s="228">
        <v>-4.7</v>
      </c>
      <c r="AK201" s="229">
        <v>3.3E-3</v>
      </c>
      <c r="AL201" s="228">
        <v>0</v>
      </c>
      <c r="AM201" s="228">
        <v>0</v>
      </c>
      <c r="AN201" s="228">
        <v>0</v>
      </c>
      <c r="AO201" s="229">
        <v>0</v>
      </c>
      <c r="AP201" s="231">
        <v>4366.1499999999996</v>
      </c>
      <c r="AQ201" s="231">
        <v>4375.8999999999996</v>
      </c>
      <c r="AR201" s="228">
        <v>0</v>
      </c>
      <c r="AS201" s="228">
        <v>182</v>
      </c>
      <c r="AT201" s="228">
        <v>139</v>
      </c>
      <c r="AU201" s="228">
        <v>43</v>
      </c>
      <c r="AV201" s="229">
        <v>0.30859999999999999</v>
      </c>
      <c r="AW201" s="228">
        <v>178</v>
      </c>
      <c r="AX201" s="228">
        <v>138</v>
      </c>
      <c r="AY201" s="228">
        <v>40</v>
      </c>
      <c r="AZ201" s="229">
        <v>0.28839999999999999</v>
      </c>
      <c r="BA201" s="228">
        <v>4</v>
      </c>
      <c r="BB201" s="228">
        <v>1</v>
      </c>
      <c r="BC201" s="228">
        <v>3</v>
      </c>
      <c r="BD201" s="229">
        <v>2.85</v>
      </c>
      <c r="BE201" s="228">
        <v>0</v>
      </c>
      <c r="BF201" s="228">
        <v>0</v>
      </c>
      <c r="BG201" s="228">
        <v>0</v>
      </c>
      <c r="BH201" s="229">
        <v>0</v>
      </c>
      <c r="BI201" s="228">
        <v>451</v>
      </c>
      <c r="BJ201" s="228">
        <v>177</v>
      </c>
      <c r="BK201" s="228">
        <v>274</v>
      </c>
      <c r="BL201" s="229">
        <v>1.552</v>
      </c>
      <c r="BM201" s="228">
        <v>114</v>
      </c>
      <c r="BN201" s="228">
        <v>52</v>
      </c>
      <c r="BO201" s="228">
        <v>62</v>
      </c>
      <c r="BP201" s="229">
        <v>1.1919999999999999</v>
      </c>
      <c r="BQ201" s="228">
        <v>747</v>
      </c>
      <c r="BR201" s="228">
        <v>368</v>
      </c>
      <c r="BS201" s="228">
        <v>379</v>
      </c>
      <c r="BT201" s="229">
        <v>1.0307999999999999</v>
      </c>
      <c r="BU201" s="230">
        <v>345580</v>
      </c>
      <c r="BV201" s="230">
        <v>182186</v>
      </c>
      <c r="BW201" s="230">
        <v>163394</v>
      </c>
      <c r="BX201" s="229">
        <v>0.89690000000000003</v>
      </c>
      <c r="BY201" s="230">
        <v>1135</v>
      </c>
      <c r="BZ201" s="230">
        <v>1134</v>
      </c>
      <c r="CA201" s="228">
        <v>2</v>
      </c>
      <c r="CB201" s="229">
        <v>1.5E-3</v>
      </c>
      <c r="CC201" s="230">
        <v>1131</v>
      </c>
      <c r="CD201" s="230">
        <v>1131</v>
      </c>
      <c r="CE201" s="228">
        <v>1</v>
      </c>
      <c r="CF201" s="229">
        <v>5.9999999999999995E-4</v>
      </c>
      <c r="CG201" s="228">
        <v>4</v>
      </c>
      <c r="CH201" s="228">
        <v>3</v>
      </c>
      <c r="CI201" s="228">
        <v>1</v>
      </c>
      <c r="CJ201" s="229">
        <v>0.3725</v>
      </c>
      <c r="CK201" s="228">
        <v>0</v>
      </c>
      <c r="CL201" s="228">
        <v>0</v>
      </c>
      <c r="CM201" s="228">
        <v>0</v>
      </c>
      <c r="CN201" s="229">
        <v>0</v>
      </c>
      <c r="CO201" s="228">
        <v>186</v>
      </c>
      <c r="CP201" s="228">
        <v>181</v>
      </c>
      <c r="CQ201" s="228">
        <v>5</v>
      </c>
      <c r="CR201" s="229">
        <v>2.5000000000000001E-2</v>
      </c>
      <c r="CS201" s="228">
        <v>95</v>
      </c>
      <c r="CT201" s="228">
        <v>85</v>
      </c>
      <c r="CU201" s="228">
        <v>10</v>
      </c>
      <c r="CV201" s="229">
        <v>0.1159</v>
      </c>
      <c r="CW201" s="230">
        <v>1416</v>
      </c>
      <c r="CX201" s="230">
        <v>1400</v>
      </c>
      <c r="CY201" s="228">
        <v>16</v>
      </c>
      <c r="CZ201" s="229">
        <v>1.15E-2</v>
      </c>
      <c r="DA201" s="228">
        <v>25.57</v>
      </c>
      <c r="DB201" s="228">
        <v>26.68</v>
      </c>
      <c r="DC201" s="228">
        <v>-1.1100000000000001</v>
      </c>
      <c r="DD201" s="228">
        <v>-1.1100000000000001</v>
      </c>
      <c r="DE201" s="228">
        <v>25.46</v>
      </c>
      <c r="DF201" s="228">
        <v>25.39</v>
      </c>
      <c r="DG201" s="228">
        <v>0.11</v>
      </c>
      <c r="DH201" s="228">
        <v>7.0000000000000007E-2</v>
      </c>
      <c r="DI201" s="228">
        <v>25.33</v>
      </c>
      <c r="DJ201" s="228">
        <v>26.28</v>
      </c>
      <c r="DK201" s="228">
        <v>-0.95</v>
      </c>
      <c r="DL201" s="228">
        <v>-0.95</v>
      </c>
      <c r="DM201" s="228">
        <v>26.53</v>
      </c>
      <c r="DN201" s="228">
        <v>28.02</v>
      </c>
      <c r="DO201" s="228">
        <v>-1.49</v>
      </c>
      <c r="DP201" s="228">
        <v>-1.49</v>
      </c>
      <c r="DQ201" s="228">
        <v>0.51</v>
      </c>
      <c r="DR201" s="228">
        <v>0.47</v>
      </c>
      <c r="DS201" s="228">
        <v>0.04</v>
      </c>
      <c r="DT201" s="229">
        <v>8.5099999999999995E-2</v>
      </c>
      <c r="DU201" s="231">
        <v>4600</v>
      </c>
      <c r="DV201" s="231">
        <v>4300</v>
      </c>
      <c r="DW201" s="228">
        <v>0.25</v>
      </c>
      <c r="DX201" s="228">
        <v>0.3</v>
      </c>
      <c r="DY201" s="228">
        <v>-0.05</v>
      </c>
      <c r="DZ201" s="229">
        <v>-0.16669999999999999</v>
      </c>
      <c r="EA201" s="229">
        <v>3.3999999999999998E-3</v>
      </c>
      <c r="EB201" s="230">
        <v>6375</v>
      </c>
      <c r="EC201" s="229">
        <v>1E-4</v>
      </c>
      <c r="ED201" s="229">
        <v>3.3999999999999998E-3</v>
      </c>
      <c r="EE201" s="228">
        <v>9.75</v>
      </c>
      <c r="EF201" s="229">
        <v>2.2000000000000001E-3</v>
      </c>
      <c r="EG201" s="230">
        <v>147883</v>
      </c>
      <c r="EH201" s="230">
        <v>90032</v>
      </c>
      <c r="EI201" s="229">
        <v>0.64259999999999995</v>
      </c>
      <c r="EJ201" s="229">
        <v>0.4279</v>
      </c>
      <c r="EK201" s="228">
        <v>467.03</v>
      </c>
      <c r="EL201" s="228">
        <v>111.92</v>
      </c>
      <c r="EM201" s="228">
        <v>181.7</v>
      </c>
      <c r="EN201" s="228">
        <v>24.29</v>
      </c>
      <c r="EO201" s="228">
        <v>760.65</v>
      </c>
      <c r="EP201" s="228">
        <v>368.57</v>
      </c>
      <c r="EQ201" s="228">
        <v>392.08</v>
      </c>
      <c r="ER201" s="229">
        <v>1.0638000000000001</v>
      </c>
      <c r="ES201" s="228">
        <v>189.86</v>
      </c>
      <c r="ET201" s="228">
        <v>90.37</v>
      </c>
      <c r="EU201" s="231">
        <v>1135.32</v>
      </c>
      <c r="EV201" s="231">
        <v>10726004</v>
      </c>
      <c r="EW201" s="231">
        <v>1415.55</v>
      </c>
      <c r="EX201" s="231">
        <v>1376.54</v>
      </c>
      <c r="EY201" s="228">
        <v>39.01</v>
      </c>
      <c r="EZ201" s="229">
        <v>2.8299999999999999E-2</v>
      </c>
      <c r="FA201" s="229">
        <v>0.3019</v>
      </c>
      <c r="FB201" s="227" t="s">
        <v>555</v>
      </c>
      <c r="FC201">
        <f t="shared" si="4"/>
        <v>0</v>
      </c>
    </row>
    <row r="202" spans="1:159" ht="17.25" thickBot="1" x14ac:dyDescent="0.3">
      <c r="A202" s="226">
        <v>46148</v>
      </c>
      <c r="B202" s="227" t="s">
        <v>197</v>
      </c>
      <c r="C202" s="227" t="s">
        <v>482</v>
      </c>
      <c r="D202" s="228">
        <v>100</v>
      </c>
      <c r="E202" s="228">
        <v>20</v>
      </c>
      <c r="F202" s="231">
        <v>4318.1000000000004</v>
      </c>
      <c r="G202" s="231">
        <v>4143.6000000000004</v>
      </c>
      <c r="H202" s="228">
        <v>174.5</v>
      </c>
      <c r="I202" s="229">
        <v>4.2099999999999999E-2</v>
      </c>
      <c r="J202" s="231">
        <v>4289.8</v>
      </c>
      <c r="K202" s="231">
        <v>4135.3999999999996</v>
      </c>
      <c r="L202" s="228">
        <v>154.4</v>
      </c>
      <c r="M202" s="229">
        <v>3.73E-2</v>
      </c>
      <c r="N202" s="231">
        <v>4318.1000000000004</v>
      </c>
      <c r="O202" s="231">
        <v>4143.6000000000004</v>
      </c>
      <c r="P202" s="228">
        <v>174.5</v>
      </c>
      <c r="Q202" s="229">
        <v>4.2099999999999999E-2</v>
      </c>
      <c r="R202" s="231">
        <v>4302.3999999999996</v>
      </c>
      <c r="S202" s="231">
        <v>4123.8</v>
      </c>
      <c r="T202" s="228">
        <v>178.6</v>
      </c>
      <c r="U202" s="229">
        <v>4.3299999999999998E-2</v>
      </c>
      <c r="V202" s="231">
        <v>4305</v>
      </c>
      <c r="W202" s="231">
        <v>4125.7</v>
      </c>
      <c r="X202" s="228">
        <v>179.3</v>
      </c>
      <c r="Y202" s="229">
        <v>4.3499999999999997E-2</v>
      </c>
      <c r="Z202" s="228">
        <v>28.3</v>
      </c>
      <c r="AA202" s="228">
        <v>8.1999999999999993</v>
      </c>
      <c r="AB202" s="228">
        <v>20.100000000000001</v>
      </c>
      <c r="AC202" s="229">
        <v>6.6E-3</v>
      </c>
      <c r="AD202" s="228">
        <v>28.3</v>
      </c>
      <c r="AE202" s="228">
        <v>8.1999999999999993</v>
      </c>
      <c r="AF202" s="228">
        <v>20.100000000000001</v>
      </c>
      <c r="AG202" s="229">
        <v>6.6E-3</v>
      </c>
      <c r="AH202" s="228">
        <v>12.6</v>
      </c>
      <c r="AI202" s="228">
        <v>-11.6</v>
      </c>
      <c r="AJ202" s="228">
        <v>24.2</v>
      </c>
      <c r="AK202" s="229">
        <v>2.8999999999999998E-3</v>
      </c>
      <c r="AL202" s="228">
        <v>15.2</v>
      </c>
      <c r="AM202" s="228">
        <v>-9.6999999999999993</v>
      </c>
      <c r="AN202" s="228">
        <v>24.9</v>
      </c>
      <c r="AO202" s="229">
        <v>3.5000000000000001E-3</v>
      </c>
      <c r="AP202" s="231">
        <v>4280.58</v>
      </c>
      <c r="AQ202" s="231">
        <v>4265.9799999999996</v>
      </c>
      <c r="AR202" s="228">
        <v>0</v>
      </c>
      <c r="AS202" s="228">
        <v>529</v>
      </c>
      <c r="AT202" s="228">
        <v>255</v>
      </c>
      <c r="AU202" s="228">
        <v>274</v>
      </c>
      <c r="AV202" s="229">
        <v>1.0740000000000001</v>
      </c>
      <c r="AW202" s="228">
        <v>481</v>
      </c>
      <c r="AX202" s="228">
        <v>229</v>
      </c>
      <c r="AY202" s="228">
        <v>252</v>
      </c>
      <c r="AZ202" s="229">
        <v>1.1013999999999999</v>
      </c>
      <c r="BA202" s="228">
        <v>45</v>
      </c>
      <c r="BB202" s="228">
        <v>25</v>
      </c>
      <c r="BC202" s="228">
        <v>20</v>
      </c>
      <c r="BD202" s="229">
        <v>0.78890000000000005</v>
      </c>
      <c r="BE202" s="228">
        <v>4</v>
      </c>
      <c r="BF202" s="228">
        <v>1</v>
      </c>
      <c r="BG202" s="228">
        <v>2</v>
      </c>
      <c r="BH202" s="229">
        <v>1.6875</v>
      </c>
      <c r="BI202" s="230">
        <v>3509</v>
      </c>
      <c r="BJ202" s="228">
        <v>872</v>
      </c>
      <c r="BK202" s="230">
        <v>2637</v>
      </c>
      <c r="BL202" s="229">
        <v>3.0225</v>
      </c>
      <c r="BM202" s="230">
        <v>1162</v>
      </c>
      <c r="BN202" s="228">
        <v>417</v>
      </c>
      <c r="BO202" s="228">
        <v>745</v>
      </c>
      <c r="BP202" s="229">
        <v>1.7885</v>
      </c>
      <c r="BQ202" s="230">
        <v>5200</v>
      </c>
      <c r="BR202" s="230">
        <v>1544</v>
      </c>
      <c r="BS202" s="230">
        <v>3656</v>
      </c>
      <c r="BT202" s="229">
        <v>2.3677000000000001</v>
      </c>
      <c r="BU202" s="230">
        <v>1455345</v>
      </c>
      <c r="BV202" s="230">
        <v>490894</v>
      </c>
      <c r="BW202" s="230">
        <v>964451</v>
      </c>
      <c r="BX202" s="229">
        <v>1.9646999999999999</v>
      </c>
      <c r="BY202" s="230">
        <v>3047</v>
      </c>
      <c r="BZ202" s="230">
        <v>3066</v>
      </c>
      <c r="CA202" s="228">
        <v>-19</v>
      </c>
      <c r="CB202" s="229">
        <v>-6.1000000000000004E-3</v>
      </c>
      <c r="CC202" s="230">
        <v>2899</v>
      </c>
      <c r="CD202" s="230">
        <v>2919</v>
      </c>
      <c r="CE202" s="228">
        <v>-21</v>
      </c>
      <c r="CF202" s="229">
        <v>-7.1000000000000004E-3</v>
      </c>
      <c r="CG202" s="228">
        <v>141</v>
      </c>
      <c r="CH202" s="228">
        <v>139</v>
      </c>
      <c r="CI202" s="228">
        <v>2</v>
      </c>
      <c r="CJ202" s="229">
        <v>1.5800000000000002E-2</v>
      </c>
      <c r="CK202" s="228">
        <v>8</v>
      </c>
      <c r="CL202" s="228">
        <v>8</v>
      </c>
      <c r="CM202" s="228">
        <v>0</v>
      </c>
      <c r="CN202" s="229">
        <v>0</v>
      </c>
      <c r="CO202" s="230">
        <v>1398</v>
      </c>
      <c r="CP202" s="230">
        <v>1534</v>
      </c>
      <c r="CQ202" s="228">
        <v>-136</v>
      </c>
      <c r="CR202" s="229">
        <v>-8.8700000000000001E-2</v>
      </c>
      <c r="CS202" s="228">
        <v>633</v>
      </c>
      <c r="CT202" s="228">
        <v>594</v>
      </c>
      <c r="CU202" s="228">
        <v>39</v>
      </c>
      <c r="CV202" s="229">
        <v>6.6500000000000004E-2</v>
      </c>
      <c r="CW202" s="230">
        <v>5079</v>
      </c>
      <c r="CX202" s="230">
        <v>5194</v>
      </c>
      <c r="CY202" s="228">
        <v>-115</v>
      </c>
      <c r="CZ202" s="229">
        <v>-2.2200000000000001E-2</v>
      </c>
      <c r="DA202" s="228">
        <v>33.06</v>
      </c>
      <c r="DB202" s="228">
        <v>33.630000000000003</v>
      </c>
      <c r="DC202" s="228">
        <v>-0.56999999999999995</v>
      </c>
      <c r="DD202" s="228">
        <v>-0.56999999999999995</v>
      </c>
      <c r="DE202" s="228">
        <v>44.23</v>
      </c>
      <c r="DF202" s="228">
        <v>43.99</v>
      </c>
      <c r="DG202" s="228">
        <v>-11.17</v>
      </c>
      <c r="DH202" s="228">
        <v>0.24</v>
      </c>
      <c r="DI202" s="228">
        <v>32.909999999999997</v>
      </c>
      <c r="DJ202" s="228">
        <v>33.71</v>
      </c>
      <c r="DK202" s="228">
        <v>-0.8</v>
      </c>
      <c r="DL202" s="228">
        <v>-0.8</v>
      </c>
      <c r="DM202" s="228">
        <v>33.51</v>
      </c>
      <c r="DN202" s="228">
        <v>33.47</v>
      </c>
      <c r="DO202" s="228">
        <v>0.04</v>
      </c>
      <c r="DP202" s="228">
        <v>0.04</v>
      </c>
      <c r="DQ202" s="228">
        <v>0.45</v>
      </c>
      <c r="DR202" s="228">
        <v>0.39</v>
      </c>
      <c r="DS202" s="228">
        <v>0.06</v>
      </c>
      <c r="DT202" s="229">
        <v>0.15379999999999999</v>
      </c>
      <c r="DU202" s="231">
        <v>4500</v>
      </c>
      <c r="DV202" s="231">
        <v>4200</v>
      </c>
      <c r="DW202" s="228">
        <v>0.33</v>
      </c>
      <c r="DX202" s="228">
        <v>0.48</v>
      </c>
      <c r="DY202" s="228">
        <v>-0.15</v>
      </c>
      <c r="DZ202" s="229">
        <v>-0.3125</v>
      </c>
      <c r="EA202" s="229">
        <v>4.8899999999999999E-2</v>
      </c>
      <c r="EB202" s="230">
        <v>339900</v>
      </c>
      <c r="EC202" s="229">
        <v>-3.5999999999999999E-3</v>
      </c>
      <c r="ED202" s="229">
        <v>4.8899999999999999E-2</v>
      </c>
      <c r="EE202" s="228">
        <v>-14.6</v>
      </c>
      <c r="EF202" s="229">
        <v>-3.3999999999999998E-3</v>
      </c>
      <c r="EG202" s="230">
        <v>573817</v>
      </c>
      <c r="EH202" s="230">
        <v>167361</v>
      </c>
      <c r="EI202" s="229">
        <v>2.4285999999999999</v>
      </c>
      <c r="EJ202" s="229">
        <v>0.39429999999999998</v>
      </c>
      <c r="EK202" s="231">
        <v>3665.55</v>
      </c>
      <c r="EL202" s="231">
        <v>1120.02</v>
      </c>
      <c r="EM202" s="228">
        <v>525.99</v>
      </c>
      <c r="EN202" s="228">
        <v>71.92</v>
      </c>
      <c r="EO202" s="231">
        <v>5311.56</v>
      </c>
      <c r="EP202" s="231">
        <v>1533.22</v>
      </c>
      <c r="EQ202" s="231">
        <v>3778.35</v>
      </c>
      <c r="ER202" s="229">
        <v>2.4643000000000002</v>
      </c>
      <c r="ES202" s="231">
        <v>1435.72</v>
      </c>
      <c r="ET202" s="228">
        <v>595.91999999999996</v>
      </c>
      <c r="EU202" s="231">
        <v>3046.96</v>
      </c>
      <c r="EV202" s="231">
        <v>33590487</v>
      </c>
      <c r="EW202" s="231">
        <v>5078.6000000000004</v>
      </c>
      <c r="EX202" s="231">
        <v>5070.32</v>
      </c>
      <c r="EY202" s="228">
        <v>8.2799999999999994</v>
      </c>
      <c r="EZ202" s="229">
        <v>1.6000000000000001E-3</v>
      </c>
      <c r="FA202" s="229">
        <v>0.35010000000000002</v>
      </c>
      <c r="FB202" s="227" t="s">
        <v>691</v>
      </c>
      <c r="FC202">
        <f t="shared" si="4"/>
        <v>0</v>
      </c>
    </row>
    <row r="203" spans="1:159" ht="17.25" thickBot="1" x14ac:dyDescent="0.3">
      <c r="A203" s="226">
        <v>46148</v>
      </c>
      <c r="B203" s="227" t="s">
        <v>162</v>
      </c>
      <c r="C203" s="227" t="s">
        <v>300</v>
      </c>
      <c r="D203" s="228">
        <v>175</v>
      </c>
      <c r="E203" s="228">
        <v>20</v>
      </c>
      <c r="F203" s="231">
        <v>3633</v>
      </c>
      <c r="G203" s="231">
        <v>3543.3</v>
      </c>
      <c r="H203" s="228">
        <v>89.7</v>
      </c>
      <c r="I203" s="229">
        <v>2.53E-2</v>
      </c>
      <c r="J203" s="231">
        <v>3617.9</v>
      </c>
      <c r="K203" s="231">
        <v>3534.4</v>
      </c>
      <c r="L203" s="228">
        <v>83.5</v>
      </c>
      <c r="M203" s="229">
        <v>2.3599999999999999E-2</v>
      </c>
      <c r="N203" s="231">
        <v>3633</v>
      </c>
      <c r="O203" s="231">
        <v>3543.3</v>
      </c>
      <c r="P203" s="228">
        <v>89.7</v>
      </c>
      <c r="Q203" s="229">
        <v>2.53E-2</v>
      </c>
      <c r="R203" s="231">
        <v>3655.8</v>
      </c>
      <c r="S203" s="231">
        <v>3566.8</v>
      </c>
      <c r="T203" s="228">
        <v>89</v>
      </c>
      <c r="U203" s="229">
        <v>2.5000000000000001E-2</v>
      </c>
      <c r="V203" s="231">
        <v>3669.6</v>
      </c>
      <c r="W203" s="231">
        <v>3583.6</v>
      </c>
      <c r="X203" s="228">
        <v>86</v>
      </c>
      <c r="Y203" s="229">
        <v>2.4E-2</v>
      </c>
      <c r="Z203" s="228">
        <v>15.1</v>
      </c>
      <c r="AA203" s="228">
        <v>8.9</v>
      </c>
      <c r="AB203" s="228">
        <v>6.2</v>
      </c>
      <c r="AC203" s="229">
        <v>4.1999999999999997E-3</v>
      </c>
      <c r="AD203" s="228">
        <v>15.1</v>
      </c>
      <c r="AE203" s="228">
        <v>8.9</v>
      </c>
      <c r="AF203" s="228">
        <v>6.2</v>
      </c>
      <c r="AG203" s="229">
        <v>4.1999999999999997E-3</v>
      </c>
      <c r="AH203" s="228">
        <v>37.9</v>
      </c>
      <c r="AI203" s="228">
        <v>32.4</v>
      </c>
      <c r="AJ203" s="228">
        <v>5.5</v>
      </c>
      <c r="AK203" s="229">
        <v>1.0500000000000001E-2</v>
      </c>
      <c r="AL203" s="228">
        <v>51.7</v>
      </c>
      <c r="AM203" s="228">
        <v>49.2</v>
      </c>
      <c r="AN203" s="228">
        <v>2.5</v>
      </c>
      <c r="AO203" s="229">
        <v>1.43E-2</v>
      </c>
      <c r="AP203" s="231">
        <v>3587.17</v>
      </c>
      <c r="AQ203" s="231">
        <v>3610.44</v>
      </c>
      <c r="AR203" s="228">
        <v>0</v>
      </c>
      <c r="AS203" s="228">
        <v>416</v>
      </c>
      <c r="AT203" s="228">
        <v>224</v>
      </c>
      <c r="AU203" s="228">
        <v>192</v>
      </c>
      <c r="AV203" s="229">
        <v>0.85660000000000003</v>
      </c>
      <c r="AW203" s="228">
        <v>396</v>
      </c>
      <c r="AX203" s="228">
        <v>218</v>
      </c>
      <c r="AY203" s="228">
        <v>178</v>
      </c>
      <c r="AZ203" s="229">
        <v>0.81299999999999994</v>
      </c>
      <c r="BA203" s="228">
        <v>17</v>
      </c>
      <c r="BB203" s="228">
        <v>5</v>
      </c>
      <c r="BC203" s="228">
        <v>13</v>
      </c>
      <c r="BD203" s="229">
        <v>2.8451</v>
      </c>
      <c r="BE203" s="228">
        <v>3</v>
      </c>
      <c r="BF203" s="228">
        <v>1</v>
      </c>
      <c r="BG203" s="228">
        <v>1</v>
      </c>
      <c r="BH203" s="229">
        <v>1.3529</v>
      </c>
      <c r="BI203" s="230">
        <v>1337</v>
      </c>
      <c r="BJ203" s="228">
        <v>369</v>
      </c>
      <c r="BK203" s="228">
        <v>969</v>
      </c>
      <c r="BL203" s="229">
        <v>2.6276999999999999</v>
      </c>
      <c r="BM203" s="228">
        <v>362</v>
      </c>
      <c r="BN203" s="228">
        <v>147</v>
      </c>
      <c r="BO203" s="228">
        <v>216</v>
      </c>
      <c r="BP203" s="229">
        <v>1.4690000000000001</v>
      </c>
      <c r="BQ203" s="230">
        <v>2116</v>
      </c>
      <c r="BR203" s="228">
        <v>739</v>
      </c>
      <c r="BS203" s="230">
        <v>1376</v>
      </c>
      <c r="BT203" s="229">
        <v>1.8613</v>
      </c>
      <c r="BU203" s="230">
        <v>927954</v>
      </c>
      <c r="BV203" s="230">
        <v>406692</v>
      </c>
      <c r="BW203" s="230">
        <v>521262</v>
      </c>
      <c r="BX203" s="229">
        <v>1.2817000000000001</v>
      </c>
      <c r="BY203" s="230">
        <v>3091</v>
      </c>
      <c r="BZ203" s="230">
        <v>3187</v>
      </c>
      <c r="CA203" s="228">
        <v>-96</v>
      </c>
      <c r="CB203" s="229">
        <v>-0.03</v>
      </c>
      <c r="CC203" s="230">
        <v>2951</v>
      </c>
      <c r="CD203" s="230">
        <v>3045</v>
      </c>
      <c r="CE203" s="228">
        <v>-93</v>
      </c>
      <c r="CF203" s="229">
        <v>-3.0700000000000002E-2</v>
      </c>
      <c r="CG203" s="228">
        <v>139</v>
      </c>
      <c r="CH203" s="228">
        <v>140</v>
      </c>
      <c r="CI203" s="228">
        <v>-1</v>
      </c>
      <c r="CJ203" s="229">
        <v>-0.01</v>
      </c>
      <c r="CK203" s="228">
        <v>1</v>
      </c>
      <c r="CL203" s="228">
        <v>2</v>
      </c>
      <c r="CM203" s="228">
        <v>-1</v>
      </c>
      <c r="CN203" s="229">
        <v>-0.4138</v>
      </c>
      <c r="CO203" s="228">
        <v>579</v>
      </c>
      <c r="CP203" s="228">
        <v>570</v>
      </c>
      <c r="CQ203" s="228">
        <v>9</v>
      </c>
      <c r="CR203" s="229">
        <v>1.6199999999999999E-2</v>
      </c>
      <c r="CS203" s="228">
        <v>350</v>
      </c>
      <c r="CT203" s="228">
        <v>333</v>
      </c>
      <c r="CU203" s="228">
        <v>16</v>
      </c>
      <c r="CV203" s="229">
        <v>4.9000000000000002E-2</v>
      </c>
      <c r="CW203" s="230">
        <v>4020</v>
      </c>
      <c r="CX203" s="230">
        <v>4090</v>
      </c>
      <c r="CY203" s="228">
        <v>-70</v>
      </c>
      <c r="CZ203" s="229">
        <v>-1.7100000000000001E-2</v>
      </c>
      <c r="DA203" s="228">
        <v>35.119999999999997</v>
      </c>
      <c r="DB203" s="228">
        <v>35.04</v>
      </c>
      <c r="DC203" s="228">
        <v>0.08</v>
      </c>
      <c r="DD203" s="228">
        <v>0.08</v>
      </c>
      <c r="DE203" s="228">
        <v>33.729999999999997</v>
      </c>
      <c r="DF203" s="228">
        <v>33.659999999999997</v>
      </c>
      <c r="DG203" s="228">
        <v>1.39</v>
      </c>
      <c r="DH203" s="228">
        <v>7.0000000000000007E-2</v>
      </c>
      <c r="DI203" s="228">
        <v>34.79</v>
      </c>
      <c r="DJ203" s="228">
        <v>34.69</v>
      </c>
      <c r="DK203" s="228">
        <v>0.1</v>
      </c>
      <c r="DL203" s="228">
        <v>0.1</v>
      </c>
      <c r="DM203" s="228">
        <v>36.369999999999997</v>
      </c>
      <c r="DN203" s="228">
        <v>35.92</v>
      </c>
      <c r="DO203" s="228">
        <v>0.45</v>
      </c>
      <c r="DP203" s="228">
        <v>0.45</v>
      </c>
      <c r="DQ203" s="228">
        <v>0.6</v>
      </c>
      <c r="DR203" s="228">
        <v>0.59</v>
      </c>
      <c r="DS203" s="228">
        <v>0.01</v>
      </c>
      <c r="DT203" s="229">
        <v>1.6899999999999998E-2</v>
      </c>
      <c r="DU203" s="231">
        <v>3600</v>
      </c>
      <c r="DV203" s="231">
        <v>3500</v>
      </c>
      <c r="DW203" s="228">
        <v>0.27</v>
      </c>
      <c r="DX203" s="228">
        <v>0.4</v>
      </c>
      <c r="DY203" s="228">
        <v>-0.13</v>
      </c>
      <c r="DZ203" s="229">
        <v>-0.32500000000000001</v>
      </c>
      <c r="EA203" s="229">
        <v>4.53E-2</v>
      </c>
      <c r="EB203" s="230">
        <v>391475</v>
      </c>
      <c r="EC203" s="229">
        <v>6.3E-3</v>
      </c>
      <c r="ED203" s="229">
        <v>4.53E-2</v>
      </c>
      <c r="EE203" s="228">
        <v>23.27</v>
      </c>
      <c r="EF203" s="229">
        <v>6.4999999999999997E-3</v>
      </c>
      <c r="EG203" s="230">
        <v>521157</v>
      </c>
      <c r="EH203" s="230">
        <v>207716</v>
      </c>
      <c r="EI203" s="229">
        <v>1.5089999999999999</v>
      </c>
      <c r="EJ203" s="229">
        <v>0.56159999999999999</v>
      </c>
      <c r="EK203" s="231">
        <v>1374.37</v>
      </c>
      <c r="EL203" s="228">
        <v>353.17</v>
      </c>
      <c r="EM203" s="228">
        <v>410.63</v>
      </c>
      <c r="EN203" s="228">
        <v>59.76</v>
      </c>
      <c r="EO203" s="231">
        <v>2138.17</v>
      </c>
      <c r="EP203" s="228">
        <v>735.27</v>
      </c>
      <c r="EQ203" s="231">
        <v>1402.9</v>
      </c>
      <c r="ER203" s="229">
        <v>1.9079999999999999</v>
      </c>
      <c r="ES203" s="228">
        <v>586.72</v>
      </c>
      <c r="ET203" s="228">
        <v>335.47</v>
      </c>
      <c r="EU203" s="231">
        <v>3092.15</v>
      </c>
      <c r="EV203" s="231">
        <v>32253708</v>
      </c>
      <c r="EW203" s="231">
        <v>4014.34</v>
      </c>
      <c r="EX203" s="231">
        <v>4004.36</v>
      </c>
      <c r="EY203" s="228">
        <v>9.98</v>
      </c>
      <c r="EZ203" s="229">
        <v>2.5000000000000001E-3</v>
      </c>
      <c r="FA203" s="229">
        <v>0.34310000000000002</v>
      </c>
      <c r="FB203" s="227" t="s">
        <v>691</v>
      </c>
      <c r="FC203">
        <f t="shared" si="4"/>
        <v>0</v>
      </c>
    </row>
    <row r="204" spans="1:159" ht="17.25" thickBot="1" x14ac:dyDescent="0.3">
      <c r="A204" s="226">
        <v>46148</v>
      </c>
      <c r="B204" s="227" t="s">
        <v>157</v>
      </c>
      <c r="C204" s="227" t="s">
        <v>302</v>
      </c>
      <c r="D204" s="228">
        <v>50</v>
      </c>
      <c r="E204" s="228">
        <v>20</v>
      </c>
      <c r="F204" s="231">
        <v>12169</v>
      </c>
      <c r="G204" s="231">
        <v>11987</v>
      </c>
      <c r="H204" s="228">
        <v>182</v>
      </c>
      <c r="I204" s="229">
        <v>1.52E-2</v>
      </c>
      <c r="J204" s="231">
        <v>12093</v>
      </c>
      <c r="K204" s="231">
        <v>11963</v>
      </c>
      <c r="L204" s="228">
        <v>130</v>
      </c>
      <c r="M204" s="229">
        <v>1.09E-2</v>
      </c>
      <c r="N204" s="231">
        <v>12169</v>
      </c>
      <c r="O204" s="231">
        <v>11987</v>
      </c>
      <c r="P204" s="228">
        <v>182</v>
      </c>
      <c r="Q204" s="229">
        <v>1.52E-2</v>
      </c>
      <c r="R204" s="231">
        <v>12250</v>
      </c>
      <c r="S204" s="231">
        <v>12063</v>
      </c>
      <c r="T204" s="228">
        <v>187</v>
      </c>
      <c r="U204" s="229">
        <v>1.55E-2</v>
      </c>
      <c r="V204" s="231">
        <v>12306</v>
      </c>
      <c r="W204" s="231">
        <v>12114</v>
      </c>
      <c r="X204" s="228">
        <v>192</v>
      </c>
      <c r="Y204" s="229">
        <v>1.5800000000000002E-2</v>
      </c>
      <c r="Z204" s="228">
        <v>76</v>
      </c>
      <c r="AA204" s="228">
        <v>24</v>
      </c>
      <c r="AB204" s="228">
        <v>52</v>
      </c>
      <c r="AC204" s="229">
        <v>6.3E-3</v>
      </c>
      <c r="AD204" s="228">
        <v>76</v>
      </c>
      <c r="AE204" s="228">
        <v>24</v>
      </c>
      <c r="AF204" s="228">
        <v>52</v>
      </c>
      <c r="AG204" s="229">
        <v>6.3E-3</v>
      </c>
      <c r="AH204" s="228">
        <v>157</v>
      </c>
      <c r="AI204" s="228">
        <v>100</v>
      </c>
      <c r="AJ204" s="228">
        <v>57</v>
      </c>
      <c r="AK204" s="229">
        <v>1.2999999999999999E-2</v>
      </c>
      <c r="AL204" s="228">
        <v>213</v>
      </c>
      <c r="AM204" s="228">
        <v>151</v>
      </c>
      <c r="AN204" s="228">
        <v>62</v>
      </c>
      <c r="AO204" s="229">
        <v>1.7600000000000001E-2</v>
      </c>
      <c r="AP204" s="231">
        <v>12086.92</v>
      </c>
      <c r="AQ204" s="231">
        <v>12175.75</v>
      </c>
      <c r="AR204" s="228">
        <v>0</v>
      </c>
      <c r="AS204" s="228">
        <v>550</v>
      </c>
      <c r="AT204" s="228">
        <v>614</v>
      </c>
      <c r="AU204" s="228">
        <v>-64</v>
      </c>
      <c r="AV204" s="229">
        <v>-0.1042</v>
      </c>
      <c r="AW204" s="228">
        <v>527</v>
      </c>
      <c r="AX204" s="228">
        <v>583</v>
      </c>
      <c r="AY204" s="228">
        <v>-56</v>
      </c>
      <c r="AZ204" s="229">
        <v>-9.64E-2</v>
      </c>
      <c r="BA204" s="228">
        <v>21</v>
      </c>
      <c r="BB204" s="228">
        <v>29</v>
      </c>
      <c r="BC204" s="228">
        <v>-8</v>
      </c>
      <c r="BD204" s="229">
        <v>-0.2661</v>
      </c>
      <c r="BE204" s="228">
        <v>1</v>
      </c>
      <c r="BF204" s="228">
        <v>1</v>
      </c>
      <c r="BG204" s="228">
        <v>0</v>
      </c>
      <c r="BH204" s="229">
        <v>6.6699999999999995E-2</v>
      </c>
      <c r="BI204" s="230">
        <v>1949</v>
      </c>
      <c r="BJ204" s="230">
        <v>2130</v>
      </c>
      <c r="BK204" s="228">
        <v>-181</v>
      </c>
      <c r="BL204" s="229">
        <v>-8.5000000000000006E-2</v>
      </c>
      <c r="BM204" s="228">
        <v>918</v>
      </c>
      <c r="BN204" s="230">
        <v>1015</v>
      </c>
      <c r="BO204" s="228">
        <v>-97</v>
      </c>
      <c r="BP204" s="229">
        <v>-9.5600000000000004E-2</v>
      </c>
      <c r="BQ204" s="230">
        <v>3417</v>
      </c>
      <c r="BR204" s="230">
        <v>3759</v>
      </c>
      <c r="BS204" s="228">
        <v>-342</v>
      </c>
      <c r="BT204" s="229">
        <v>-9.0999999999999998E-2</v>
      </c>
      <c r="BU204" s="230">
        <v>374083</v>
      </c>
      <c r="BV204" s="230">
        <v>359592</v>
      </c>
      <c r="BW204" s="230">
        <v>14491</v>
      </c>
      <c r="BX204" s="229">
        <v>4.0300000000000002E-2</v>
      </c>
      <c r="BY204" s="230">
        <v>3347</v>
      </c>
      <c r="BZ204" s="230">
        <v>3374</v>
      </c>
      <c r="CA204" s="228">
        <v>-27</v>
      </c>
      <c r="CB204" s="229">
        <v>-8.0999999999999996E-3</v>
      </c>
      <c r="CC204" s="230">
        <v>2786</v>
      </c>
      <c r="CD204" s="230">
        <v>2814</v>
      </c>
      <c r="CE204" s="228">
        <v>-28</v>
      </c>
      <c r="CF204" s="229">
        <v>-9.9000000000000008E-3</v>
      </c>
      <c r="CG204" s="228">
        <v>558</v>
      </c>
      <c r="CH204" s="228">
        <v>558</v>
      </c>
      <c r="CI204" s="228">
        <v>0</v>
      </c>
      <c r="CJ204" s="229">
        <v>2.0000000000000001E-4</v>
      </c>
      <c r="CK204" s="228">
        <v>3</v>
      </c>
      <c r="CL204" s="228">
        <v>3</v>
      </c>
      <c r="CM204" s="228">
        <v>0</v>
      </c>
      <c r="CN204" s="229">
        <v>0.1628</v>
      </c>
      <c r="CO204" s="230">
        <v>1407</v>
      </c>
      <c r="CP204" s="230">
        <v>1459</v>
      </c>
      <c r="CQ204" s="228">
        <v>-52</v>
      </c>
      <c r="CR204" s="229">
        <v>-3.5799999999999998E-2</v>
      </c>
      <c r="CS204" s="228">
        <v>578</v>
      </c>
      <c r="CT204" s="228">
        <v>605</v>
      </c>
      <c r="CU204" s="228">
        <v>-26</v>
      </c>
      <c r="CV204" s="229">
        <v>-4.3799999999999999E-2</v>
      </c>
      <c r="CW204" s="230">
        <v>5331</v>
      </c>
      <c r="CX204" s="230">
        <v>5438</v>
      </c>
      <c r="CY204" s="228">
        <v>-106</v>
      </c>
      <c r="CZ204" s="229">
        <v>-1.95E-2</v>
      </c>
      <c r="DA204" s="228">
        <v>25.18</v>
      </c>
      <c r="DB204" s="228">
        <v>26.26</v>
      </c>
      <c r="DC204" s="228">
        <v>-1.08</v>
      </c>
      <c r="DD204" s="228">
        <v>-1.08</v>
      </c>
      <c r="DE204" s="228">
        <v>29.8</v>
      </c>
      <c r="DF204" s="228">
        <v>29.84</v>
      </c>
      <c r="DG204" s="228">
        <v>-4.62</v>
      </c>
      <c r="DH204" s="228">
        <v>-0.04</v>
      </c>
      <c r="DI204" s="228">
        <v>24.61</v>
      </c>
      <c r="DJ204" s="228">
        <v>25.62</v>
      </c>
      <c r="DK204" s="228">
        <v>-1.01</v>
      </c>
      <c r="DL204" s="228">
        <v>-1.01</v>
      </c>
      <c r="DM204" s="228">
        <v>26.38</v>
      </c>
      <c r="DN204" s="228">
        <v>27.59</v>
      </c>
      <c r="DO204" s="228">
        <v>-1.21</v>
      </c>
      <c r="DP204" s="228">
        <v>-1.21</v>
      </c>
      <c r="DQ204" s="228">
        <v>0.41</v>
      </c>
      <c r="DR204" s="228">
        <v>0.41</v>
      </c>
      <c r="DS204" s="228">
        <v>0</v>
      </c>
      <c r="DT204" s="229">
        <v>0</v>
      </c>
      <c r="DU204" s="231">
        <v>13000</v>
      </c>
      <c r="DV204" s="231">
        <v>11000</v>
      </c>
      <c r="DW204" s="228">
        <v>0.47</v>
      </c>
      <c r="DX204" s="228">
        <v>0.48</v>
      </c>
      <c r="DY204" s="228">
        <v>-0.01</v>
      </c>
      <c r="DZ204" s="229">
        <v>-2.0799999999999999E-2</v>
      </c>
      <c r="EA204" s="229">
        <v>0.1676</v>
      </c>
      <c r="EB204" s="230">
        <v>460600</v>
      </c>
      <c r="EC204" s="229">
        <v>6.7000000000000002E-3</v>
      </c>
      <c r="ED204" s="229">
        <v>0.1676</v>
      </c>
      <c r="EE204" s="228">
        <v>88.83</v>
      </c>
      <c r="EF204" s="229">
        <v>7.3000000000000001E-3</v>
      </c>
      <c r="EG204" s="230">
        <v>202279</v>
      </c>
      <c r="EH204" s="230">
        <v>188191</v>
      </c>
      <c r="EI204" s="229">
        <v>7.4899999999999994E-2</v>
      </c>
      <c r="EJ204" s="229">
        <v>0.54069999999999996</v>
      </c>
      <c r="EK204" s="231">
        <v>2017.18</v>
      </c>
      <c r="EL204" s="228">
        <v>885.74</v>
      </c>
      <c r="EM204" s="228">
        <v>546.14</v>
      </c>
      <c r="EN204" s="228">
        <v>101.89</v>
      </c>
      <c r="EO204" s="231">
        <v>3449.05</v>
      </c>
      <c r="EP204" s="231">
        <v>3759.27</v>
      </c>
      <c r="EQ204" s="228">
        <v>-310.22000000000003</v>
      </c>
      <c r="ER204" s="229">
        <v>-8.2500000000000004E-2</v>
      </c>
      <c r="ES204" s="231">
        <v>1450.49</v>
      </c>
      <c r="ET204" s="228">
        <v>541.92999999999995</v>
      </c>
      <c r="EU204" s="231">
        <v>3350.41</v>
      </c>
      <c r="EV204" s="231">
        <v>12994504</v>
      </c>
      <c r="EW204" s="231">
        <v>5342.83</v>
      </c>
      <c r="EX204" s="231">
        <v>5399.52</v>
      </c>
      <c r="EY204" s="228">
        <v>-56.69</v>
      </c>
      <c r="EZ204" s="229">
        <v>-1.0500000000000001E-2</v>
      </c>
      <c r="FA204" s="229">
        <v>0.3372</v>
      </c>
      <c r="FB204" s="227" t="s">
        <v>691</v>
      </c>
      <c r="FC204">
        <f t="shared" si="4"/>
        <v>0</v>
      </c>
    </row>
    <row r="205" spans="1:159" ht="17.25" thickBot="1" x14ac:dyDescent="0.3">
      <c r="A205" s="226">
        <v>46148</v>
      </c>
      <c r="B205" s="227" t="s">
        <v>172</v>
      </c>
      <c r="C205" s="227" t="s">
        <v>592</v>
      </c>
      <c r="D205" s="228">
        <v>4425</v>
      </c>
      <c r="E205" s="228">
        <v>20</v>
      </c>
      <c r="F205" s="228">
        <v>169.82</v>
      </c>
      <c r="G205" s="228">
        <v>164.47</v>
      </c>
      <c r="H205" s="228">
        <v>5.35</v>
      </c>
      <c r="I205" s="229">
        <v>3.2500000000000001E-2</v>
      </c>
      <c r="J205" s="228">
        <v>168.75</v>
      </c>
      <c r="K205" s="228">
        <v>163.74</v>
      </c>
      <c r="L205" s="228">
        <v>5.01</v>
      </c>
      <c r="M205" s="229">
        <v>3.0599999999999999E-2</v>
      </c>
      <c r="N205" s="228">
        <v>169.82</v>
      </c>
      <c r="O205" s="228">
        <v>164.47</v>
      </c>
      <c r="P205" s="228">
        <v>5.35</v>
      </c>
      <c r="Q205" s="229">
        <v>3.2500000000000001E-2</v>
      </c>
      <c r="R205" s="228">
        <v>170.22</v>
      </c>
      <c r="S205" s="228">
        <v>164.7</v>
      </c>
      <c r="T205" s="228">
        <v>5.52</v>
      </c>
      <c r="U205" s="229">
        <v>3.3500000000000002E-2</v>
      </c>
      <c r="V205" s="228">
        <v>170.6</v>
      </c>
      <c r="W205" s="228">
        <v>165</v>
      </c>
      <c r="X205" s="228">
        <v>5.6</v>
      </c>
      <c r="Y205" s="229">
        <v>3.39E-2</v>
      </c>
      <c r="Z205" s="228">
        <v>1.07</v>
      </c>
      <c r="AA205" s="228">
        <v>0.73</v>
      </c>
      <c r="AB205" s="228">
        <v>0.34</v>
      </c>
      <c r="AC205" s="229">
        <v>6.3E-3</v>
      </c>
      <c r="AD205" s="228">
        <v>1.07</v>
      </c>
      <c r="AE205" s="228">
        <v>0.73</v>
      </c>
      <c r="AF205" s="228">
        <v>0.34</v>
      </c>
      <c r="AG205" s="229">
        <v>6.3E-3</v>
      </c>
      <c r="AH205" s="228">
        <v>1.47</v>
      </c>
      <c r="AI205" s="228">
        <v>0.96</v>
      </c>
      <c r="AJ205" s="228">
        <v>0.51</v>
      </c>
      <c r="AK205" s="229">
        <v>8.6999999999999994E-3</v>
      </c>
      <c r="AL205" s="228">
        <v>1.85</v>
      </c>
      <c r="AM205" s="228">
        <v>1.26</v>
      </c>
      <c r="AN205" s="228">
        <v>0.59</v>
      </c>
      <c r="AO205" s="229">
        <v>1.0999999999999999E-2</v>
      </c>
      <c r="AP205" s="228">
        <v>168.51</v>
      </c>
      <c r="AQ205" s="228">
        <v>168.53</v>
      </c>
      <c r="AR205" s="228">
        <v>0</v>
      </c>
      <c r="AS205" s="228">
        <v>411</v>
      </c>
      <c r="AT205" s="228">
        <v>292</v>
      </c>
      <c r="AU205" s="228">
        <v>119</v>
      </c>
      <c r="AV205" s="229">
        <v>0.40799999999999997</v>
      </c>
      <c r="AW205" s="228">
        <v>385</v>
      </c>
      <c r="AX205" s="228">
        <v>263</v>
      </c>
      <c r="AY205" s="228">
        <v>122</v>
      </c>
      <c r="AZ205" s="229">
        <v>0.46189999999999998</v>
      </c>
      <c r="BA205" s="228">
        <v>23</v>
      </c>
      <c r="BB205" s="228">
        <v>27</v>
      </c>
      <c r="BC205" s="228">
        <v>-4</v>
      </c>
      <c r="BD205" s="229">
        <v>-0.15920000000000001</v>
      </c>
      <c r="BE205" s="228">
        <v>3</v>
      </c>
      <c r="BF205" s="228">
        <v>2</v>
      </c>
      <c r="BG205" s="228">
        <v>2</v>
      </c>
      <c r="BH205" s="229">
        <v>1.0952</v>
      </c>
      <c r="BI205" s="230">
        <v>1077</v>
      </c>
      <c r="BJ205" s="228">
        <v>717</v>
      </c>
      <c r="BK205" s="228">
        <v>360</v>
      </c>
      <c r="BL205" s="229">
        <v>0.50249999999999995</v>
      </c>
      <c r="BM205" s="228">
        <v>400</v>
      </c>
      <c r="BN205" s="228">
        <v>212</v>
      </c>
      <c r="BO205" s="228">
        <v>187</v>
      </c>
      <c r="BP205" s="229">
        <v>0.88319999999999999</v>
      </c>
      <c r="BQ205" s="230">
        <v>1888</v>
      </c>
      <c r="BR205" s="230">
        <v>1221</v>
      </c>
      <c r="BS205" s="228">
        <v>667</v>
      </c>
      <c r="BT205" s="229">
        <v>0.54610000000000003</v>
      </c>
      <c r="BU205" s="230">
        <v>16422891</v>
      </c>
      <c r="BV205" s="230">
        <v>12558530</v>
      </c>
      <c r="BW205" s="230">
        <v>3864361</v>
      </c>
      <c r="BX205" s="229">
        <v>0.30769999999999997</v>
      </c>
      <c r="BY205" s="230">
        <v>2389</v>
      </c>
      <c r="BZ205" s="230">
        <v>2379</v>
      </c>
      <c r="CA205" s="228">
        <v>11</v>
      </c>
      <c r="CB205" s="229">
        <v>4.4000000000000003E-3</v>
      </c>
      <c r="CC205" s="230">
        <v>2277</v>
      </c>
      <c r="CD205" s="230">
        <v>2273</v>
      </c>
      <c r="CE205" s="228">
        <v>4</v>
      </c>
      <c r="CF205" s="229">
        <v>1.8E-3</v>
      </c>
      <c r="CG205" s="228">
        <v>106</v>
      </c>
      <c r="CH205" s="228">
        <v>101</v>
      </c>
      <c r="CI205" s="228">
        <v>5</v>
      </c>
      <c r="CJ205" s="229">
        <v>5.1999999999999998E-2</v>
      </c>
      <c r="CK205" s="228">
        <v>6</v>
      </c>
      <c r="CL205" s="228">
        <v>5</v>
      </c>
      <c r="CM205" s="228">
        <v>1</v>
      </c>
      <c r="CN205" s="229">
        <v>0.26150000000000001</v>
      </c>
      <c r="CO205" s="230">
        <v>1156</v>
      </c>
      <c r="CP205" s="230">
        <v>1135</v>
      </c>
      <c r="CQ205" s="228">
        <v>22</v>
      </c>
      <c r="CR205" s="229">
        <v>1.9E-2</v>
      </c>
      <c r="CS205" s="228">
        <v>538</v>
      </c>
      <c r="CT205" s="228">
        <v>554</v>
      </c>
      <c r="CU205" s="228">
        <v>-16</v>
      </c>
      <c r="CV205" s="229">
        <v>-2.9600000000000001E-2</v>
      </c>
      <c r="CW205" s="230">
        <v>4083</v>
      </c>
      <c r="CX205" s="230">
        <v>4067</v>
      </c>
      <c r="CY205" s="228">
        <v>16</v>
      </c>
      <c r="CZ205" s="229">
        <v>3.8999999999999998E-3</v>
      </c>
      <c r="DA205" s="228">
        <v>38.92</v>
      </c>
      <c r="DB205" s="228">
        <v>40.28</v>
      </c>
      <c r="DC205" s="228">
        <v>-1.36</v>
      </c>
      <c r="DD205" s="228">
        <v>-1.36</v>
      </c>
      <c r="DE205" s="228">
        <v>44.45</v>
      </c>
      <c r="DF205" s="228">
        <v>44.37</v>
      </c>
      <c r="DG205" s="228">
        <v>-5.53</v>
      </c>
      <c r="DH205" s="228">
        <v>0.08</v>
      </c>
      <c r="DI205" s="228">
        <v>39.07</v>
      </c>
      <c r="DJ205" s="228">
        <v>40.71</v>
      </c>
      <c r="DK205" s="228">
        <v>-1.64</v>
      </c>
      <c r="DL205" s="228">
        <v>-1.64</v>
      </c>
      <c r="DM205" s="228">
        <v>38.5</v>
      </c>
      <c r="DN205" s="228">
        <v>38.82</v>
      </c>
      <c r="DO205" s="228">
        <v>-0.32</v>
      </c>
      <c r="DP205" s="228">
        <v>-0.32</v>
      </c>
      <c r="DQ205" s="228">
        <v>0.46</v>
      </c>
      <c r="DR205" s="228">
        <v>0.49</v>
      </c>
      <c r="DS205" s="228">
        <v>-0.03</v>
      </c>
      <c r="DT205" s="229">
        <v>-6.1199999999999997E-2</v>
      </c>
      <c r="DU205" s="228">
        <v>190</v>
      </c>
      <c r="DV205" s="228">
        <v>180</v>
      </c>
      <c r="DW205" s="228">
        <v>0.37</v>
      </c>
      <c r="DX205" s="228">
        <v>0.3</v>
      </c>
      <c r="DY205" s="228">
        <v>7.0000000000000007E-2</v>
      </c>
      <c r="DZ205" s="229">
        <v>0.23330000000000001</v>
      </c>
      <c r="EA205" s="229">
        <v>4.7100000000000003E-2</v>
      </c>
      <c r="EB205" s="230">
        <v>6243675</v>
      </c>
      <c r="EC205" s="229">
        <v>2.3999999999999998E-3</v>
      </c>
      <c r="ED205" s="229">
        <v>4.7100000000000003E-2</v>
      </c>
      <c r="EE205" s="228">
        <v>0.02</v>
      </c>
      <c r="EF205" s="229">
        <v>1E-4</v>
      </c>
      <c r="EG205" s="230">
        <v>7618417</v>
      </c>
      <c r="EH205" s="230">
        <v>5284178</v>
      </c>
      <c r="EI205" s="229">
        <v>0.44169999999999998</v>
      </c>
      <c r="EJ205" s="229">
        <v>0.46389999999999998</v>
      </c>
      <c r="EK205" s="231">
        <v>1160.07</v>
      </c>
      <c r="EL205" s="228">
        <v>389.29</v>
      </c>
      <c r="EM205" s="228">
        <v>407.59</v>
      </c>
      <c r="EN205" s="228">
        <v>54.7</v>
      </c>
      <c r="EO205" s="231">
        <v>1956.95</v>
      </c>
      <c r="EP205" s="231">
        <v>1256.8699999999999</v>
      </c>
      <c r="EQ205" s="228">
        <v>700.08</v>
      </c>
      <c r="ER205" s="229">
        <v>0.55700000000000005</v>
      </c>
      <c r="ES205" s="231">
        <v>1269.01</v>
      </c>
      <c r="ET205" s="228">
        <v>536.04999999999995</v>
      </c>
      <c r="EU205" s="231">
        <v>2389.38</v>
      </c>
      <c r="EV205" s="231">
        <v>289041713</v>
      </c>
      <c r="EW205" s="231">
        <v>4194.4399999999996</v>
      </c>
      <c r="EX205" s="231">
        <v>4101.87</v>
      </c>
      <c r="EY205" s="228">
        <v>92.57</v>
      </c>
      <c r="EZ205" s="229">
        <v>2.2599999999999999E-2</v>
      </c>
      <c r="FA205" s="229">
        <v>0.83179999999999998</v>
      </c>
      <c r="FB205" s="227" t="s">
        <v>555</v>
      </c>
      <c r="FC205">
        <f t="shared" si="4"/>
        <v>0</v>
      </c>
    </row>
    <row r="206" spans="1:159" ht="17.25" thickBot="1" x14ac:dyDescent="0.3">
      <c r="A206" s="226">
        <v>46148</v>
      </c>
      <c r="B206" s="227" t="s">
        <v>168</v>
      </c>
      <c r="C206" s="227" t="s">
        <v>568</v>
      </c>
      <c r="D206" s="228">
        <v>400</v>
      </c>
      <c r="E206" s="228">
        <v>20</v>
      </c>
      <c r="F206" s="231">
        <v>1298.7</v>
      </c>
      <c r="G206" s="231">
        <v>1322.9</v>
      </c>
      <c r="H206" s="228">
        <v>-24.2</v>
      </c>
      <c r="I206" s="229">
        <v>-1.83E-2</v>
      </c>
      <c r="J206" s="231">
        <v>1290.3</v>
      </c>
      <c r="K206" s="231">
        <v>1315.6</v>
      </c>
      <c r="L206" s="228">
        <v>-25.3</v>
      </c>
      <c r="M206" s="229">
        <v>-1.9199999999999998E-2</v>
      </c>
      <c r="N206" s="231">
        <v>1298.7</v>
      </c>
      <c r="O206" s="231">
        <v>1322.9</v>
      </c>
      <c r="P206" s="228">
        <v>-24.2</v>
      </c>
      <c r="Q206" s="229">
        <v>-1.83E-2</v>
      </c>
      <c r="R206" s="231">
        <v>1307.5</v>
      </c>
      <c r="S206" s="231">
        <v>1331.1</v>
      </c>
      <c r="T206" s="228">
        <v>-23.6</v>
      </c>
      <c r="U206" s="229">
        <v>-1.77E-2</v>
      </c>
      <c r="V206" s="231">
        <v>1312.5</v>
      </c>
      <c r="W206" s="231">
        <v>1340</v>
      </c>
      <c r="X206" s="228">
        <v>-27.5</v>
      </c>
      <c r="Y206" s="229">
        <v>-2.0500000000000001E-2</v>
      </c>
      <c r="Z206" s="228">
        <v>8.4</v>
      </c>
      <c r="AA206" s="228">
        <v>7.3</v>
      </c>
      <c r="AB206" s="228">
        <v>1.1000000000000001</v>
      </c>
      <c r="AC206" s="229">
        <v>6.4999999999999997E-3</v>
      </c>
      <c r="AD206" s="228">
        <v>8.4</v>
      </c>
      <c r="AE206" s="228">
        <v>7.3</v>
      </c>
      <c r="AF206" s="228">
        <v>1.1000000000000001</v>
      </c>
      <c r="AG206" s="229">
        <v>6.4999999999999997E-3</v>
      </c>
      <c r="AH206" s="228">
        <v>17.2</v>
      </c>
      <c r="AI206" s="228">
        <v>15.5</v>
      </c>
      <c r="AJ206" s="228">
        <v>1.7</v>
      </c>
      <c r="AK206" s="229">
        <v>1.3299999999999999E-2</v>
      </c>
      <c r="AL206" s="228">
        <v>22.2</v>
      </c>
      <c r="AM206" s="228">
        <v>24.4</v>
      </c>
      <c r="AN206" s="228">
        <v>-2.2000000000000002</v>
      </c>
      <c r="AO206" s="229">
        <v>1.72E-2</v>
      </c>
      <c r="AP206" s="231">
        <v>1291.72</v>
      </c>
      <c r="AQ206" s="231">
        <v>1299.68</v>
      </c>
      <c r="AR206" s="228">
        <v>0</v>
      </c>
      <c r="AS206" s="228">
        <v>370</v>
      </c>
      <c r="AT206" s="228">
        <v>61</v>
      </c>
      <c r="AU206" s="228">
        <v>309</v>
      </c>
      <c r="AV206" s="229">
        <v>5.0742000000000003</v>
      </c>
      <c r="AW206" s="228">
        <v>351</v>
      </c>
      <c r="AX206" s="228">
        <v>59</v>
      </c>
      <c r="AY206" s="228">
        <v>292</v>
      </c>
      <c r="AZ206" s="229">
        <v>4.9840999999999998</v>
      </c>
      <c r="BA206" s="228">
        <v>17</v>
      </c>
      <c r="BB206" s="228">
        <v>2</v>
      </c>
      <c r="BC206" s="228">
        <v>15</v>
      </c>
      <c r="BD206" s="229">
        <v>7.0488</v>
      </c>
      <c r="BE206" s="228">
        <v>2</v>
      </c>
      <c r="BF206" s="228">
        <v>0</v>
      </c>
      <c r="BG206" s="228">
        <v>2</v>
      </c>
      <c r="BH206" s="229">
        <v>15.5</v>
      </c>
      <c r="BI206" s="228">
        <v>674</v>
      </c>
      <c r="BJ206" s="228">
        <v>154</v>
      </c>
      <c r="BK206" s="228">
        <v>520</v>
      </c>
      <c r="BL206" s="229">
        <v>3.3652000000000002</v>
      </c>
      <c r="BM206" s="228">
        <v>411</v>
      </c>
      <c r="BN206" s="228">
        <v>53</v>
      </c>
      <c r="BO206" s="228">
        <v>358</v>
      </c>
      <c r="BP206" s="229">
        <v>6.7153999999999998</v>
      </c>
      <c r="BQ206" s="230">
        <v>1455</v>
      </c>
      <c r="BR206" s="228">
        <v>269</v>
      </c>
      <c r="BS206" s="230">
        <v>1187</v>
      </c>
      <c r="BT206" s="229">
        <v>4.4170999999999996</v>
      </c>
      <c r="BU206" s="230">
        <v>3122123</v>
      </c>
      <c r="BV206" s="230">
        <v>677949</v>
      </c>
      <c r="BW206" s="230">
        <v>2444174</v>
      </c>
      <c r="BX206" s="229">
        <v>3.6052</v>
      </c>
      <c r="BY206" s="230">
        <v>1577</v>
      </c>
      <c r="BZ206" s="230">
        <v>1505</v>
      </c>
      <c r="CA206" s="228">
        <v>72</v>
      </c>
      <c r="CB206" s="229">
        <v>4.7699999999999999E-2</v>
      </c>
      <c r="CC206" s="230">
        <v>1490</v>
      </c>
      <c r="CD206" s="230">
        <v>1427</v>
      </c>
      <c r="CE206" s="228">
        <v>63</v>
      </c>
      <c r="CF206" s="229">
        <v>4.4400000000000002E-2</v>
      </c>
      <c r="CG206" s="228">
        <v>85</v>
      </c>
      <c r="CH206" s="228">
        <v>77</v>
      </c>
      <c r="CI206" s="228">
        <v>7</v>
      </c>
      <c r="CJ206" s="229">
        <v>9.5399999999999999E-2</v>
      </c>
      <c r="CK206" s="228">
        <v>2</v>
      </c>
      <c r="CL206" s="228">
        <v>1</v>
      </c>
      <c r="CM206" s="228">
        <v>1</v>
      </c>
      <c r="CN206" s="229">
        <v>1</v>
      </c>
      <c r="CO206" s="228">
        <v>477</v>
      </c>
      <c r="CP206" s="228">
        <v>385</v>
      </c>
      <c r="CQ206" s="228">
        <v>91</v>
      </c>
      <c r="CR206" s="229">
        <v>0.23730000000000001</v>
      </c>
      <c r="CS206" s="228">
        <v>321</v>
      </c>
      <c r="CT206" s="228">
        <v>264</v>
      </c>
      <c r="CU206" s="228">
        <v>57</v>
      </c>
      <c r="CV206" s="229">
        <v>0.215</v>
      </c>
      <c r="CW206" s="230">
        <v>2374</v>
      </c>
      <c r="CX206" s="230">
        <v>2154</v>
      </c>
      <c r="CY206" s="228">
        <v>220</v>
      </c>
      <c r="CZ206" s="229">
        <v>0.1021</v>
      </c>
      <c r="DA206" s="228">
        <v>30.28</v>
      </c>
      <c r="DB206" s="228">
        <v>30.53</v>
      </c>
      <c r="DC206" s="228">
        <v>-0.25</v>
      </c>
      <c r="DD206" s="228">
        <v>-0.25</v>
      </c>
      <c r="DE206" s="228">
        <v>30.28</v>
      </c>
      <c r="DF206" s="228">
        <v>30.25</v>
      </c>
      <c r="DG206" s="228">
        <v>0</v>
      </c>
      <c r="DH206" s="228">
        <v>0.03</v>
      </c>
      <c r="DI206" s="228">
        <v>30.46</v>
      </c>
      <c r="DJ206" s="228">
        <v>30.53</v>
      </c>
      <c r="DK206" s="228">
        <v>-7.0000000000000007E-2</v>
      </c>
      <c r="DL206" s="228">
        <v>-7.0000000000000007E-2</v>
      </c>
      <c r="DM206" s="228">
        <v>29.98</v>
      </c>
      <c r="DN206" s="228">
        <v>30.53</v>
      </c>
      <c r="DO206" s="228">
        <v>-0.55000000000000004</v>
      </c>
      <c r="DP206" s="228">
        <v>-0.55000000000000004</v>
      </c>
      <c r="DQ206" s="228">
        <v>0.67</v>
      </c>
      <c r="DR206" s="228">
        <v>0.68</v>
      </c>
      <c r="DS206" s="228">
        <v>-0.01</v>
      </c>
      <c r="DT206" s="229">
        <v>-1.47E-2</v>
      </c>
      <c r="DU206" s="231">
        <v>1500</v>
      </c>
      <c r="DV206" s="231">
        <v>1400</v>
      </c>
      <c r="DW206" s="228">
        <v>0.61</v>
      </c>
      <c r="DX206" s="228">
        <v>0.34</v>
      </c>
      <c r="DY206" s="228">
        <v>0.27</v>
      </c>
      <c r="DZ206" s="229">
        <v>0.79410000000000003</v>
      </c>
      <c r="EA206" s="229">
        <v>5.5199999999999999E-2</v>
      </c>
      <c r="EB206" s="230">
        <v>604400</v>
      </c>
      <c r="EC206" s="229">
        <v>6.7999999999999996E-3</v>
      </c>
      <c r="ED206" s="229">
        <v>5.5199999999999999E-2</v>
      </c>
      <c r="EE206" s="228">
        <v>7.96</v>
      </c>
      <c r="EF206" s="229">
        <v>6.1999999999999998E-3</v>
      </c>
      <c r="EG206" s="230">
        <v>1839340</v>
      </c>
      <c r="EH206" s="230">
        <v>396599</v>
      </c>
      <c r="EI206" s="229">
        <v>3.6377999999999999</v>
      </c>
      <c r="EJ206" s="229">
        <v>0.58909999999999996</v>
      </c>
      <c r="EK206" s="228">
        <v>712.29</v>
      </c>
      <c r="EL206" s="228">
        <v>413.56</v>
      </c>
      <c r="EM206" s="228">
        <v>367.95</v>
      </c>
      <c r="EN206" s="228">
        <v>19.13</v>
      </c>
      <c r="EO206" s="231">
        <v>1493.81</v>
      </c>
      <c r="EP206" s="228">
        <v>285.02999999999997</v>
      </c>
      <c r="EQ206" s="231">
        <v>1208.78</v>
      </c>
      <c r="ER206" s="229">
        <v>4.2408999999999999</v>
      </c>
      <c r="ES206" s="228">
        <v>517.80999999999995</v>
      </c>
      <c r="ET206" s="228">
        <v>329.92</v>
      </c>
      <c r="EU206" s="231">
        <v>1577.69</v>
      </c>
      <c r="EV206" s="231">
        <v>38847259</v>
      </c>
      <c r="EW206" s="231">
        <v>2425.42</v>
      </c>
      <c r="EX206" s="231">
        <v>2233.35</v>
      </c>
      <c r="EY206" s="228">
        <v>192.07</v>
      </c>
      <c r="EZ206" s="229">
        <v>8.5999999999999993E-2</v>
      </c>
      <c r="FA206" s="229">
        <v>0.47070000000000001</v>
      </c>
      <c r="FB206" s="227" t="s">
        <v>566</v>
      </c>
      <c r="FC206">
        <f t="shared" si="4"/>
        <v>0</v>
      </c>
    </row>
    <row r="207" spans="1:159" ht="17.25" thickBot="1" x14ac:dyDescent="0.3">
      <c r="A207" s="226">
        <v>46148</v>
      </c>
      <c r="B207" s="227" t="s">
        <v>162</v>
      </c>
      <c r="C207" s="227" t="s">
        <v>671</v>
      </c>
      <c r="D207" s="228">
        <v>550</v>
      </c>
      <c r="E207" s="228">
        <v>20</v>
      </c>
      <c r="F207" s="231">
        <v>1133.5999999999999</v>
      </c>
      <c r="G207" s="231">
        <v>1092.7</v>
      </c>
      <c r="H207" s="228">
        <v>40.9</v>
      </c>
      <c r="I207" s="229">
        <v>3.7400000000000003E-2</v>
      </c>
      <c r="J207" s="231">
        <v>1127.9000000000001</v>
      </c>
      <c r="K207" s="231">
        <v>1087.0999999999999</v>
      </c>
      <c r="L207" s="228">
        <v>40.799999999999997</v>
      </c>
      <c r="M207" s="229">
        <v>3.7499999999999999E-2</v>
      </c>
      <c r="N207" s="231">
        <v>1133.5999999999999</v>
      </c>
      <c r="O207" s="231">
        <v>1092.7</v>
      </c>
      <c r="P207" s="228">
        <v>40.9</v>
      </c>
      <c r="Q207" s="229">
        <v>3.7400000000000003E-2</v>
      </c>
      <c r="R207" s="231">
        <v>1139.8</v>
      </c>
      <c r="S207" s="231">
        <v>1100.3</v>
      </c>
      <c r="T207" s="228">
        <v>39.5</v>
      </c>
      <c r="U207" s="229">
        <v>3.5900000000000001E-2</v>
      </c>
      <c r="V207" s="231">
        <v>1142</v>
      </c>
      <c r="W207" s="231">
        <v>1083</v>
      </c>
      <c r="X207" s="228">
        <v>59</v>
      </c>
      <c r="Y207" s="229">
        <v>5.45E-2</v>
      </c>
      <c r="Z207" s="228">
        <v>5.7</v>
      </c>
      <c r="AA207" s="228">
        <v>5.6</v>
      </c>
      <c r="AB207" s="228">
        <v>0.1</v>
      </c>
      <c r="AC207" s="229">
        <v>5.1000000000000004E-3</v>
      </c>
      <c r="AD207" s="228">
        <v>5.7</v>
      </c>
      <c r="AE207" s="228">
        <v>5.6</v>
      </c>
      <c r="AF207" s="228">
        <v>0.1</v>
      </c>
      <c r="AG207" s="229">
        <v>5.1000000000000004E-3</v>
      </c>
      <c r="AH207" s="228">
        <v>11.9</v>
      </c>
      <c r="AI207" s="228">
        <v>13.2</v>
      </c>
      <c r="AJ207" s="228">
        <v>-1.3</v>
      </c>
      <c r="AK207" s="229">
        <v>1.06E-2</v>
      </c>
      <c r="AL207" s="228">
        <v>14.1</v>
      </c>
      <c r="AM207" s="228">
        <v>-4.0999999999999996</v>
      </c>
      <c r="AN207" s="228">
        <v>18.2</v>
      </c>
      <c r="AO207" s="229">
        <v>1.2500000000000001E-2</v>
      </c>
      <c r="AP207" s="231">
        <v>1115.8900000000001</v>
      </c>
      <c r="AQ207" s="231">
        <v>1123.25</v>
      </c>
      <c r="AR207" s="228">
        <v>0</v>
      </c>
      <c r="AS207" s="228">
        <v>125</v>
      </c>
      <c r="AT207" s="228">
        <v>141</v>
      </c>
      <c r="AU207" s="228">
        <v>-16</v>
      </c>
      <c r="AV207" s="229">
        <v>-0.1135</v>
      </c>
      <c r="AW207" s="228">
        <v>120</v>
      </c>
      <c r="AX207" s="228">
        <v>137</v>
      </c>
      <c r="AY207" s="228">
        <v>-18</v>
      </c>
      <c r="AZ207" s="229">
        <v>-0.12759999999999999</v>
      </c>
      <c r="BA207" s="228">
        <v>5</v>
      </c>
      <c r="BB207" s="228">
        <v>3</v>
      </c>
      <c r="BC207" s="228">
        <v>1</v>
      </c>
      <c r="BD207" s="229">
        <v>0.46150000000000002</v>
      </c>
      <c r="BE207" s="228">
        <v>0</v>
      </c>
      <c r="BF207" s="228">
        <v>0</v>
      </c>
      <c r="BG207" s="228">
        <v>0</v>
      </c>
      <c r="BH207" s="229">
        <v>0.5</v>
      </c>
      <c r="BI207" s="228">
        <v>241</v>
      </c>
      <c r="BJ207" s="228">
        <v>149</v>
      </c>
      <c r="BK207" s="228">
        <v>93</v>
      </c>
      <c r="BL207" s="229">
        <v>0.623</v>
      </c>
      <c r="BM207" s="228">
        <v>58</v>
      </c>
      <c r="BN207" s="228">
        <v>73</v>
      </c>
      <c r="BO207" s="228">
        <v>-15</v>
      </c>
      <c r="BP207" s="229">
        <v>-0.20530000000000001</v>
      </c>
      <c r="BQ207" s="228">
        <v>424</v>
      </c>
      <c r="BR207" s="228">
        <v>362</v>
      </c>
      <c r="BS207" s="228">
        <v>62</v>
      </c>
      <c r="BT207" s="229">
        <v>0.1701</v>
      </c>
      <c r="BU207" s="230">
        <v>1301223</v>
      </c>
      <c r="BV207" s="230">
        <v>915067</v>
      </c>
      <c r="BW207" s="230">
        <v>386156</v>
      </c>
      <c r="BX207" s="229">
        <v>0.42199999999999999</v>
      </c>
      <c r="BY207" s="228">
        <v>509</v>
      </c>
      <c r="BZ207" s="228">
        <v>510</v>
      </c>
      <c r="CA207" s="228">
        <v>-1</v>
      </c>
      <c r="CB207" s="229">
        <v>-2.2000000000000001E-3</v>
      </c>
      <c r="CC207" s="228">
        <v>505</v>
      </c>
      <c r="CD207" s="228">
        <v>506</v>
      </c>
      <c r="CE207" s="228">
        <v>-1</v>
      </c>
      <c r="CF207" s="229">
        <v>-1.6999999999999999E-3</v>
      </c>
      <c r="CG207" s="228">
        <v>4</v>
      </c>
      <c r="CH207" s="228">
        <v>4</v>
      </c>
      <c r="CI207" s="228">
        <v>0</v>
      </c>
      <c r="CJ207" s="229">
        <v>-5.5599999999999997E-2</v>
      </c>
      <c r="CK207" s="228">
        <v>0</v>
      </c>
      <c r="CL207" s="228">
        <v>0</v>
      </c>
      <c r="CM207" s="228">
        <v>0</v>
      </c>
      <c r="CN207" s="229">
        <v>0</v>
      </c>
      <c r="CO207" s="228">
        <v>144</v>
      </c>
      <c r="CP207" s="228">
        <v>133</v>
      </c>
      <c r="CQ207" s="228">
        <v>11</v>
      </c>
      <c r="CR207" s="229">
        <v>8.6499999999999994E-2</v>
      </c>
      <c r="CS207" s="228">
        <v>61</v>
      </c>
      <c r="CT207" s="228">
        <v>55</v>
      </c>
      <c r="CU207" s="228">
        <v>6</v>
      </c>
      <c r="CV207" s="229">
        <v>0.10970000000000001</v>
      </c>
      <c r="CW207" s="228">
        <v>715</v>
      </c>
      <c r="CX207" s="228">
        <v>698</v>
      </c>
      <c r="CY207" s="228">
        <v>16</v>
      </c>
      <c r="CZ207" s="229">
        <v>2.35E-2</v>
      </c>
      <c r="DA207" s="228">
        <v>39.42</v>
      </c>
      <c r="DB207" s="228">
        <v>40.36</v>
      </c>
      <c r="DC207" s="228">
        <v>-0.94</v>
      </c>
      <c r="DD207" s="228">
        <v>-0.94</v>
      </c>
      <c r="DE207" s="228">
        <v>42.6</v>
      </c>
      <c r="DF207" s="228">
        <v>42.41</v>
      </c>
      <c r="DG207" s="228">
        <v>-3.18</v>
      </c>
      <c r="DH207" s="228">
        <v>0.19</v>
      </c>
      <c r="DI207" s="228">
        <v>39.049999999999997</v>
      </c>
      <c r="DJ207" s="228">
        <v>39.409999999999997</v>
      </c>
      <c r="DK207" s="228">
        <v>-0.36</v>
      </c>
      <c r="DL207" s="228">
        <v>-0.36</v>
      </c>
      <c r="DM207" s="228">
        <v>40.950000000000003</v>
      </c>
      <c r="DN207" s="228">
        <v>42.31</v>
      </c>
      <c r="DO207" s="228">
        <v>-1.36</v>
      </c>
      <c r="DP207" s="228">
        <v>-1.36</v>
      </c>
      <c r="DQ207" s="228">
        <v>0.42</v>
      </c>
      <c r="DR207" s="228">
        <v>0.42</v>
      </c>
      <c r="DS207" s="228">
        <v>0</v>
      </c>
      <c r="DT207" s="229">
        <v>0</v>
      </c>
      <c r="DU207" s="231">
        <v>1200</v>
      </c>
      <c r="DV207" s="231">
        <v>1100</v>
      </c>
      <c r="DW207" s="228">
        <v>0.24</v>
      </c>
      <c r="DX207" s="228">
        <v>0.49</v>
      </c>
      <c r="DY207" s="228">
        <v>-0.25</v>
      </c>
      <c r="DZ207" s="229">
        <v>-0.51019999999999999</v>
      </c>
      <c r="EA207" s="229">
        <v>8.6E-3</v>
      </c>
      <c r="EB207" s="230">
        <v>40700</v>
      </c>
      <c r="EC207" s="229">
        <v>5.4999999999999997E-3</v>
      </c>
      <c r="ED207" s="229">
        <v>8.6E-3</v>
      </c>
      <c r="EE207" s="228">
        <v>7.36</v>
      </c>
      <c r="EF207" s="229">
        <v>6.6E-3</v>
      </c>
      <c r="EG207" s="230">
        <v>686655</v>
      </c>
      <c r="EH207" s="230">
        <v>350894</v>
      </c>
      <c r="EI207" s="229">
        <v>0.95689999999999997</v>
      </c>
      <c r="EJ207" s="229">
        <v>0.52769999999999995</v>
      </c>
      <c r="EK207" s="228">
        <v>253.57</v>
      </c>
      <c r="EL207" s="228">
        <v>56.35</v>
      </c>
      <c r="EM207" s="228">
        <v>122.78</v>
      </c>
      <c r="EN207" s="228">
        <v>13.37</v>
      </c>
      <c r="EO207" s="228">
        <v>432.7</v>
      </c>
      <c r="EP207" s="228">
        <v>361.16</v>
      </c>
      <c r="EQ207" s="228">
        <v>71.540000000000006</v>
      </c>
      <c r="ER207" s="229">
        <v>0.1981</v>
      </c>
      <c r="ES207" s="228">
        <v>151.11000000000001</v>
      </c>
      <c r="ET207" s="228">
        <v>58.57</v>
      </c>
      <c r="EU207" s="228">
        <v>509.34</v>
      </c>
      <c r="EV207" s="231">
        <v>27343613</v>
      </c>
      <c r="EW207" s="228">
        <v>719.02</v>
      </c>
      <c r="EX207" s="228">
        <v>683.75</v>
      </c>
      <c r="EY207" s="228">
        <v>35.270000000000003</v>
      </c>
      <c r="EZ207" s="229">
        <v>5.16E-2</v>
      </c>
      <c r="FA207" s="229">
        <v>0.23050000000000001</v>
      </c>
      <c r="FB207" s="227" t="s">
        <v>691</v>
      </c>
      <c r="FC207">
        <f t="shared" si="4"/>
        <v>0</v>
      </c>
    </row>
    <row r="208" spans="1:159" ht="17.25" thickBot="1" x14ac:dyDescent="0.3">
      <c r="A208" s="226">
        <v>46148</v>
      </c>
      <c r="B208" s="227" t="s">
        <v>498</v>
      </c>
      <c r="C208" s="227" t="s">
        <v>303</v>
      </c>
      <c r="D208" s="228">
        <v>1355</v>
      </c>
      <c r="E208" s="228">
        <v>20</v>
      </c>
      <c r="F208" s="228">
        <v>664.5</v>
      </c>
      <c r="G208" s="228">
        <v>646.25</v>
      </c>
      <c r="H208" s="228">
        <v>18.25</v>
      </c>
      <c r="I208" s="229">
        <v>2.8199999999999999E-2</v>
      </c>
      <c r="J208" s="228">
        <v>660</v>
      </c>
      <c r="K208" s="228">
        <v>642.04999999999995</v>
      </c>
      <c r="L208" s="228">
        <v>17.95</v>
      </c>
      <c r="M208" s="229">
        <v>2.8000000000000001E-2</v>
      </c>
      <c r="N208" s="228">
        <v>664.5</v>
      </c>
      <c r="O208" s="228">
        <v>646.25</v>
      </c>
      <c r="P208" s="228">
        <v>18.25</v>
      </c>
      <c r="Q208" s="229">
        <v>2.8199999999999999E-2</v>
      </c>
      <c r="R208" s="228">
        <v>668.5</v>
      </c>
      <c r="S208" s="228">
        <v>650.5</v>
      </c>
      <c r="T208" s="228">
        <v>18</v>
      </c>
      <c r="U208" s="229">
        <v>2.7699999999999999E-2</v>
      </c>
      <c r="V208" s="228">
        <v>669.65</v>
      </c>
      <c r="W208" s="228">
        <v>651.15</v>
      </c>
      <c r="X208" s="228">
        <v>18.5</v>
      </c>
      <c r="Y208" s="229">
        <v>2.8400000000000002E-2</v>
      </c>
      <c r="Z208" s="228">
        <v>4.5</v>
      </c>
      <c r="AA208" s="228">
        <v>4.2</v>
      </c>
      <c r="AB208" s="228">
        <v>0.3</v>
      </c>
      <c r="AC208" s="229">
        <v>6.7999999999999996E-3</v>
      </c>
      <c r="AD208" s="228">
        <v>4.5</v>
      </c>
      <c r="AE208" s="228">
        <v>4.2</v>
      </c>
      <c r="AF208" s="228">
        <v>0.3</v>
      </c>
      <c r="AG208" s="229">
        <v>6.7999999999999996E-3</v>
      </c>
      <c r="AH208" s="228">
        <v>8.5</v>
      </c>
      <c r="AI208" s="228">
        <v>8.4499999999999993</v>
      </c>
      <c r="AJ208" s="228">
        <v>0.05</v>
      </c>
      <c r="AK208" s="229">
        <v>1.29E-2</v>
      </c>
      <c r="AL208" s="228">
        <v>9.65</v>
      </c>
      <c r="AM208" s="228">
        <v>9.1</v>
      </c>
      <c r="AN208" s="228">
        <v>0.55000000000000004</v>
      </c>
      <c r="AO208" s="229">
        <v>1.46E-2</v>
      </c>
      <c r="AP208" s="228">
        <v>658.35</v>
      </c>
      <c r="AQ208" s="228">
        <v>661.5</v>
      </c>
      <c r="AR208" s="228">
        <v>0</v>
      </c>
      <c r="AS208" s="228">
        <v>200</v>
      </c>
      <c r="AT208" s="228">
        <v>67</v>
      </c>
      <c r="AU208" s="228">
        <v>133</v>
      </c>
      <c r="AV208" s="229">
        <v>1.9824999999999999</v>
      </c>
      <c r="AW208" s="228">
        <v>192</v>
      </c>
      <c r="AX208" s="228">
        <v>63</v>
      </c>
      <c r="AY208" s="228">
        <v>129</v>
      </c>
      <c r="AZ208" s="229">
        <v>2.0312999999999999</v>
      </c>
      <c r="BA208" s="228">
        <v>7</v>
      </c>
      <c r="BB208" s="228">
        <v>4</v>
      </c>
      <c r="BC208" s="228">
        <v>4</v>
      </c>
      <c r="BD208" s="229">
        <v>0.97499999999999998</v>
      </c>
      <c r="BE208" s="228">
        <v>1</v>
      </c>
      <c r="BF208" s="228">
        <v>0</v>
      </c>
      <c r="BG208" s="228">
        <v>1</v>
      </c>
      <c r="BH208" s="229">
        <v>0</v>
      </c>
      <c r="BI208" s="228">
        <v>448</v>
      </c>
      <c r="BJ208" s="228">
        <v>145</v>
      </c>
      <c r="BK208" s="228">
        <v>304</v>
      </c>
      <c r="BL208" s="229">
        <v>2.0975999999999999</v>
      </c>
      <c r="BM208" s="228">
        <v>203</v>
      </c>
      <c r="BN208" s="228">
        <v>54</v>
      </c>
      <c r="BO208" s="228">
        <v>149</v>
      </c>
      <c r="BP208" s="229">
        <v>2.7696000000000001</v>
      </c>
      <c r="BQ208" s="228">
        <v>851</v>
      </c>
      <c r="BR208" s="228">
        <v>266</v>
      </c>
      <c r="BS208" s="228">
        <v>586</v>
      </c>
      <c r="BT208" s="229">
        <v>2.2050999999999998</v>
      </c>
      <c r="BU208" s="230">
        <v>1878870</v>
      </c>
      <c r="BV208" s="230">
        <v>1374512</v>
      </c>
      <c r="BW208" s="230">
        <v>504358</v>
      </c>
      <c r="BX208" s="229">
        <v>0.3669</v>
      </c>
      <c r="BY208" s="230">
        <v>1870</v>
      </c>
      <c r="BZ208" s="230">
        <v>1919</v>
      </c>
      <c r="CA208" s="228">
        <v>-49</v>
      </c>
      <c r="CB208" s="229">
        <v>-2.5600000000000001E-2</v>
      </c>
      <c r="CC208" s="230">
        <v>1849</v>
      </c>
      <c r="CD208" s="230">
        <v>1897</v>
      </c>
      <c r="CE208" s="228">
        <v>-48</v>
      </c>
      <c r="CF208" s="229">
        <v>-2.5499999999999998E-2</v>
      </c>
      <c r="CG208" s="228">
        <v>21</v>
      </c>
      <c r="CH208" s="228">
        <v>21</v>
      </c>
      <c r="CI208" s="228">
        <v>-1</v>
      </c>
      <c r="CJ208" s="229">
        <v>-2.9700000000000001E-2</v>
      </c>
      <c r="CK208" s="228">
        <v>1</v>
      </c>
      <c r="CL208" s="228">
        <v>1</v>
      </c>
      <c r="CM208" s="228">
        <v>0</v>
      </c>
      <c r="CN208" s="229">
        <v>0</v>
      </c>
      <c r="CO208" s="228">
        <v>345</v>
      </c>
      <c r="CP208" s="228">
        <v>313</v>
      </c>
      <c r="CQ208" s="228">
        <v>32</v>
      </c>
      <c r="CR208" s="229">
        <v>0.10299999999999999</v>
      </c>
      <c r="CS208" s="228">
        <v>226</v>
      </c>
      <c r="CT208" s="228">
        <v>221</v>
      </c>
      <c r="CU208" s="228">
        <v>5</v>
      </c>
      <c r="CV208" s="229">
        <v>2.4899999999999999E-2</v>
      </c>
      <c r="CW208" s="230">
        <v>2442</v>
      </c>
      <c r="CX208" s="230">
        <v>2453</v>
      </c>
      <c r="CY208" s="228">
        <v>-11</v>
      </c>
      <c r="CZ208" s="229">
        <v>-4.5999999999999999E-3</v>
      </c>
      <c r="DA208" s="228">
        <v>34.68</v>
      </c>
      <c r="DB208" s="228">
        <v>34.869999999999997</v>
      </c>
      <c r="DC208" s="228">
        <v>-0.19</v>
      </c>
      <c r="DD208" s="228">
        <v>-0.19</v>
      </c>
      <c r="DE208" s="228">
        <v>41.13</v>
      </c>
      <c r="DF208" s="228">
        <v>41.06</v>
      </c>
      <c r="DG208" s="228">
        <v>-6.45</v>
      </c>
      <c r="DH208" s="228">
        <v>7.0000000000000007E-2</v>
      </c>
      <c r="DI208" s="228">
        <v>34.58</v>
      </c>
      <c r="DJ208" s="228">
        <v>34.619999999999997</v>
      </c>
      <c r="DK208" s="228">
        <v>-0.04</v>
      </c>
      <c r="DL208" s="228">
        <v>-0.04</v>
      </c>
      <c r="DM208" s="228">
        <v>34.909999999999997</v>
      </c>
      <c r="DN208" s="228">
        <v>35.549999999999997</v>
      </c>
      <c r="DO208" s="228">
        <v>-0.64</v>
      </c>
      <c r="DP208" s="228">
        <v>-0.64</v>
      </c>
      <c r="DQ208" s="228">
        <v>0.66</v>
      </c>
      <c r="DR208" s="228">
        <v>0.71</v>
      </c>
      <c r="DS208" s="228">
        <v>-0.05</v>
      </c>
      <c r="DT208" s="229">
        <v>-7.0400000000000004E-2</v>
      </c>
      <c r="DU208" s="228">
        <v>700</v>
      </c>
      <c r="DV208" s="228">
        <v>650</v>
      </c>
      <c r="DW208" s="228">
        <v>0.45</v>
      </c>
      <c r="DX208" s="228">
        <v>0.37</v>
      </c>
      <c r="DY208" s="228">
        <v>0.08</v>
      </c>
      <c r="DZ208" s="229">
        <v>0.2162</v>
      </c>
      <c r="EA208" s="229">
        <v>1.14E-2</v>
      </c>
      <c r="EB208" s="230">
        <v>329265</v>
      </c>
      <c r="EC208" s="229">
        <v>6.0000000000000001E-3</v>
      </c>
      <c r="ED208" s="229">
        <v>1.14E-2</v>
      </c>
      <c r="EE208" s="228">
        <v>3.15</v>
      </c>
      <c r="EF208" s="229">
        <v>4.7999999999999996E-3</v>
      </c>
      <c r="EG208" s="230">
        <v>983760</v>
      </c>
      <c r="EH208" s="230">
        <v>794966</v>
      </c>
      <c r="EI208" s="229">
        <v>0.23749999999999999</v>
      </c>
      <c r="EJ208" s="229">
        <v>0.52359999999999995</v>
      </c>
      <c r="EK208" s="228">
        <v>464.5</v>
      </c>
      <c r="EL208" s="228">
        <v>200.7</v>
      </c>
      <c r="EM208" s="228">
        <v>197.72</v>
      </c>
      <c r="EN208" s="228">
        <v>12.51</v>
      </c>
      <c r="EO208" s="228">
        <v>862.92</v>
      </c>
      <c r="EP208" s="228">
        <v>267.05</v>
      </c>
      <c r="EQ208" s="228">
        <v>595.87</v>
      </c>
      <c r="ER208" s="229">
        <v>2.2313000000000001</v>
      </c>
      <c r="ES208" s="228">
        <v>351.01</v>
      </c>
      <c r="ET208" s="228">
        <v>218.95</v>
      </c>
      <c r="EU208" s="231">
        <v>1870.43</v>
      </c>
      <c r="EV208" s="231">
        <v>84189026</v>
      </c>
      <c r="EW208" s="231">
        <v>2440.39</v>
      </c>
      <c r="EX208" s="231">
        <v>2397.02</v>
      </c>
      <c r="EY208" s="228">
        <v>43.37</v>
      </c>
      <c r="EZ208" s="229">
        <v>1.8100000000000002E-2</v>
      </c>
      <c r="FA208" s="229">
        <v>0.4365</v>
      </c>
      <c r="FB208" s="227" t="s">
        <v>691</v>
      </c>
      <c r="FC208">
        <f t="shared" si="4"/>
        <v>0</v>
      </c>
    </row>
    <row r="209" spans="1:159" ht="17.25" thickBot="1" x14ac:dyDescent="0.3">
      <c r="A209" s="226">
        <v>46148</v>
      </c>
      <c r="B209" s="227" t="s">
        <v>168</v>
      </c>
      <c r="C209" s="227" t="s">
        <v>585</v>
      </c>
      <c r="D209" s="228">
        <v>1125</v>
      </c>
      <c r="E209" s="228">
        <v>20</v>
      </c>
      <c r="F209" s="228">
        <v>512.5</v>
      </c>
      <c r="G209" s="228">
        <v>514.35</v>
      </c>
      <c r="H209" s="228">
        <v>-1.85</v>
      </c>
      <c r="I209" s="229">
        <v>-3.5999999999999999E-3</v>
      </c>
      <c r="J209" s="228">
        <v>508.95</v>
      </c>
      <c r="K209" s="228">
        <v>511.7</v>
      </c>
      <c r="L209" s="228">
        <v>-2.75</v>
      </c>
      <c r="M209" s="229">
        <v>-5.4000000000000003E-3</v>
      </c>
      <c r="N209" s="228">
        <v>512.5</v>
      </c>
      <c r="O209" s="228">
        <v>514.35</v>
      </c>
      <c r="P209" s="228">
        <v>-1.85</v>
      </c>
      <c r="Q209" s="229">
        <v>-3.5999999999999999E-3</v>
      </c>
      <c r="R209" s="228">
        <v>515.79999999999995</v>
      </c>
      <c r="S209" s="228">
        <v>517.29999999999995</v>
      </c>
      <c r="T209" s="228">
        <v>-1.5</v>
      </c>
      <c r="U209" s="229">
        <v>-2.8999999999999998E-3</v>
      </c>
      <c r="V209" s="228">
        <v>518.54999999999995</v>
      </c>
      <c r="W209" s="228">
        <v>520.9</v>
      </c>
      <c r="X209" s="228">
        <v>-2.35</v>
      </c>
      <c r="Y209" s="229">
        <v>-4.4999999999999997E-3</v>
      </c>
      <c r="Z209" s="228">
        <v>3.55</v>
      </c>
      <c r="AA209" s="228">
        <v>2.65</v>
      </c>
      <c r="AB209" s="228">
        <v>0.9</v>
      </c>
      <c r="AC209" s="229">
        <v>7.0000000000000001E-3</v>
      </c>
      <c r="AD209" s="228">
        <v>3.55</v>
      </c>
      <c r="AE209" s="228">
        <v>2.65</v>
      </c>
      <c r="AF209" s="228">
        <v>0.9</v>
      </c>
      <c r="AG209" s="229">
        <v>7.0000000000000001E-3</v>
      </c>
      <c r="AH209" s="228">
        <v>6.85</v>
      </c>
      <c r="AI209" s="228">
        <v>5.6</v>
      </c>
      <c r="AJ209" s="228">
        <v>1.25</v>
      </c>
      <c r="AK209" s="229">
        <v>1.35E-2</v>
      </c>
      <c r="AL209" s="228">
        <v>9.6</v>
      </c>
      <c r="AM209" s="228">
        <v>9.1999999999999993</v>
      </c>
      <c r="AN209" s="228">
        <v>0.4</v>
      </c>
      <c r="AO209" s="229">
        <v>1.89E-2</v>
      </c>
      <c r="AP209" s="228">
        <v>509.76</v>
      </c>
      <c r="AQ209" s="228">
        <v>512.16</v>
      </c>
      <c r="AR209" s="228">
        <v>0</v>
      </c>
      <c r="AS209" s="228">
        <v>210</v>
      </c>
      <c r="AT209" s="228">
        <v>277</v>
      </c>
      <c r="AU209" s="228">
        <v>-66</v>
      </c>
      <c r="AV209" s="229">
        <v>-0.23949999999999999</v>
      </c>
      <c r="AW209" s="228">
        <v>202</v>
      </c>
      <c r="AX209" s="228">
        <v>266</v>
      </c>
      <c r="AY209" s="228">
        <v>-64</v>
      </c>
      <c r="AZ209" s="229">
        <v>-0.2419</v>
      </c>
      <c r="BA209" s="228">
        <v>7</v>
      </c>
      <c r="BB209" s="228">
        <v>9</v>
      </c>
      <c r="BC209" s="228">
        <v>-2</v>
      </c>
      <c r="BD209" s="229">
        <v>-0.25</v>
      </c>
      <c r="BE209" s="228">
        <v>2</v>
      </c>
      <c r="BF209" s="228">
        <v>2</v>
      </c>
      <c r="BG209" s="228">
        <v>0</v>
      </c>
      <c r="BH209" s="229">
        <v>0.2069</v>
      </c>
      <c r="BI209" s="228">
        <v>364</v>
      </c>
      <c r="BJ209" s="228">
        <v>417</v>
      </c>
      <c r="BK209" s="228">
        <v>-53</v>
      </c>
      <c r="BL209" s="229">
        <v>-0.127</v>
      </c>
      <c r="BM209" s="228">
        <v>210</v>
      </c>
      <c r="BN209" s="228">
        <v>258</v>
      </c>
      <c r="BO209" s="228">
        <v>-48</v>
      </c>
      <c r="BP209" s="229">
        <v>-0.18490000000000001</v>
      </c>
      <c r="BQ209" s="228">
        <v>785</v>
      </c>
      <c r="BR209" s="228">
        <v>952</v>
      </c>
      <c r="BS209" s="228">
        <v>-167</v>
      </c>
      <c r="BT209" s="229">
        <v>-0.1754</v>
      </c>
      <c r="BU209" s="230">
        <v>4718025</v>
      </c>
      <c r="BV209" s="230">
        <v>5122816</v>
      </c>
      <c r="BW209" s="230">
        <v>-404791</v>
      </c>
      <c r="BX209" s="229">
        <v>-7.9000000000000001E-2</v>
      </c>
      <c r="BY209" s="230">
        <v>2544</v>
      </c>
      <c r="BZ209" s="230">
        <v>2528</v>
      </c>
      <c r="CA209" s="228">
        <v>16</v>
      </c>
      <c r="CB209" s="229">
        <v>6.1999999999999998E-3</v>
      </c>
      <c r="CC209" s="230">
        <v>2484</v>
      </c>
      <c r="CD209" s="230">
        <v>2470</v>
      </c>
      <c r="CE209" s="228">
        <v>14</v>
      </c>
      <c r="CF209" s="229">
        <v>5.4999999999999997E-3</v>
      </c>
      <c r="CG209" s="228">
        <v>57</v>
      </c>
      <c r="CH209" s="228">
        <v>56</v>
      </c>
      <c r="CI209" s="228">
        <v>1</v>
      </c>
      <c r="CJ209" s="229">
        <v>2.2700000000000001E-2</v>
      </c>
      <c r="CK209" s="228">
        <v>3</v>
      </c>
      <c r="CL209" s="228">
        <v>2</v>
      </c>
      <c r="CM209" s="228">
        <v>1</v>
      </c>
      <c r="CN209" s="229">
        <v>0.3125</v>
      </c>
      <c r="CO209" s="228">
        <v>595</v>
      </c>
      <c r="CP209" s="228">
        <v>576</v>
      </c>
      <c r="CQ209" s="228">
        <v>19</v>
      </c>
      <c r="CR209" s="229">
        <v>3.39E-2</v>
      </c>
      <c r="CS209" s="228">
        <v>331</v>
      </c>
      <c r="CT209" s="228">
        <v>330</v>
      </c>
      <c r="CU209" s="228">
        <v>1</v>
      </c>
      <c r="CV209" s="229">
        <v>2.8E-3</v>
      </c>
      <c r="CW209" s="230">
        <v>3470</v>
      </c>
      <c r="CX209" s="230">
        <v>3434</v>
      </c>
      <c r="CY209" s="228">
        <v>36</v>
      </c>
      <c r="CZ209" s="229">
        <v>1.0500000000000001E-2</v>
      </c>
      <c r="DA209" s="228">
        <v>30.17</v>
      </c>
      <c r="DB209" s="228">
        <v>31.9</v>
      </c>
      <c r="DC209" s="228">
        <v>-1.73</v>
      </c>
      <c r="DD209" s="228">
        <v>-1.73</v>
      </c>
      <c r="DE209" s="228">
        <v>38.729999999999997</v>
      </c>
      <c r="DF209" s="228">
        <v>38.82</v>
      </c>
      <c r="DG209" s="228">
        <v>-8.56</v>
      </c>
      <c r="DH209" s="228">
        <v>-0.09</v>
      </c>
      <c r="DI209" s="228">
        <v>29.9</v>
      </c>
      <c r="DJ209" s="228">
        <v>31.36</v>
      </c>
      <c r="DK209" s="228">
        <v>-1.46</v>
      </c>
      <c r="DL209" s="228">
        <v>-1.46</v>
      </c>
      <c r="DM209" s="228">
        <v>30.64</v>
      </c>
      <c r="DN209" s="228">
        <v>32.770000000000003</v>
      </c>
      <c r="DO209" s="228">
        <v>-2.13</v>
      </c>
      <c r="DP209" s="228">
        <v>-2.13</v>
      </c>
      <c r="DQ209" s="228">
        <v>0.56000000000000005</v>
      </c>
      <c r="DR209" s="228">
        <v>0.56999999999999995</v>
      </c>
      <c r="DS209" s="228">
        <v>-0.01</v>
      </c>
      <c r="DT209" s="229">
        <v>-1.7500000000000002E-2</v>
      </c>
      <c r="DU209" s="228">
        <v>585</v>
      </c>
      <c r="DV209" s="228">
        <v>500</v>
      </c>
      <c r="DW209" s="228">
        <v>0.57999999999999996</v>
      </c>
      <c r="DX209" s="228">
        <v>0.62</v>
      </c>
      <c r="DY209" s="228">
        <v>-0.04</v>
      </c>
      <c r="DZ209" s="229">
        <v>-6.4500000000000002E-2</v>
      </c>
      <c r="EA209" s="229">
        <v>2.3599999999999999E-2</v>
      </c>
      <c r="EB209" s="230">
        <v>1132050</v>
      </c>
      <c r="EC209" s="229">
        <v>6.4000000000000003E-3</v>
      </c>
      <c r="ED209" s="229">
        <v>2.3599999999999999E-2</v>
      </c>
      <c r="EE209" s="228">
        <v>2.4</v>
      </c>
      <c r="EF209" s="229">
        <v>4.7000000000000002E-3</v>
      </c>
      <c r="EG209" s="230">
        <v>2332966</v>
      </c>
      <c r="EH209" s="230">
        <v>2681248</v>
      </c>
      <c r="EI209" s="229">
        <v>-0.12989999999999999</v>
      </c>
      <c r="EJ209" s="229">
        <v>0.4945</v>
      </c>
      <c r="EK209" s="228">
        <v>382.1</v>
      </c>
      <c r="EL209" s="228">
        <v>208.33</v>
      </c>
      <c r="EM209" s="228">
        <v>209.58</v>
      </c>
      <c r="EN209" s="228">
        <v>58.2</v>
      </c>
      <c r="EO209" s="228">
        <v>800.01</v>
      </c>
      <c r="EP209" s="228">
        <v>969.86</v>
      </c>
      <c r="EQ209" s="228">
        <v>-169.85</v>
      </c>
      <c r="ER209" s="229">
        <v>-0.17510000000000001</v>
      </c>
      <c r="ES209" s="228">
        <v>619.65</v>
      </c>
      <c r="ET209" s="228">
        <v>316.63</v>
      </c>
      <c r="EU209" s="231">
        <v>2544.06</v>
      </c>
      <c r="EV209" s="231">
        <v>205765243</v>
      </c>
      <c r="EW209" s="231">
        <v>3480.33</v>
      </c>
      <c r="EX209" s="231">
        <v>3452.15</v>
      </c>
      <c r="EY209" s="228">
        <v>28.18</v>
      </c>
      <c r="EZ209" s="229">
        <v>8.2000000000000007E-3</v>
      </c>
      <c r="FA209" s="229">
        <v>0.32900000000000001</v>
      </c>
      <c r="FB209" s="227" t="s">
        <v>566</v>
      </c>
      <c r="FC209">
        <f t="shared" si="4"/>
        <v>0</v>
      </c>
    </row>
    <row r="210" spans="1:159" ht="17.25" thickBot="1" x14ac:dyDescent="0.3">
      <c r="A210" s="226">
        <v>46148</v>
      </c>
      <c r="B210" s="227" t="s">
        <v>227</v>
      </c>
      <c r="C210" s="227" t="s">
        <v>304</v>
      </c>
      <c r="D210" s="228">
        <v>1150</v>
      </c>
      <c r="E210" s="228">
        <v>20</v>
      </c>
      <c r="F210" s="228">
        <v>318</v>
      </c>
      <c r="G210" s="228">
        <v>305.2</v>
      </c>
      <c r="H210" s="228">
        <v>12.8</v>
      </c>
      <c r="I210" s="229">
        <v>4.19E-2</v>
      </c>
      <c r="J210" s="228">
        <v>316.39999999999998</v>
      </c>
      <c r="K210" s="228">
        <v>303.89999999999998</v>
      </c>
      <c r="L210" s="228">
        <v>12.5</v>
      </c>
      <c r="M210" s="229">
        <v>4.1099999999999998E-2</v>
      </c>
      <c r="N210" s="228">
        <v>318</v>
      </c>
      <c r="O210" s="228">
        <v>305.2</v>
      </c>
      <c r="P210" s="228">
        <v>12.8</v>
      </c>
      <c r="Q210" s="229">
        <v>4.19E-2</v>
      </c>
      <c r="R210" s="228">
        <v>320.10000000000002</v>
      </c>
      <c r="S210" s="228">
        <v>307.10000000000002</v>
      </c>
      <c r="T210" s="228">
        <v>13</v>
      </c>
      <c r="U210" s="229">
        <v>4.2299999999999997E-2</v>
      </c>
      <c r="V210" s="228">
        <v>322.05</v>
      </c>
      <c r="W210" s="228">
        <v>308.45</v>
      </c>
      <c r="X210" s="228">
        <v>13.6</v>
      </c>
      <c r="Y210" s="229">
        <v>4.41E-2</v>
      </c>
      <c r="Z210" s="228">
        <v>1.6</v>
      </c>
      <c r="AA210" s="228">
        <v>1.3</v>
      </c>
      <c r="AB210" s="228">
        <v>0.3</v>
      </c>
      <c r="AC210" s="229">
        <v>5.1000000000000004E-3</v>
      </c>
      <c r="AD210" s="228">
        <v>1.6</v>
      </c>
      <c r="AE210" s="228">
        <v>1.3</v>
      </c>
      <c r="AF210" s="228">
        <v>0.3</v>
      </c>
      <c r="AG210" s="229">
        <v>5.1000000000000004E-3</v>
      </c>
      <c r="AH210" s="228">
        <v>3.7</v>
      </c>
      <c r="AI210" s="228">
        <v>3.2</v>
      </c>
      <c r="AJ210" s="228">
        <v>0.5</v>
      </c>
      <c r="AK210" s="229">
        <v>1.17E-2</v>
      </c>
      <c r="AL210" s="228">
        <v>5.65</v>
      </c>
      <c r="AM210" s="228">
        <v>4.55</v>
      </c>
      <c r="AN210" s="228">
        <v>1.1000000000000001</v>
      </c>
      <c r="AO210" s="229">
        <v>1.7899999999999999E-2</v>
      </c>
      <c r="AP210" s="228">
        <v>314.83</v>
      </c>
      <c r="AQ210" s="228">
        <v>316.67</v>
      </c>
      <c r="AR210" s="228">
        <v>0</v>
      </c>
      <c r="AS210" s="228">
        <v>746</v>
      </c>
      <c r="AT210" s="228">
        <v>655</v>
      </c>
      <c r="AU210" s="228">
        <v>91</v>
      </c>
      <c r="AV210" s="229">
        <v>0.13900000000000001</v>
      </c>
      <c r="AW210" s="228">
        <v>692</v>
      </c>
      <c r="AX210" s="228">
        <v>593</v>
      </c>
      <c r="AY210" s="228">
        <v>99</v>
      </c>
      <c r="AZ210" s="229">
        <v>0.16650000000000001</v>
      </c>
      <c r="BA210" s="228">
        <v>42</v>
      </c>
      <c r="BB210" s="228">
        <v>51</v>
      </c>
      <c r="BC210" s="228">
        <v>-9</v>
      </c>
      <c r="BD210" s="229">
        <v>-0.182</v>
      </c>
      <c r="BE210" s="228">
        <v>12</v>
      </c>
      <c r="BF210" s="228">
        <v>10</v>
      </c>
      <c r="BG210" s="228">
        <v>2</v>
      </c>
      <c r="BH210" s="229">
        <v>0.15329999999999999</v>
      </c>
      <c r="BI210" s="230">
        <v>3933</v>
      </c>
      <c r="BJ210" s="230">
        <v>3696</v>
      </c>
      <c r="BK210" s="228">
        <v>236</v>
      </c>
      <c r="BL210" s="229">
        <v>6.3899999999999998E-2</v>
      </c>
      <c r="BM210" s="230">
        <v>1910</v>
      </c>
      <c r="BN210" s="230">
        <v>1522</v>
      </c>
      <c r="BO210" s="228">
        <v>388</v>
      </c>
      <c r="BP210" s="229">
        <v>0.25509999999999999</v>
      </c>
      <c r="BQ210" s="230">
        <v>6589</v>
      </c>
      <c r="BR210" s="230">
        <v>5873</v>
      </c>
      <c r="BS210" s="228">
        <v>716</v>
      </c>
      <c r="BT210" s="229">
        <v>0.12189999999999999</v>
      </c>
      <c r="BU210" s="230">
        <v>80204313</v>
      </c>
      <c r="BV210" s="230">
        <v>74489036</v>
      </c>
      <c r="BW210" s="230">
        <v>5715277</v>
      </c>
      <c r="BX210" s="229">
        <v>7.6700000000000004E-2</v>
      </c>
      <c r="BY210" s="228">
        <v>861</v>
      </c>
      <c r="BZ210" s="228">
        <v>807</v>
      </c>
      <c r="CA210" s="228">
        <v>54</v>
      </c>
      <c r="CB210" s="229">
        <v>6.6799999999999998E-2</v>
      </c>
      <c r="CC210" s="228">
        <v>811</v>
      </c>
      <c r="CD210" s="228">
        <v>766</v>
      </c>
      <c r="CE210" s="228">
        <v>45</v>
      </c>
      <c r="CF210" s="229">
        <v>5.8799999999999998E-2</v>
      </c>
      <c r="CG210" s="228">
        <v>35</v>
      </c>
      <c r="CH210" s="228">
        <v>31</v>
      </c>
      <c r="CI210" s="228">
        <v>5</v>
      </c>
      <c r="CJ210" s="229">
        <v>0.15790000000000001</v>
      </c>
      <c r="CK210" s="228">
        <v>15</v>
      </c>
      <c r="CL210" s="228">
        <v>11</v>
      </c>
      <c r="CM210" s="228">
        <v>4</v>
      </c>
      <c r="CN210" s="229">
        <v>0.38540000000000002</v>
      </c>
      <c r="CO210" s="228">
        <v>956</v>
      </c>
      <c r="CP210" s="228">
        <v>878</v>
      </c>
      <c r="CQ210" s="228">
        <v>78</v>
      </c>
      <c r="CR210" s="229">
        <v>8.8400000000000006E-2</v>
      </c>
      <c r="CS210" s="228">
        <v>722</v>
      </c>
      <c r="CT210" s="228">
        <v>579</v>
      </c>
      <c r="CU210" s="228">
        <v>142</v>
      </c>
      <c r="CV210" s="229">
        <v>0.24510000000000001</v>
      </c>
      <c r="CW210" s="230">
        <v>2538</v>
      </c>
      <c r="CX210" s="230">
        <v>2265</v>
      </c>
      <c r="CY210" s="228">
        <v>274</v>
      </c>
      <c r="CZ210" s="229">
        <v>0.1208</v>
      </c>
      <c r="DA210" s="228">
        <v>46.19</v>
      </c>
      <c r="DB210" s="228">
        <v>47.48</v>
      </c>
      <c r="DC210" s="228">
        <v>-1.29</v>
      </c>
      <c r="DD210" s="228">
        <v>-1.29</v>
      </c>
      <c r="DE210" s="228">
        <v>43.44</v>
      </c>
      <c r="DF210" s="228">
        <v>43.19</v>
      </c>
      <c r="DG210" s="228">
        <v>2.75</v>
      </c>
      <c r="DH210" s="228">
        <v>0.25</v>
      </c>
      <c r="DI210" s="228">
        <v>46.36</v>
      </c>
      <c r="DJ210" s="228">
        <v>47.16</v>
      </c>
      <c r="DK210" s="228">
        <v>-0.8</v>
      </c>
      <c r="DL210" s="228">
        <v>-0.8</v>
      </c>
      <c r="DM210" s="228">
        <v>45.84</v>
      </c>
      <c r="DN210" s="228">
        <v>48.25</v>
      </c>
      <c r="DO210" s="228">
        <v>-2.41</v>
      </c>
      <c r="DP210" s="228">
        <v>-2.41</v>
      </c>
      <c r="DQ210" s="228">
        <v>0.75</v>
      </c>
      <c r="DR210" s="228">
        <v>0.66</v>
      </c>
      <c r="DS210" s="228">
        <v>0.09</v>
      </c>
      <c r="DT210" s="229">
        <v>0.13639999999999999</v>
      </c>
      <c r="DU210" s="228">
        <v>350</v>
      </c>
      <c r="DV210" s="228">
        <v>300</v>
      </c>
      <c r="DW210" s="228">
        <v>0.49</v>
      </c>
      <c r="DX210" s="228">
        <v>0.41</v>
      </c>
      <c r="DY210" s="228">
        <v>0.08</v>
      </c>
      <c r="DZ210" s="229">
        <v>0.1951</v>
      </c>
      <c r="EA210" s="229">
        <v>5.8099999999999999E-2</v>
      </c>
      <c r="EB210" s="230">
        <v>1292600</v>
      </c>
      <c r="EC210" s="229">
        <v>6.6E-3</v>
      </c>
      <c r="ED210" s="229">
        <v>5.8099999999999999E-2</v>
      </c>
      <c r="EE210" s="228">
        <v>1.84</v>
      </c>
      <c r="EF210" s="229">
        <v>5.7999999999999996E-3</v>
      </c>
      <c r="EG210" s="230">
        <v>25120971</v>
      </c>
      <c r="EH210" s="230">
        <v>23508041</v>
      </c>
      <c r="EI210" s="229">
        <v>6.8599999999999994E-2</v>
      </c>
      <c r="EJ210" s="229">
        <v>0.31319999999999998</v>
      </c>
      <c r="EK210" s="231">
        <v>4187.88</v>
      </c>
      <c r="EL210" s="231">
        <v>1818.16</v>
      </c>
      <c r="EM210" s="228">
        <v>738.72</v>
      </c>
      <c r="EN210" s="228">
        <v>212.05</v>
      </c>
      <c r="EO210" s="231">
        <v>6744.76</v>
      </c>
      <c r="EP210" s="231">
        <v>5818.53</v>
      </c>
      <c r="EQ210" s="228">
        <v>926.22</v>
      </c>
      <c r="ER210" s="229">
        <v>0.15920000000000001</v>
      </c>
      <c r="ES210" s="228">
        <v>976.77</v>
      </c>
      <c r="ET210" s="228">
        <v>639.44000000000005</v>
      </c>
      <c r="EU210" s="228">
        <v>861.35</v>
      </c>
      <c r="EV210" s="231">
        <v>255495438</v>
      </c>
      <c r="EW210" s="231">
        <v>2477.56</v>
      </c>
      <c r="EX210" s="231">
        <v>2154.5700000000002</v>
      </c>
      <c r="EY210" s="228">
        <v>322.99</v>
      </c>
      <c r="EZ210" s="229">
        <v>0.14990000000000001</v>
      </c>
      <c r="FA210" s="229">
        <v>0.31240000000000001</v>
      </c>
      <c r="FB210" s="227" t="s">
        <v>555</v>
      </c>
      <c r="FC210">
        <f t="shared" si="4"/>
        <v>0</v>
      </c>
    </row>
    <row r="211" spans="1:159" ht="17.25" thickBot="1" x14ac:dyDescent="0.3">
      <c r="A211" s="226">
        <v>46148</v>
      </c>
      <c r="B211" s="227" t="s">
        <v>614</v>
      </c>
      <c r="C211" s="227" t="s">
        <v>695</v>
      </c>
      <c r="D211" s="228">
        <v>4850</v>
      </c>
      <c r="E211" s="228">
        <v>20</v>
      </c>
      <c r="F211" s="228">
        <v>124.95</v>
      </c>
      <c r="G211" s="228">
        <v>125.38</v>
      </c>
      <c r="H211" s="228">
        <v>-0.43</v>
      </c>
      <c r="I211" s="229">
        <v>-3.3999999999999998E-3</v>
      </c>
      <c r="J211" s="228">
        <v>124.2</v>
      </c>
      <c r="K211" s="228">
        <v>125.08</v>
      </c>
      <c r="L211" s="228">
        <v>-0.88</v>
      </c>
      <c r="M211" s="229">
        <v>-7.0000000000000001E-3</v>
      </c>
      <c r="N211" s="228">
        <v>124.95</v>
      </c>
      <c r="O211" s="228">
        <v>125.38</v>
      </c>
      <c r="P211" s="228">
        <v>-0.43</v>
      </c>
      <c r="Q211" s="229">
        <v>-3.3999999999999998E-3</v>
      </c>
      <c r="R211" s="228">
        <v>125.95</v>
      </c>
      <c r="S211" s="228">
        <v>125.92</v>
      </c>
      <c r="T211" s="228">
        <v>0.03</v>
      </c>
      <c r="U211" s="229">
        <v>2.0000000000000001E-4</v>
      </c>
      <c r="V211" s="228">
        <v>126.5</v>
      </c>
      <c r="W211" s="228">
        <v>126.5</v>
      </c>
      <c r="X211" s="228">
        <v>0</v>
      </c>
      <c r="Y211" s="229">
        <v>0</v>
      </c>
      <c r="Z211" s="228">
        <v>0.75</v>
      </c>
      <c r="AA211" s="228">
        <v>0.3</v>
      </c>
      <c r="AB211" s="228">
        <v>0.45</v>
      </c>
      <c r="AC211" s="229">
        <v>6.0000000000000001E-3</v>
      </c>
      <c r="AD211" s="228">
        <v>0.75</v>
      </c>
      <c r="AE211" s="228">
        <v>0.3</v>
      </c>
      <c r="AF211" s="228">
        <v>0.45</v>
      </c>
      <c r="AG211" s="229">
        <v>6.0000000000000001E-3</v>
      </c>
      <c r="AH211" s="228">
        <v>1.75</v>
      </c>
      <c r="AI211" s="228">
        <v>0.84</v>
      </c>
      <c r="AJ211" s="228">
        <v>0.91</v>
      </c>
      <c r="AK211" s="229">
        <v>1.41E-2</v>
      </c>
      <c r="AL211" s="228">
        <v>2.2999999999999998</v>
      </c>
      <c r="AM211" s="228">
        <v>1.42</v>
      </c>
      <c r="AN211" s="228">
        <v>0.88</v>
      </c>
      <c r="AO211" s="229">
        <v>1.8499999999999999E-2</v>
      </c>
      <c r="AP211" s="228">
        <v>124.6</v>
      </c>
      <c r="AQ211" s="228">
        <v>125.23</v>
      </c>
      <c r="AR211" s="228">
        <v>0</v>
      </c>
      <c r="AS211" s="228">
        <v>45</v>
      </c>
      <c r="AT211" s="228">
        <v>62</v>
      </c>
      <c r="AU211" s="228">
        <v>-17</v>
      </c>
      <c r="AV211" s="229">
        <v>-0.27829999999999999</v>
      </c>
      <c r="AW211" s="228">
        <v>43</v>
      </c>
      <c r="AX211" s="228">
        <v>60</v>
      </c>
      <c r="AY211" s="228">
        <v>-17</v>
      </c>
      <c r="AZ211" s="229">
        <v>-0.28100000000000003</v>
      </c>
      <c r="BA211" s="228">
        <v>2</v>
      </c>
      <c r="BB211" s="228">
        <v>2</v>
      </c>
      <c r="BC211" s="228">
        <v>0</v>
      </c>
      <c r="BD211" s="229">
        <v>-0.16669999999999999</v>
      </c>
      <c r="BE211" s="228">
        <v>0</v>
      </c>
      <c r="BF211" s="228">
        <v>0</v>
      </c>
      <c r="BG211" s="228">
        <v>0</v>
      </c>
      <c r="BH211" s="229">
        <v>-1</v>
      </c>
      <c r="BI211" s="228">
        <v>48</v>
      </c>
      <c r="BJ211" s="228">
        <v>31</v>
      </c>
      <c r="BK211" s="228">
        <v>17</v>
      </c>
      <c r="BL211" s="229">
        <v>0.53790000000000004</v>
      </c>
      <c r="BM211" s="228">
        <v>16</v>
      </c>
      <c r="BN211" s="228">
        <v>9</v>
      </c>
      <c r="BO211" s="228">
        <v>7</v>
      </c>
      <c r="BP211" s="229">
        <v>0.74509999999999998</v>
      </c>
      <c r="BQ211" s="228">
        <v>109</v>
      </c>
      <c r="BR211" s="228">
        <v>103</v>
      </c>
      <c r="BS211" s="228">
        <v>6</v>
      </c>
      <c r="BT211" s="229">
        <v>6.2600000000000003E-2</v>
      </c>
      <c r="BU211" s="230">
        <v>5169221</v>
      </c>
      <c r="BV211" s="230">
        <v>7520792</v>
      </c>
      <c r="BW211" s="230">
        <v>-2351571</v>
      </c>
      <c r="BX211" s="229">
        <v>-0.31269999999999998</v>
      </c>
      <c r="BY211" s="228">
        <v>376</v>
      </c>
      <c r="BZ211" s="228">
        <v>380</v>
      </c>
      <c r="CA211" s="228">
        <v>-4</v>
      </c>
      <c r="CB211" s="229">
        <v>-1.0800000000000001E-2</v>
      </c>
      <c r="CC211" s="228">
        <v>369</v>
      </c>
      <c r="CD211" s="228">
        <v>374</v>
      </c>
      <c r="CE211" s="228">
        <v>-5</v>
      </c>
      <c r="CF211" s="229">
        <v>-1.26E-2</v>
      </c>
      <c r="CG211" s="228">
        <v>6</v>
      </c>
      <c r="CH211" s="228">
        <v>5</v>
      </c>
      <c r="CI211" s="228">
        <v>1</v>
      </c>
      <c r="CJ211" s="229">
        <v>0.1176</v>
      </c>
      <c r="CK211" s="228">
        <v>1</v>
      </c>
      <c r="CL211" s="228">
        <v>1</v>
      </c>
      <c r="CM211" s="228">
        <v>0</v>
      </c>
      <c r="CN211" s="229">
        <v>0</v>
      </c>
      <c r="CO211" s="228">
        <v>50</v>
      </c>
      <c r="CP211" s="228">
        <v>40</v>
      </c>
      <c r="CQ211" s="228">
        <v>10</v>
      </c>
      <c r="CR211" s="229">
        <v>0.25540000000000002</v>
      </c>
      <c r="CS211" s="228">
        <v>22</v>
      </c>
      <c r="CT211" s="228">
        <v>21</v>
      </c>
      <c r="CU211" s="228">
        <v>2</v>
      </c>
      <c r="CV211" s="229">
        <v>7.6499999999999999E-2</v>
      </c>
      <c r="CW211" s="228">
        <v>448</v>
      </c>
      <c r="CX211" s="228">
        <v>440</v>
      </c>
      <c r="CY211" s="228">
        <v>8</v>
      </c>
      <c r="CZ211" s="229">
        <v>1.72E-2</v>
      </c>
      <c r="DA211" s="228">
        <v>37.44</v>
      </c>
      <c r="DB211" s="228">
        <v>39.22</v>
      </c>
      <c r="DC211" s="228">
        <v>-1.78</v>
      </c>
      <c r="DD211" s="228">
        <v>-1.78</v>
      </c>
      <c r="DE211" s="228">
        <v>38</v>
      </c>
      <c r="DF211" s="228">
        <v>38.090000000000003</v>
      </c>
      <c r="DG211" s="228">
        <v>-0.56000000000000005</v>
      </c>
      <c r="DH211" s="228">
        <v>-0.09</v>
      </c>
      <c r="DI211" s="228">
        <v>37.76</v>
      </c>
      <c r="DJ211" s="228">
        <v>39.06</v>
      </c>
      <c r="DK211" s="228">
        <v>-1.3</v>
      </c>
      <c r="DL211" s="228">
        <v>-1.3</v>
      </c>
      <c r="DM211" s="228">
        <v>36.47</v>
      </c>
      <c r="DN211" s="228">
        <v>39.770000000000003</v>
      </c>
      <c r="DO211" s="228">
        <v>-3.3</v>
      </c>
      <c r="DP211" s="228">
        <v>-3.3</v>
      </c>
      <c r="DQ211" s="228">
        <v>0.45</v>
      </c>
      <c r="DR211" s="228">
        <v>0.52</v>
      </c>
      <c r="DS211" s="228">
        <v>-7.0000000000000007E-2</v>
      </c>
      <c r="DT211" s="229">
        <v>-0.1346</v>
      </c>
      <c r="DU211" s="228">
        <v>130</v>
      </c>
      <c r="DV211" s="228">
        <v>125</v>
      </c>
      <c r="DW211" s="228">
        <v>0.34</v>
      </c>
      <c r="DX211" s="228">
        <v>0.3</v>
      </c>
      <c r="DY211" s="228">
        <v>0.04</v>
      </c>
      <c r="DZ211" s="229">
        <v>0.1333</v>
      </c>
      <c r="EA211" s="229">
        <v>1.7299999999999999E-2</v>
      </c>
      <c r="EB211" s="230">
        <v>470450</v>
      </c>
      <c r="EC211" s="229">
        <v>8.0000000000000002E-3</v>
      </c>
      <c r="ED211" s="229">
        <v>1.7299999999999999E-2</v>
      </c>
      <c r="EE211" s="228">
        <v>0.63</v>
      </c>
      <c r="EF211" s="229">
        <v>5.1000000000000004E-3</v>
      </c>
      <c r="EG211" s="230">
        <v>2382088</v>
      </c>
      <c r="EH211" s="230">
        <v>3606406</v>
      </c>
      <c r="EI211" s="229">
        <v>-0.33950000000000002</v>
      </c>
      <c r="EJ211" s="229">
        <v>0.46079999999999999</v>
      </c>
      <c r="EK211" s="228">
        <v>50.58</v>
      </c>
      <c r="EL211" s="228">
        <v>16.59</v>
      </c>
      <c r="EM211" s="228">
        <v>44.67</v>
      </c>
      <c r="EN211" s="228">
        <v>9.4499999999999993</v>
      </c>
      <c r="EO211" s="228">
        <v>111.84</v>
      </c>
      <c r="EP211" s="228">
        <v>104</v>
      </c>
      <c r="EQ211" s="228">
        <v>7.84</v>
      </c>
      <c r="ER211" s="229">
        <v>7.5300000000000006E-2</v>
      </c>
      <c r="ES211" s="228">
        <v>51.14</v>
      </c>
      <c r="ET211" s="228">
        <v>21.91</v>
      </c>
      <c r="EU211" s="228">
        <v>375.78</v>
      </c>
      <c r="EV211" s="231">
        <v>321828727</v>
      </c>
      <c r="EW211" s="228">
        <v>448.83</v>
      </c>
      <c r="EX211" s="228">
        <v>442.45</v>
      </c>
      <c r="EY211" s="228">
        <v>6.38</v>
      </c>
      <c r="EZ211" s="229">
        <v>1.44E-2</v>
      </c>
      <c r="FA211" s="229">
        <v>0.1113</v>
      </c>
      <c r="FB211" s="227" t="s">
        <v>567</v>
      </c>
      <c r="FC211">
        <f t="shared" si="4"/>
        <v>0</v>
      </c>
    </row>
    <row r="212" spans="1:159" ht="17.25" thickBot="1" x14ac:dyDescent="0.3">
      <c r="A212" s="226">
        <v>46148</v>
      </c>
      <c r="B212" s="227" t="s">
        <v>184</v>
      </c>
      <c r="C212" s="227" t="s">
        <v>305</v>
      </c>
      <c r="D212" s="228">
        <v>375</v>
      </c>
      <c r="E212" s="228">
        <v>20</v>
      </c>
      <c r="F212" s="231">
        <v>1384.1</v>
      </c>
      <c r="G212" s="231">
        <v>1377.6</v>
      </c>
      <c r="H212" s="228">
        <v>6.5</v>
      </c>
      <c r="I212" s="229">
        <v>4.7000000000000002E-3</v>
      </c>
      <c r="J212" s="231">
        <v>1379.6</v>
      </c>
      <c r="K212" s="231">
        <v>1375.9</v>
      </c>
      <c r="L212" s="228">
        <v>3.7</v>
      </c>
      <c r="M212" s="229">
        <v>2.7000000000000001E-3</v>
      </c>
      <c r="N212" s="231">
        <v>1384.1</v>
      </c>
      <c r="O212" s="231">
        <v>1377.6</v>
      </c>
      <c r="P212" s="228">
        <v>6.5</v>
      </c>
      <c r="Q212" s="229">
        <v>4.7000000000000002E-3</v>
      </c>
      <c r="R212" s="231">
        <v>1370.2</v>
      </c>
      <c r="S212" s="231">
        <v>1362.5</v>
      </c>
      <c r="T212" s="228">
        <v>7.7</v>
      </c>
      <c r="U212" s="229">
        <v>5.7000000000000002E-3</v>
      </c>
      <c r="V212" s="231">
        <v>1360</v>
      </c>
      <c r="W212" s="231">
        <v>1353.6</v>
      </c>
      <c r="X212" s="228">
        <v>6.4</v>
      </c>
      <c r="Y212" s="229">
        <v>4.7000000000000002E-3</v>
      </c>
      <c r="Z212" s="228">
        <v>4.5</v>
      </c>
      <c r="AA212" s="228">
        <v>1.7</v>
      </c>
      <c r="AB212" s="228">
        <v>2.8</v>
      </c>
      <c r="AC212" s="229">
        <v>3.3E-3</v>
      </c>
      <c r="AD212" s="228">
        <v>4.5</v>
      </c>
      <c r="AE212" s="228">
        <v>1.7</v>
      </c>
      <c r="AF212" s="228">
        <v>2.8</v>
      </c>
      <c r="AG212" s="229">
        <v>3.3E-3</v>
      </c>
      <c r="AH212" s="228">
        <v>-9.4</v>
      </c>
      <c r="AI212" s="228">
        <v>-13.4</v>
      </c>
      <c r="AJ212" s="228">
        <v>4</v>
      </c>
      <c r="AK212" s="229">
        <v>-6.7999999999999996E-3</v>
      </c>
      <c r="AL212" s="228">
        <v>-19.600000000000001</v>
      </c>
      <c r="AM212" s="228">
        <v>-22.3</v>
      </c>
      <c r="AN212" s="228">
        <v>2.7</v>
      </c>
      <c r="AO212" s="229">
        <v>-1.4200000000000001E-2</v>
      </c>
      <c r="AP212" s="231">
        <v>1376.13</v>
      </c>
      <c r="AQ212" s="231">
        <v>1359.76</v>
      </c>
      <c r="AR212" s="228">
        <v>0</v>
      </c>
      <c r="AS212" s="228">
        <v>298</v>
      </c>
      <c r="AT212" s="228">
        <v>491</v>
      </c>
      <c r="AU212" s="228">
        <v>-193</v>
      </c>
      <c r="AV212" s="229">
        <v>-0.39340000000000003</v>
      </c>
      <c r="AW212" s="228">
        <v>268</v>
      </c>
      <c r="AX212" s="228">
        <v>459</v>
      </c>
      <c r="AY212" s="228">
        <v>-191</v>
      </c>
      <c r="AZ212" s="229">
        <v>-0.41549999999999998</v>
      </c>
      <c r="BA212" s="228">
        <v>27</v>
      </c>
      <c r="BB212" s="228">
        <v>28</v>
      </c>
      <c r="BC212" s="228">
        <v>-1</v>
      </c>
      <c r="BD212" s="229">
        <v>-4.5900000000000003E-2</v>
      </c>
      <c r="BE212" s="228">
        <v>3</v>
      </c>
      <c r="BF212" s="228">
        <v>4</v>
      </c>
      <c r="BG212" s="228">
        <v>-1</v>
      </c>
      <c r="BH212" s="229">
        <v>-0.31509999999999999</v>
      </c>
      <c r="BI212" s="228">
        <v>683</v>
      </c>
      <c r="BJ212" s="228">
        <v>984</v>
      </c>
      <c r="BK212" s="228">
        <v>-301</v>
      </c>
      <c r="BL212" s="229">
        <v>-0.30620000000000003</v>
      </c>
      <c r="BM212" s="228">
        <v>316</v>
      </c>
      <c r="BN212" s="228">
        <v>704</v>
      </c>
      <c r="BO212" s="228">
        <v>-388</v>
      </c>
      <c r="BP212" s="229">
        <v>-0.55079999999999996</v>
      </c>
      <c r="BQ212" s="230">
        <v>1297</v>
      </c>
      <c r="BR212" s="230">
        <v>2180</v>
      </c>
      <c r="BS212" s="228">
        <v>-883</v>
      </c>
      <c r="BT212" s="229">
        <v>-0.40489999999999998</v>
      </c>
      <c r="BU212" s="230">
        <v>794356</v>
      </c>
      <c r="BV212" s="230">
        <v>2307276</v>
      </c>
      <c r="BW212" s="230">
        <v>-1512920</v>
      </c>
      <c r="BX212" s="229">
        <v>-0.65569999999999995</v>
      </c>
      <c r="BY212" s="230">
        <v>1489</v>
      </c>
      <c r="BZ212" s="230">
        <v>1499</v>
      </c>
      <c r="CA212" s="228">
        <v>-11</v>
      </c>
      <c r="CB212" s="229">
        <v>-7.0000000000000001E-3</v>
      </c>
      <c r="CC212" s="230">
        <v>1431</v>
      </c>
      <c r="CD212" s="230">
        <v>1448</v>
      </c>
      <c r="CE212" s="228">
        <v>-17</v>
      </c>
      <c r="CF212" s="229">
        <v>-1.18E-2</v>
      </c>
      <c r="CG212" s="228">
        <v>50</v>
      </c>
      <c r="CH212" s="228">
        <v>45</v>
      </c>
      <c r="CI212" s="228">
        <v>6</v>
      </c>
      <c r="CJ212" s="229">
        <v>0.1237</v>
      </c>
      <c r="CK212" s="228">
        <v>7</v>
      </c>
      <c r="CL212" s="228">
        <v>6</v>
      </c>
      <c r="CM212" s="228">
        <v>1</v>
      </c>
      <c r="CN212" s="229">
        <v>0.1593</v>
      </c>
      <c r="CO212" s="228">
        <v>600</v>
      </c>
      <c r="CP212" s="228">
        <v>524</v>
      </c>
      <c r="CQ212" s="228">
        <v>75</v>
      </c>
      <c r="CR212" s="229">
        <v>0.14319999999999999</v>
      </c>
      <c r="CS212" s="228">
        <v>415</v>
      </c>
      <c r="CT212" s="228">
        <v>350</v>
      </c>
      <c r="CU212" s="228">
        <v>65</v>
      </c>
      <c r="CV212" s="229">
        <v>0.1845</v>
      </c>
      <c r="CW212" s="230">
        <v>2503</v>
      </c>
      <c r="CX212" s="230">
        <v>2374</v>
      </c>
      <c r="CY212" s="228">
        <v>129</v>
      </c>
      <c r="CZ212" s="229">
        <v>5.4399999999999997E-2</v>
      </c>
      <c r="DA212" s="228">
        <v>44.99</v>
      </c>
      <c r="DB212" s="228">
        <v>46.35</v>
      </c>
      <c r="DC212" s="228">
        <v>-1.36</v>
      </c>
      <c r="DD212" s="228">
        <v>-1.36</v>
      </c>
      <c r="DE212" s="228">
        <v>40.46</v>
      </c>
      <c r="DF212" s="228">
        <v>40.56</v>
      </c>
      <c r="DG212" s="228">
        <v>4.53</v>
      </c>
      <c r="DH212" s="228">
        <v>-0.1</v>
      </c>
      <c r="DI212" s="228">
        <v>45.33</v>
      </c>
      <c r="DJ212" s="228">
        <v>47.06</v>
      </c>
      <c r="DK212" s="228">
        <v>-1.73</v>
      </c>
      <c r="DL212" s="228">
        <v>-1.73</v>
      </c>
      <c r="DM212" s="228">
        <v>44.24</v>
      </c>
      <c r="DN212" s="228">
        <v>45.36</v>
      </c>
      <c r="DO212" s="228">
        <v>-1.1200000000000001</v>
      </c>
      <c r="DP212" s="228">
        <v>-1.1200000000000001</v>
      </c>
      <c r="DQ212" s="228">
        <v>0.69</v>
      </c>
      <c r="DR212" s="228">
        <v>0.67</v>
      </c>
      <c r="DS212" s="228">
        <v>0.02</v>
      </c>
      <c r="DT212" s="229">
        <v>2.9899999999999999E-2</v>
      </c>
      <c r="DU212" s="231">
        <v>1500</v>
      </c>
      <c r="DV212" s="231">
        <v>1400</v>
      </c>
      <c r="DW212" s="228">
        <v>0.46</v>
      </c>
      <c r="DX212" s="228">
        <v>0.72</v>
      </c>
      <c r="DY212" s="228">
        <v>-0.26</v>
      </c>
      <c r="DZ212" s="229">
        <v>-0.36109999999999998</v>
      </c>
      <c r="EA212" s="229">
        <v>3.85E-2</v>
      </c>
      <c r="EB212" s="230">
        <v>366750</v>
      </c>
      <c r="EC212" s="229">
        <v>-0.01</v>
      </c>
      <c r="ED212" s="229">
        <v>3.85E-2</v>
      </c>
      <c r="EE212" s="228">
        <v>-16.37</v>
      </c>
      <c r="EF212" s="229">
        <v>-1.1900000000000001E-2</v>
      </c>
      <c r="EG212" s="230">
        <v>221560</v>
      </c>
      <c r="EH212" s="230">
        <v>1017703</v>
      </c>
      <c r="EI212" s="229">
        <v>-0.7823</v>
      </c>
      <c r="EJ212" s="229">
        <v>0.27889999999999998</v>
      </c>
      <c r="EK212" s="228">
        <v>736.46</v>
      </c>
      <c r="EL212" s="228">
        <v>317.02</v>
      </c>
      <c r="EM212" s="228">
        <v>296.01</v>
      </c>
      <c r="EN212" s="228">
        <v>58.11</v>
      </c>
      <c r="EO212" s="231">
        <v>1349.49</v>
      </c>
      <c r="EP212" s="231">
        <v>2280.06</v>
      </c>
      <c r="EQ212" s="228">
        <v>-930.57</v>
      </c>
      <c r="ER212" s="229">
        <v>-0.40810000000000002</v>
      </c>
      <c r="ES212" s="228">
        <v>653.66</v>
      </c>
      <c r="ET212" s="228">
        <v>405.44</v>
      </c>
      <c r="EU212" s="231">
        <v>1487.97</v>
      </c>
      <c r="EV212" s="231">
        <v>25134629</v>
      </c>
      <c r="EW212" s="231">
        <v>2547.0700000000002</v>
      </c>
      <c r="EX212" s="231">
        <v>2405.09</v>
      </c>
      <c r="EY212" s="228">
        <v>141.97999999999999</v>
      </c>
      <c r="EZ212" s="229">
        <v>5.8999999999999997E-2</v>
      </c>
      <c r="FA212" s="229">
        <v>0.71940000000000004</v>
      </c>
      <c r="FB212" s="227" t="s">
        <v>691</v>
      </c>
      <c r="FC212">
        <f t="shared" si="4"/>
        <v>0</v>
      </c>
    </row>
    <row r="213" spans="1:159" ht="17.25" thickBot="1" x14ac:dyDescent="0.3">
      <c r="A213" s="226">
        <v>46148</v>
      </c>
      <c r="B213" s="227" t="s">
        <v>184</v>
      </c>
      <c r="C213" s="227" t="s">
        <v>688</v>
      </c>
      <c r="D213" s="228">
        <v>175</v>
      </c>
      <c r="E213" s="228">
        <v>20</v>
      </c>
      <c r="F213" s="231">
        <v>3247.8</v>
      </c>
      <c r="G213" s="231">
        <v>3199.2</v>
      </c>
      <c r="H213" s="228">
        <v>48.6</v>
      </c>
      <c r="I213" s="229">
        <v>1.52E-2</v>
      </c>
      <c r="J213" s="231">
        <v>3225.1</v>
      </c>
      <c r="K213" s="231">
        <v>3181.7</v>
      </c>
      <c r="L213" s="228">
        <v>43.4</v>
      </c>
      <c r="M213" s="229">
        <v>1.3599999999999999E-2</v>
      </c>
      <c r="N213" s="231">
        <v>3247.8</v>
      </c>
      <c r="O213" s="231">
        <v>3199.2</v>
      </c>
      <c r="P213" s="228">
        <v>48.6</v>
      </c>
      <c r="Q213" s="229">
        <v>1.52E-2</v>
      </c>
      <c r="R213" s="231">
        <v>3270.1</v>
      </c>
      <c r="S213" s="231">
        <v>3219</v>
      </c>
      <c r="T213" s="228">
        <v>51.1</v>
      </c>
      <c r="U213" s="229">
        <v>1.5900000000000001E-2</v>
      </c>
      <c r="V213" s="231">
        <v>3279</v>
      </c>
      <c r="W213" s="231">
        <v>3225.6</v>
      </c>
      <c r="X213" s="228">
        <v>53.4</v>
      </c>
      <c r="Y213" s="229">
        <v>1.66E-2</v>
      </c>
      <c r="Z213" s="228">
        <v>22.7</v>
      </c>
      <c r="AA213" s="228">
        <v>17.5</v>
      </c>
      <c r="AB213" s="228">
        <v>5.2</v>
      </c>
      <c r="AC213" s="229">
        <v>7.0000000000000001E-3</v>
      </c>
      <c r="AD213" s="228">
        <v>22.7</v>
      </c>
      <c r="AE213" s="228">
        <v>17.5</v>
      </c>
      <c r="AF213" s="228">
        <v>5.2</v>
      </c>
      <c r="AG213" s="229">
        <v>7.0000000000000001E-3</v>
      </c>
      <c r="AH213" s="228">
        <v>45</v>
      </c>
      <c r="AI213" s="228">
        <v>37.299999999999997</v>
      </c>
      <c r="AJ213" s="228">
        <v>7.7</v>
      </c>
      <c r="AK213" s="229">
        <v>1.4E-2</v>
      </c>
      <c r="AL213" s="228">
        <v>53.9</v>
      </c>
      <c r="AM213" s="228">
        <v>43.9</v>
      </c>
      <c r="AN213" s="228">
        <v>10</v>
      </c>
      <c r="AO213" s="229">
        <v>1.67E-2</v>
      </c>
      <c r="AP213" s="231">
        <v>3232.62</v>
      </c>
      <c r="AQ213" s="231">
        <v>3262.66</v>
      </c>
      <c r="AR213" s="228">
        <v>0</v>
      </c>
      <c r="AS213" s="228">
        <v>533</v>
      </c>
      <c r="AT213" s="228">
        <v>343</v>
      </c>
      <c r="AU213" s="228">
        <v>190</v>
      </c>
      <c r="AV213" s="229">
        <v>0.55330000000000001</v>
      </c>
      <c r="AW213" s="228">
        <v>408</v>
      </c>
      <c r="AX213" s="228">
        <v>322</v>
      </c>
      <c r="AY213" s="228">
        <v>86</v>
      </c>
      <c r="AZ213" s="229">
        <v>0.26869999999999999</v>
      </c>
      <c r="BA213" s="228">
        <v>122</v>
      </c>
      <c r="BB213" s="228">
        <v>20</v>
      </c>
      <c r="BC213" s="228">
        <v>103</v>
      </c>
      <c r="BD213" s="229">
        <v>5.2046000000000001</v>
      </c>
      <c r="BE213" s="228">
        <v>3</v>
      </c>
      <c r="BF213" s="228">
        <v>2</v>
      </c>
      <c r="BG213" s="228">
        <v>1</v>
      </c>
      <c r="BH213" s="229">
        <v>0.44440000000000002</v>
      </c>
      <c r="BI213" s="230">
        <v>1265</v>
      </c>
      <c r="BJ213" s="230">
        <v>1301</v>
      </c>
      <c r="BK213" s="228">
        <v>-36</v>
      </c>
      <c r="BL213" s="229">
        <v>-2.7400000000000001E-2</v>
      </c>
      <c r="BM213" s="228">
        <v>443</v>
      </c>
      <c r="BN213" s="228">
        <v>493</v>
      </c>
      <c r="BO213" s="228">
        <v>-50</v>
      </c>
      <c r="BP213" s="229">
        <v>-0.1008</v>
      </c>
      <c r="BQ213" s="230">
        <v>2241</v>
      </c>
      <c r="BR213" s="230">
        <v>2137</v>
      </c>
      <c r="BS213" s="228">
        <v>105</v>
      </c>
      <c r="BT213" s="229">
        <v>4.9000000000000002E-2</v>
      </c>
      <c r="BU213" s="230">
        <v>1349434</v>
      </c>
      <c r="BV213" s="230">
        <v>1213873</v>
      </c>
      <c r="BW213" s="230">
        <v>135561</v>
      </c>
      <c r="BX213" s="229">
        <v>0.11169999999999999</v>
      </c>
      <c r="BY213" s="230">
        <v>1956</v>
      </c>
      <c r="BZ213" s="230">
        <v>1886</v>
      </c>
      <c r="CA213" s="228">
        <v>70</v>
      </c>
      <c r="CB213" s="229">
        <v>3.6900000000000002E-2</v>
      </c>
      <c r="CC213" s="230">
        <v>1791</v>
      </c>
      <c r="CD213" s="230">
        <v>1830</v>
      </c>
      <c r="CE213" s="228">
        <v>-39</v>
      </c>
      <c r="CF213" s="229">
        <v>-2.1299999999999999E-2</v>
      </c>
      <c r="CG213" s="228">
        <v>160</v>
      </c>
      <c r="CH213" s="228">
        <v>52</v>
      </c>
      <c r="CI213" s="228">
        <v>108</v>
      </c>
      <c r="CJ213" s="229">
        <v>2.0844</v>
      </c>
      <c r="CK213" s="228">
        <v>5</v>
      </c>
      <c r="CL213" s="228">
        <v>4</v>
      </c>
      <c r="CM213" s="228">
        <v>1</v>
      </c>
      <c r="CN213" s="229">
        <v>0.12</v>
      </c>
      <c r="CO213" s="230">
        <v>1385</v>
      </c>
      <c r="CP213" s="230">
        <v>1448</v>
      </c>
      <c r="CQ213" s="228">
        <v>-63</v>
      </c>
      <c r="CR213" s="229">
        <v>-4.3700000000000003E-2</v>
      </c>
      <c r="CS213" s="228">
        <v>770</v>
      </c>
      <c r="CT213" s="228">
        <v>765</v>
      </c>
      <c r="CU213" s="228">
        <v>6</v>
      </c>
      <c r="CV213" s="229">
        <v>7.3000000000000001E-3</v>
      </c>
      <c r="CW213" s="230">
        <v>4111</v>
      </c>
      <c r="CX213" s="230">
        <v>4100</v>
      </c>
      <c r="CY213" s="228">
        <v>12</v>
      </c>
      <c r="CZ213" s="229">
        <v>2.8999999999999998E-3</v>
      </c>
      <c r="DA213" s="228">
        <v>37.44</v>
      </c>
      <c r="DB213" s="228">
        <v>39.700000000000003</v>
      </c>
      <c r="DC213" s="228">
        <v>-2.2599999999999998</v>
      </c>
      <c r="DD213" s="228">
        <v>-2.2599999999999998</v>
      </c>
      <c r="DE213" s="228">
        <v>54.07</v>
      </c>
      <c r="DF213" s="228">
        <v>54.17</v>
      </c>
      <c r="DG213" s="228">
        <v>-16.63</v>
      </c>
      <c r="DH213" s="228">
        <v>-0.1</v>
      </c>
      <c r="DI213" s="228">
        <v>37.78</v>
      </c>
      <c r="DJ213" s="228">
        <v>40.299999999999997</v>
      </c>
      <c r="DK213" s="228">
        <v>-2.52</v>
      </c>
      <c r="DL213" s="228">
        <v>-2.52</v>
      </c>
      <c r="DM213" s="228">
        <v>36.450000000000003</v>
      </c>
      <c r="DN213" s="228">
        <v>38.11</v>
      </c>
      <c r="DO213" s="228">
        <v>-1.66</v>
      </c>
      <c r="DP213" s="228">
        <v>-1.66</v>
      </c>
      <c r="DQ213" s="228">
        <v>0.56000000000000005</v>
      </c>
      <c r="DR213" s="228">
        <v>0.53</v>
      </c>
      <c r="DS213" s="228">
        <v>0.03</v>
      </c>
      <c r="DT213" s="229">
        <v>5.6599999999999998E-2</v>
      </c>
      <c r="DU213" s="231">
        <v>3500</v>
      </c>
      <c r="DV213" s="231">
        <v>3100</v>
      </c>
      <c r="DW213" s="228">
        <v>0.35</v>
      </c>
      <c r="DX213" s="228">
        <v>0.38</v>
      </c>
      <c r="DY213" s="228">
        <v>-0.03</v>
      </c>
      <c r="DZ213" s="229">
        <v>-7.8899999999999998E-2</v>
      </c>
      <c r="EA213" s="229">
        <v>8.4199999999999997E-2</v>
      </c>
      <c r="EB213" s="230">
        <v>172725</v>
      </c>
      <c r="EC213" s="229">
        <v>6.8999999999999999E-3</v>
      </c>
      <c r="ED213" s="229">
        <v>8.4199999999999997E-2</v>
      </c>
      <c r="EE213" s="228">
        <v>30.04</v>
      </c>
      <c r="EF213" s="229">
        <v>9.2999999999999992E-3</v>
      </c>
      <c r="EG213" s="230">
        <v>493926</v>
      </c>
      <c r="EH213" s="230">
        <v>410579</v>
      </c>
      <c r="EI213" s="229">
        <v>0.20300000000000001</v>
      </c>
      <c r="EJ213" s="229">
        <v>0.36599999999999999</v>
      </c>
      <c r="EK213" s="231">
        <v>1345.4</v>
      </c>
      <c r="EL213" s="228">
        <v>425.68</v>
      </c>
      <c r="EM213" s="228">
        <v>531.9</v>
      </c>
      <c r="EN213" s="228">
        <v>145.43</v>
      </c>
      <c r="EO213" s="231">
        <v>2302.98</v>
      </c>
      <c r="EP213" s="231">
        <v>2184.62</v>
      </c>
      <c r="EQ213" s="228">
        <v>118.36</v>
      </c>
      <c r="ER213" s="229">
        <v>5.4199999999999998E-2</v>
      </c>
      <c r="ES213" s="231">
        <v>1478.98</v>
      </c>
      <c r="ET213" s="228">
        <v>756.68</v>
      </c>
      <c r="EU213" s="231">
        <v>1956.94</v>
      </c>
      <c r="EV213" s="231">
        <v>15436318</v>
      </c>
      <c r="EW213" s="231">
        <v>4192.6000000000004</v>
      </c>
      <c r="EX213" s="231">
        <v>4150.07</v>
      </c>
      <c r="EY213" s="228">
        <v>42.53</v>
      </c>
      <c r="EZ213" s="229">
        <v>1.0200000000000001E-2</v>
      </c>
      <c r="FA213" s="229">
        <v>0.82010000000000005</v>
      </c>
      <c r="FB213" s="227" t="s">
        <v>555</v>
      </c>
      <c r="FC213">
        <f t="shared" si="4"/>
        <v>0</v>
      </c>
    </row>
    <row r="214" spans="1:159" ht="17.25" thickBot="1" x14ac:dyDescent="0.3">
      <c r="A214" s="226">
        <v>46148</v>
      </c>
      <c r="B214" s="227" t="s">
        <v>221</v>
      </c>
      <c r="C214" s="227" t="s">
        <v>306</v>
      </c>
      <c r="D214" s="228">
        <v>3000</v>
      </c>
      <c r="E214" s="228">
        <v>20</v>
      </c>
      <c r="F214" s="228">
        <v>197.51</v>
      </c>
      <c r="G214" s="228">
        <v>196.13</v>
      </c>
      <c r="H214" s="228">
        <v>1.38</v>
      </c>
      <c r="I214" s="229">
        <v>7.0000000000000001E-3</v>
      </c>
      <c r="J214" s="228">
        <v>199.12</v>
      </c>
      <c r="K214" s="228">
        <v>199.78</v>
      </c>
      <c r="L214" s="228">
        <v>-0.66</v>
      </c>
      <c r="M214" s="229">
        <v>-3.3E-3</v>
      </c>
      <c r="N214" s="228">
        <v>197.51</v>
      </c>
      <c r="O214" s="228">
        <v>196.13</v>
      </c>
      <c r="P214" s="228">
        <v>1.38</v>
      </c>
      <c r="Q214" s="229">
        <v>7.0000000000000001E-3</v>
      </c>
      <c r="R214" s="228">
        <v>191.48</v>
      </c>
      <c r="S214" s="228">
        <v>189.76</v>
      </c>
      <c r="T214" s="228">
        <v>1.72</v>
      </c>
      <c r="U214" s="229">
        <v>9.1000000000000004E-3</v>
      </c>
      <c r="V214" s="228">
        <v>188.61</v>
      </c>
      <c r="W214" s="228">
        <v>187</v>
      </c>
      <c r="X214" s="228">
        <v>1.61</v>
      </c>
      <c r="Y214" s="229">
        <v>8.6E-3</v>
      </c>
      <c r="Z214" s="228">
        <v>-1.61</v>
      </c>
      <c r="AA214" s="228">
        <v>-3.65</v>
      </c>
      <c r="AB214" s="228">
        <v>2.04</v>
      </c>
      <c r="AC214" s="229">
        <v>-8.0999999999999996E-3</v>
      </c>
      <c r="AD214" s="228">
        <v>-1.61</v>
      </c>
      <c r="AE214" s="228">
        <v>-3.65</v>
      </c>
      <c r="AF214" s="228">
        <v>2.04</v>
      </c>
      <c r="AG214" s="229">
        <v>-8.0999999999999996E-3</v>
      </c>
      <c r="AH214" s="228">
        <v>-7.64</v>
      </c>
      <c r="AI214" s="228">
        <v>-10.02</v>
      </c>
      <c r="AJ214" s="228">
        <v>2.38</v>
      </c>
      <c r="AK214" s="229">
        <v>-3.8399999999999997E-2</v>
      </c>
      <c r="AL214" s="228">
        <v>-10.51</v>
      </c>
      <c r="AM214" s="228">
        <v>-12.78</v>
      </c>
      <c r="AN214" s="228">
        <v>2.27</v>
      </c>
      <c r="AO214" s="229">
        <v>-5.28E-2</v>
      </c>
      <c r="AP214" s="228">
        <v>196.95</v>
      </c>
      <c r="AQ214" s="228">
        <v>190.82</v>
      </c>
      <c r="AR214" s="228">
        <v>0</v>
      </c>
      <c r="AS214" s="228">
        <v>400</v>
      </c>
      <c r="AT214" s="228">
        <v>333</v>
      </c>
      <c r="AU214" s="228">
        <v>66</v>
      </c>
      <c r="AV214" s="229">
        <v>0.1993</v>
      </c>
      <c r="AW214" s="228">
        <v>318</v>
      </c>
      <c r="AX214" s="228">
        <v>228</v>
      </c>
      <c r="AY214" s="228">
        <v>89</v>
      </c>
      <c r="AZ214" s="229">
        <v>0.39179999999999998</v>
      </c>
      <c r="BA214" s="228">
        <v>65</v>
      </c>
      <c r="BB214" s="228">
        <v>84</v>
      </c>
      <c r="BC214" s="228">
        <v>-19</v>
      </c>
      <c r="BD214" s="229">
        <v>-0.2225</v>
      </c>
      <c r="BE214" s="228">
        <v>17</v>
      </c>
      <c r="BF214" s="228">
        <v>21</v>
      </c>
      <c r="BG214" s="228">
        <v>-4</v>
      </c>
      <c r="BH214" s="229">
        <v>-0.20280000000000001</v>
      </c>
      <c r="BI214" s="230">
        <v>1473</v>
      </c>
      <c r="BJ214" s="230">
        <v>1019</v>
      </c>
      <c r="BK214" s="228">
        <v>454</v>
      </c>
      <c r="BL214" s="229">
        <v>0.44569999999999999</v>
      </c>
      <c r="BM214" s="228">
        <v>703</v>
      </c>
      <c r="BN214" s="228">
        <v>424</v>
      </c>
      <c r="BO214" s="228">
        <v>279</v>
      </c>
      <c r="BP214" s="229">
        <v>0.65690000000000004</v>
      </c>
      <c r="BQ214" s="230">
        <v>2576</v>
      </c>
      <c r="BR214" s="230">
        <v>1777</v>
      </c>
      <c r="BS214" s="228">
        <v>800</v>
      </c>
      <c r="BT214" s="229">
        <v>0.44990000000000002</v>
      </c>
      <c r="BU214" s="230">
        <v>14063061</v>
      </c>
      <c r="BV214" s="230">
        <v>9506460</v>
      </c>
      <c r="BW214" s="230">
        <v>4556601</v>
      </c>
      <c r="BX214" s="229">
        <v>0.4793</v>
      </c>
      <c r="BY214" s="230">
        <v>5999</v>
      </c>
      <c r="BZ214" s="230">
        <v>5979</v>
      </c>
      <c r="CA214" s="228">
        <v>21</v>
      </c>
      <c r="CB214" s="229">
        <v>3.3999999999999998E-3</v>
      </c>
      <c r="CC214" s="230">
        <v>5386</v>
      </c>
      <c r="CD214" s="230">
        <v>5378</v>
      </c>
      <c r="CE214" s="228">
        <v>8</v>
      </c>
      <c r="CF214" s="229">
        <v>1.6000000000000001E-3</v>
      </c>
      <c r="CG214" s="228">
        <v>564</v>
      </c>
      <c r="CH214" s="228">
        <v>558</v>
      </c>
      <c r="CI214" s="228">
        <v>6</v>
      </c>
      <c r="CJ214" s="229">
        <v>1.09E-2</v>
      </c>
      <c r="CK214" s="228">
        <v>49</v>
      </c>
      <c r="CL214" s="228">
        <v>42</v>
      </c>
      <c r="CM214" s="228">
        <v>6</v>
      </c>
      <c r="CN214" s="229">
        <v>0.14230000000000001</v>
      </c>
      <c r="CO214" s="230">
        <v>2603</v>
      </c>
      <c r="CP214" s="230">
        <v>2594</v>
      </c>
      <c r="CQ214" s="228">
        <v>8</v>
      </c>
      <c r="CR214" s="229">
        <v>3.3E-3</v>
      </c>
      <c r="CS214" s="230">
        <v>1373</v>
      </c>
      <c r="CT214" s="230">
        <v>1387</v>
      </c>
      <c r="CU214" s="228">
        <v>-13</v>
      </c>
      <c r="CV214" s="229">
        <v>-9.4000000000000004E-3</v>
      </c>
      <c r="CW214" s="230">
        <v>9975</v>
      </c>
      <c r="CX214" s="230">
        <v>9959</v>
      </c>
      <c r="CY214" s="228">
        <v>16</v>
      </c>
      <c r="CZ214" s="229">
        <v>1.6000000000000001E-3</v>
      </c>
      <c r="DA214" s="228">
        <v>28.7</v>
      </c>
      <c r="DB214" s="228">
        <v>30.37</v>
      </c>
      <c r="DC214" s="228">
        <v>-1.67</v>
      </c>
      <c r="DD214" s="228">
        <v>-1.67</v>
      </c>
      <c r="DE214" s="228">
        <v>31.05</v>
      </c>
      <c r="DF214" s="228">
        <v>31.12</v>
      </c>
      <c r="DG214" s="228">
        <v>-2.35</v>
      </c>
      <c r="DH214" s="228">
        <v>-7.0000000000000007E-2</v>
      </c>
      <c r="DI214" s="228">
        <v>29.6</v>
      </c>
      <c r="DJ214" s="228">
        <v>31.31</v>
      </c>
      <c r="DK214" s="228">
        <v>-1.71</v>
      </c>
      <c r="DL214" s="228">
        <v>-1.71</v>
      </c>
      <c r="DM214" s="228">
        <v>26.81</v>
      </c>
      <c r="DN214" s="228">
        <v>28.13</v>
      </c>
      <c r="DO214" s="228">
        <v>-1.32</v>
      </c>
      <c r="DP214" s="228">
        <v>-1.32</v>
      </c>
      <c r="DQ214" s="228">
        <v>0.53</v>
      </c>
      <c r="DR214" s="228">
        <v>0.53</v>
      </c>
      <c r="DS214" s="228">
        <v>0</v>
      </c>
      <c r="DT214" s="229">
        <v>0</v>
      </c>
      <c r="DU214" s="228">
        <v>210</v>
      </c>
      <c r="DV214" s="228">
        <v>200</v>
      </c>
      <c r="DW214" s="228">
        <v>0.48</v>
      </c>
      <c r="DX214" s="228">
        <v>0.42</v>
      </c>
      <c r="DY214" s="228">
        <v>0.06</v>
      </c>
      <c r="DZ214" s="229">
        <v>0.1429</v>
      </c>
      <c r="EA214" s="229">
        <v>0.1022</v>
      </c>
      <c r="EB214" s="230">
        <v>30417000</v>
      </c>
      <c r="EC214" s="229">
        <v>-3.0499999999999999E-2</v>
      </c>
      <c r="ED214" s="229">
        <v>0.1022</v>
      </c>
      <c r="EE214" s="228">
        <v>-6.13</v>
      </c>
      <c r="EF214" s="229">
        <v>-3.1099999999999999E-2</v>
      </c>
      <c r="EG214" s="230">
        <v>8233719</v>
      </c>
      <c r="EH214" s="230">
        <v>5342779</v>
      </c>
      <c r="EI214" s="229">
        <v>0.54110000000000003</v>
      </c>
      <c r="EJ214" s="229">
        <v>0.58550000000000002</v>
      </c>
      <c r="EK214" s="231">
        <v>1579.22</v>
      </c>
      <c r="EL214" s="228">
        <v>689.61</v>
      </c>
      <c r="EM214" s="228">
        <v>395.85</v>
      </c>
      <c r="EN214" s="228">
        <v>79.55</v>
      </c>
      <c r="EO214" s="231">
        <v>2664.68</v>
      </c>
      <c r="EP214" s="231">
        <v>1849.18</v>
      </c>
      <c r="EQ214" s="228">
        <v>815.5</v>
      </c>
      <c r="ER214" s="229">
        <v>0.441</v>
      </c>
      <c r="ES214" s="231">
        <v>2796.47</v>
      </c>
      <c r="ET214" s="231">
        <v>1346.22</v>
      </c>
      <c r="EU214" s="231">
        <v>5979.83</v>
      </c>
      <c r="EV214" s="231">
        <v>428710078</v>
      </c>
      <c r="EW214" s="231">
        <v>10122.52</v>
      </c>
      <c r="EX214" s="231">
        <v>10058.31</v>
      </c>
      <c r="EY214" s="228">
        <v>64.209999999999994</v>
      </c>
      <c r="EZ214" s="229">
        <v>6.4000000000000003E-3</v>
      </c>
      <c r="FA214" s="229">
        <v>1.1780999999999999</v>
      </c>
      <c r="FB214" s="227" t="s">
        <v>555</v>
      </c>
      <c r="FC214">
        <f t="shared" si="4"/>
        <v>0</v>
      </c>
    </row>
    <row r="215" spans="1:159" ht="17.25" thickBot="1" x14ac:dyDescent="0.3">
      <c r="A215" s="226">
        <v>46148</v>
      </c>
      <c r="B215" s="227" t="s">
        <v>172</v>
      </c>
      <c r="C215" s="227" t="s">
        <v>589</v>
      </c>
      <c r="D215" s="228">
        <v>31100</v>
      </c>
      <c r="E215" s="228">
        <v>20</v>
      </c>
      <c r="F215" s="228">
        <v>22.23</v>
      </c>
      <c r="G215" s="228">
        <v>20.61</v>
      </c>
      <c r="H215" s="228">
        <v>1.62</v>
      </c>
      <c r="I215" s="229">
        <v>7.8600000000000003E-2</v>
      </c>
      <c r="J215" s="228">
        <v>22.13</v>
      </c>
      <c r="K215" s="228">
        <v>20.48</v>
      </c>
      <c r="L215" s="228">
        <v>1.65</v>
      </c>
      <c r="M215" s="229">
        <v>8.0600000000000005E-2</v>
      </c>
      <c r="N215" s="228">
        <v>22.23</v>
      </c>
      <c r="O215" s="228">
        <v>20.61</v>
      </c>
      <c r="P215" s="228">
        <v>1.62</v>
      </c>
      <c r="Q215" s="229">
        <v>7.8600000000000003E-2</v>
      </c>
      <c r="R215" s="228">
        <v>22.37</v>
      </c>
      <c r="S215" s="228">
        <v>20.74</v>
      </c>
      <c r="T215" s="228">
        <v>1.63</v>
      </c>
      <c r="U215" s="229">
        <v>7.8600000000000003E-2</v>
      </c>
      <c r="V215" s="228">
        <v>22.49</v>
      </c>
      <c r="W215" s="228">
        <v>20.84</v>
      </c>
      <c r="X215" s="228">
        <v>1.65</v>
      </c>
      <c r="Y215" s="229">
        <v>7.9200000000000007E-2</v>
      </c>
      <c r="Z215" s="228">
        <v>0.1</v>
      </c>
      <c r="AA215" s="228">
        <v>0.13</v>
      </c>
      <c r="AB215" s="228">
        <v>-0.03</v>
      </c>
      <c r="AC215" s="229">
        <v>4.4999999999999997E-3</v>
      </c>
      <c r="AD215" s="228">
        <v>0.1</v>
      </c>
      <c r="AE215" s="228">
        <v>0.13</v>
      </c>
      <c r="AF215" s="228">
        <v>-0.03</v>
      </c>
      <c r="AG215" s="229">
        <v>4.4999999999999997E-3</v>
      </c>
      <c r="AH215" s="228">
        <v>0.24</v>
      </c>
      <c r="AI215" s="228">
        <v>0.26</v>
      </c>
      <c r="AJ215" s="228">
        <v>-0.02</v>
      </c>
      <c r="AK215" s="229">
        <v>1.0800000000000001E-2</v>
      </c>
      <c r="AL215" s="228">
        <v>0.36</v>
      </c>
      <c r="AM215" s="228">
        <v>0.36</v>
      </c>
      <c r="AN215" s="228">
        <v>0</v>
      </c>
      <c r="AO215" s="229">
        <v>1.6299999999999999E-2</v>
      </c>
      <c r="AP215" s="228">
        <v>21.68</v>
      </c>
      <c r="AQ215" s="228">
        <v>21.86</v>
      </c>
      <c r="AR215" s="228">
        <v>0</v>
      </c>
      <c r="AS215" s="230">
        <v>1265</v>
      </c>
      <c r="AT215" s="228">
        <v>701</v>
      </c>
      <c r="AU215" s="228">
        <v>564</v>
      </c>
      <c r="AV215" s="229">
        <v>0.80510000000000004</v>
      </c>
      <c r="AW215" s="230">
        <v>1126</v>
      </c>
      <c r="AX215" s="228">
        <v>607</v>
      </c>
      <c r="AY215" s="228">
        <v>519</v>
      </c>
      <c r="AZ215" s="229">
        <v>0.85599999999999998</v>
      </c>
      <c r="BA215" s="228">
        <v>116</v>
      </c>
      <c r="BB215" s="228">
        <v>80</v>
      </c>
      <c r="BC215" s="228">
        <v>36</v>
      </c>
      <c r="BD215" s="229">
        <v>0.44600000000000001</v>
      </c>
      <c r="BE215" s="228">
        <v>24</v>
      </c>
      <c r="BF215" s="228">
        <v>14</v>
      </c>
      <c r="BG215" s="228">
        <v>9</v>
      </c>
      <c r="BH215" s="229">
        <v>0.65869999999999995</v>
      </c>
      <c r="BI215" s="230">
        <v>4563</v>
      </c>
      <c r="BJ215" s="230">
        <v>2276</v>
      </c>
      <c r="BK215" s="230">
        <v>2287</v>
      </c>
      <c r="BL215" s="229">
        <v>1.0048999999999999</v>
      </c>
      <c r="BM215" s="230">
        <v>1416</v>
      </c>
      <c r="BN215" s="228">
        <v>707</v>
      </c>
      <c r="BO215" s="228">
        <v>709</v>
      </c>
      <c r="BP215" s="229">
        <v>1.0024</v>
      </c>
      <c r="BQ215" s="230">
        <v>7245</v>
      </c>
      <c r="BR215" s="230">
        <v>3684</v>
      </c>
      <c r="BS215" s="230">
        <v>3560</v>
      </c>
      <c r="BT215" s="229">
        <v>0.96640000000000004</v>
      </c>
      <c r="BU215" s="230">
        <v>427541493</v>
      </c>
      <c r="BV215" s="230">
        <v>173076391</v>
      </c>
      <c r="BW215" s="230">
        <v>254465102</v>
      </c>
      <c r="BX215" s="229">
        <v>1.4702</v>
      </c>
      <c r="BY215" s="230">
        <v>2863</v>
      </c>
      <c r="BZ215" s="230">
        <v>2902</v>
      </c>
      <c r="CA215" s="228">
        <v>-39</v>
      </c>
      <c r="CB215" s="229">
        <v>-1.34E-2</v>
      </c>
      <c r="CC215" s="230">
        <v>2623</v>
      </c>
      <c r="CD215" s="230">
        <v>2680</v>
      </c>
      <c r="CE215" s="228">
        <v>-57</v>
      </c>
      <c r="CF215" s="229">
        <v>-2.12E-2</v>
      </c>
      <c r="CG215" s="228">
        <v>216</v>
      </c>
      <c r="CH215" s="228">
        <v>202</v>
      </c>
      <c r="CI215" s="228">
        <v>14</v>
      </c>
      <c r="CJ215" s="229">
        <v>6.7400000000000002E-2</v>
      </c>
      <c r="CK215" s="228">
        <v>24</v>
      </c>
      <c r="CL215" s="228">
        <v>20</v>
      </c>
      <c r="CM215" s="228">
        <v>4</v>
      </c>
      <c r="CN215" s="229">
        <v>0.21229999999999999</v>
      </c>
      <c r="CO215" s="228">
        <v>899</v>
      </c>
      <c r="CP215" s="228">
        <v>759</v>
      </c>
      <c r="CQ215" s="228">
        <v>140</v>
      </c>
      <c r="CR215" s="229">
        <v>0.1845</v>
      </c>
      <c r="CS215" s="228">
        <v>549</v>
      </c>
      <c r="CT215" s="228">
        <v>434</v>
      </c>
      <c r="CU215" s="228">
        <v>115</v>
      </c>
      <c r="CV215" s="229">
        <v>0.26550000000000001</v>
      </c>
      <c r="CW215" s="230">
        <v>4311</v>
      </c>
      <c r="CX215" s="230">
        <v>4095</v>
      </c>
      <c r="CY215" s="228">
        <v>216</v>
      </c>
      <c r="CZ215" s="229">
        <v>5.28E-2</v>
      </c>
      <c r="DA215" s="228">
        <v>37.25</v>
      </c>
      <c r="DB215" s="228">
        <v>33.74</v>
      </c>
      <c r="DC215" s="228">
        <v>3.51</v>
      </c>
      <c r="DD215" s="228">
        <v>3.51</v>
      </c>
      <c r="DE215" s="228">
        <v>39.299999999999997</v>
      </c>
      <c r="DF215" s="228">
        <v>38.04</v>
      </c>
      <c r="DG215" s="228">
        <v>-2.0499999999999998</v>
      </c>
      <c r="DH215" s="228">
        <v>1.26</v>
      </c>
      <c r="DI215" s="228">
        <v>37.43</v>
      </c>
      <c r="DJ215" s="228">
        <v>34.520000000000003</v>
      </c>
      <c r="DK215" s="228">
        <v>2.91</v>
      </c>
      <c r="DL215" s="228">
        <v>2.91</v>
      </c>
      <c r="DM215" s="228">
        <v>36.69</v>
      </c>
      <c r="DN215" s="228">
        <v>31.2</v>
      </c>
      <c r="DO215" s="228">
        <v>5.49</v>
      </c>
      <c r="DP215" s="228">
        <v>5.49</v>
      </c>
      <c r="DQ215" s="228">
        <v>0.61</v>
      </c>
      <c r="DR215" s="228">
        <v>0.56999999999999995</v>
      </c>
      <c r="DS215" s="228">
        <v>0.04</v>
      </c>
      <c r="DT215" s="229">
        <v>7.0199999999999999E-2</v>
      </c>
      <c r="DU215" s="228">
        <v>24</v>
      </c>
      <c r="DV215" s="228">
        <v>20</v>
      </c>
      <c r="DW215" s="228">
        <v>0.31</v>
      </c>
      <c r="DX215" s="228">
        <v>0.31</v>
      </c>
      <c r="DY215" s="228">
        <v>0</v>
      </c>
      <c r="DZ215" s="229">
        <v>0</v>
      </c>
      <c r="EA215" s="229">
        <v>8.3900000000000002E-2</v>
      </c>
      <c r="EB215" s="230">
        <v>99986500</v>
      </c>
      <c r="EC215" s="229">
        <v>6.3E-3</v>
      </c>
      <c r="ED215" s="229">
        <v>8.3900000000000002E-2</v>
      </c>
      <c r="EE215" s="228">
        <v>0.18</v>
      </c>
      <c r="EF215" s="229">
        <v>8.3000000000000001E-3</v>
      </c>
      <c r="EG215" s="230">
        <v>184237877</v>
      </c>
      <c r="EH215" s="230">
        <v>59982888</v>
      </c>
      <c r="EI215" s="229">
        <v>2.0714999999999999</v>
      </c>
      <c r="EJ215" s="229">
        <v>0.43090000000000001</v>
      </c>
      <c r="EK215" s="231">
        <v>4782.6400000000003</v>
      </c>
      <c r="EL215" s="231">
        <v>1324.79</v>
      </c>
      <c r="EM215" s="231">
        <v>1235.4100000000001</v>
      </c>
      <c r="EN215" s="228">
        <v>60.78</v>
      </c>
      <c r="EO215" s="231">
        <v>7342.83</v>
      </c>
      <c r="EP215" s="231">
        <v>3578</v>
      </c>
      <c r="EQ215" s="231">
        <v>3764.84</v>
      </c>
      <c r="ER215" s="229">
        <v>1.0522</v>
      </c>
      <c r="ES215" s="228">
        <v>912.81</v>
      </c>
      <c r="ET215" s="228">
        <v>494.15</v>
      </c>
      <c r="EU215" s="231">
        <v>2864.68</v>
      </c>
      <c r="EV215" s="231">
        <v>3425130022</v>
      </c>
      <c r="EW215" s="231">
        <v>4271.6400000000003</v>
      </c>
      <c r="EX215" s="231">
        <v>3811.97</v>
      </c>
      <c r="EY215" s="228">
        <v>459.67</v>
      </c>
      <c r="EZ215" s="229">
        <v>0.1206</v>
      </c>
      <c r="FA215" s="229">
        <v>0.56620000000000004</v>
      </c>
      <c r="FB215" s="227" t="s">
        <v>691</v>
      </c>
      <c r="FC215">
        <f t="shared" si="4"/>
        <v>0</v>
      </c>
    </row>
    <row r="216" spans="1:159" ht="17.25" thickBot="1" x14ac:dyDescent="0.3">
      <c r="A216" s="226">
        <v>46148</v>
      </c>
      <c r="B216" s="227" t="s">
        <v>170</v>
      </c>
      <c r="C216" s="227" t="s">
        <v>556</v>
      </c>
      <c r="D216" s="228">
        <v>900</v>
      </c>
      <c r="E216" s="228">
        <v>20</v>
      </c>
      <c r="F216" s="228">
        <v>944.8</v>
      </c>
      <c r="G216" s="228">
        <v>918.7</v>
      </c>
      <c r="H216" s="228">
        <v>26.1</v>
      </c>
      <c r="I216" s="229">
        <v>2.8400000000000002E-2</v>
      </c>
      <c r="J216" s="228">
        <v>938.8</v>
      </c>
      <c r="K216" s="228">
        <v>912.25</v>
      </c>
      <c r="L216" s="228">
        <v>26.55</v>
      </c>
      <c r="M216" s="229">
        <v>2.9100000000000001E-2</v>
      </c>
      <c r="N216" s="228">
        <v>944.8</v>
      </c>
      <c r="O216" s="228">
        <v>918.7</v>
      </c>
      <c r="P216" s="228">
        <v>26.1</v>
      </c>
      <c r="Q216" s="229">
        <v>2.8400000000000002E-2</v>
      </c>
      <c r="R216" s="228">
        <v>951.35</v>
      </c>
      <c r="S216" s="228">
        <v>923.75</v>
      </c>
      <c r="T216" s="228">
        <v>27.6</v>
      </c>
      <c r="U216" s="229">
        <v>2.9899999999999999E-2</v>
      </c>
      <c r="V216" s="228">
        <v>949.05</v>
      </c>
      <c r="W216" s="228">
        <v>921.15</v>
      </c>
      <c r="X216" s="228">
        <v>27.9</v>
      </c>
      <c r="Y216" s="229">
        <v>3.0300000000000001E-2</v>
      </c>
      <c r="Z216" s="228">
        <v>6</v>
      </c>
      <c r="AA216" s="228">
        <v>6.45</v>
      </c>
      <c r="AB216" s="228">
        <v>-0.45</v>
      </c>
      <c r="AC216" s="229">
        <v>6.4000000000000003E-3</v>
      </c>
      <c r="AD216" s="228">
        <v>6</v>
      </c>
      <c r="AE216" s="228">
        <v>6.45</v>
      </c>
      <c r="AF216" s="228">
        <v>-0.45</v>
      </c>
      <c r="AG216" s="229">
        <v>6.4000000000000003E-3</v>
      </c>
      <c r="AH216" s="228">
        <v>12.55</v>
      </c>
      <c r="AI216" s="228">
        <v>11.5</v>
      </c>
      <c r="AJ216" s="228">
        <v>1.05</v>
      </c>
      <c r="AK216" s="229">
        <v>1.34E-2</v>
      </c>
      <c r="AL216" s="228">
        <v>10.25</v>
      </c>
      <c r="AM216" s="228">
        <v>8.9</v>
      </c>
      <c r="AN216" s="228">
        <v>1.35</v>
      </c>
      <c r="AO216" s="229">
        <v>1.09E-2</v>
      </c>
      <c r="AP216" s="228">
        <v>938.53</v>
      </c>
      <c r="AQ216" s="228">
        <v>944.84</v>
      </c>
      <c r="AR216" s="228">
        <v>0</v>
      </c>
      <c r="AS216" s="228">
        <v>225</v>
      </c>
      <c r="AT216" s="228">
        <v>112</v>
      </c>
      <c r="AU216" s="228">
        <v>113</v>
      </c>
      <c r="AV216" s="229">
        <v>1.0137</v>
      </c>
      <c r="AW216" s="228">
        <v>210</v>
      </c>
      <c r="AX216" s="228">
        <v>107</v>
      </c>
      <c r="AY216" s="228">
        <v>104</v>
      </c>
      <c r="AZ216" s="229">
        <v>0.97130000000000005</v>
      </c>
      <c r="BA216" s="228">
        <v>13</v>
      </c>
      <c r="BB216" s="228">
        <v>5</v>
      </c>
      <c r="BC216" s="228">
        <v>8</v>
      </c>
      <c r="BD216" s="229">
        <v>1.7273000000000001</v>
      </c>
      <c r="BE216" s="228">
        <v>2</v>
      </c>
      <c r="BF216" s="228">
        <v>0</v>
      </c>
      <c r="BG216" s="228">
        <v>1</v>
      </c>
      <c r="BH216" s="229">
        <v>5.6666999999999996</v>
      </c>
      <c r="BI216" s="228">
        <v>857</v>
      </c>
      <c r="BJ216" s="228">
        <v>228</v>
      </c>
      <c r="BK216" s="228">
        <v>629</v>
      </c>
      <c r="BL216" s="229">
        <v>2.7650000000000001</v>
      </c>
      <c r="BM216" s="228">
        <v>235</v>
      </c>
      <c r="BN216" s="228">
        <v>79</v>
      </c>
      <c r="BO216" s="228">
        <v>157</v>
      </c>
      <c r="BP216" s="229">
        <v>1.9945999999999999</v>
      </c>
      <c r="BQ216" s="230">
        <v>1317</v>
      </c>
      <c r="BR216" s="228">
        <v>418</v>
      </c>
      <c r="BS216" s="228">
        <v>899</v>
      </c>
      <c r="BT216" s="229">
        <v>2.1524999999999999</v>
      </c>
      <c r="BU216" s="230">
        <v>1557796</v>
      </c>
      <c r="BV216" s="230">
        <v>414725</v>
      </c>
      <c r="BW216" s="230">
        <v>1143071</v>
      </c>
      <c r="BX216" s="229">
        <v>2.7562000000000002</v>
      </c>
      <c r="BY216" s="228">
        <v>920</v>
      </c>
      <c r="BZ216" s="228">
        <v>916</v>
      </c>
      <c r="CA216" s="228">
        <v>4</v>
      </c>
      <c r="CB216" s="229">
        <v>4.4000000000000003E-3</v>
      </c>
      <c r="CC216" s="228">
        <v>889</v>
      </c>
      <c r="CD216" s="228">
        <v>890</v>
      </c>
      <c r="CE216" s="228">
        <v>-1</v>
      </c>
      <c r="CF216" s="229">
        <v>-6.9999999999999999E-4</v>
      </c>
      <c r="CG216" s="228">
        <v>29</v>
      </c>
      <c r="CH216" s="228">
        <v>25</v>
      </c>
      <c r="CI216" s="228">
        <v>4</v>
      </c>
      <c r="CJ216" s="229">
        <v>0.14530000000000001</v>
      </c>
      <c r="CK216" s="228">
        <v>2</v>
      </c>
      <c r="CL216" s="228">
        <v>1</v>
      </c>
      <c r="CM216" s="228">
        <v>1</v>
      </c>
      <c r="CN216" s="229">
        <v>0.6875</v>
      </c>
      <c r="CO216" s="228">
        <v>340</v>
      </c>
      <c r="CP216" s="228">
        <v>288</v>
      </c>
      <c r="CQ216" s="228">
        <v>52</v>
      </c>
      <c r="CR216" s="229">
        <v>0.1799</v>
      </c>
      <c r="CS216" s="228">
        <v>212</v>
      </c>
      <c r="CT216" s="228">
        <v>203</v>
      </c>
      <c r="CU216" s="228">
        <v>9</v>
      </c>
      <c r="CV216" s="229">
        <v>4.5600000000000002E-2</v>
      </c>
      <c r="CW216" s="230">
        <v>1473</v>
      </c>
      <c r="CX216" s="230">
        <v>1407</v>
      </c>
      <c r="CY216" s="228">
        <v>65</v>
      </c>
      <c r="CZ216" s="229">
        <v>4.6300000000000001E-2</v>
      </c>
      <c r="DA216" s="228">
        <v>29.58</v>
      </c>
      <c r="DB216" s="228">
        <v>29.21</v>
      </c>
      <c r="DC216" s="228">
        <v>0.37</v>
      </c>
      <c r="DD216" s="228">
        <v>0.37</v>
      </c>
      <c r="DE216" s="228">
        <v>28.27</v>
      </c>
      <c r="DF216" s="228">
        <v>28.08</v>
      </c>
      <c r="DG216" s="228">
        <v>1.31</v>
      </c>
      <c r="DH216" s="228">
        <v>0.19</v>
      </c>
      <c r="DI216" s="228">
        <v>29.55</v>
      </c>
      <c r="DJ216" s="228">
        <v>28.71</v>
      </c>
      <c r="DK216" s="228">
        <v>0.84</v>
      </c>
      <c r="DL216" s="228">
        <v>0.84</v>
      </c>
      <c r="DM216" s="228">
        <v>29.69</v>
      </c>
      <c r="DN216" s="228">
        <v>30.65</v>
      </c>
      <c r="DO216" s="228">
        <v>-0.96</v>
      </c>
      <c r="DP216" s="228">
        <v>-0.96</v>
      </c>
      <c r="DQ216" s="228">
        <v>0.62</v>
      </c>
      <c r="DR216" s="228">
        <v>0.7</v>
      </c>
      <c r="DS216" s="228">
        <v>-0.08</v>
      </c>
      <c r="DT216" s="229">
        <v>-0.1143</v>
      </c>
      <c r="DU216" s="231">
        <v>1000</v>
      </c>
      <c r="DV216" s="228">
        <v>900</v>
      </c>
      <c r="DW216" s="228">
        <v>0.27</v>
      </c>
      <c r="DX216" s="228">
        <v>0.35</v>
      </c>
      <c r="DY216" s="228">
        <v>-0.08</v>
      </c>
      <c r="DZ216" s="229">
        <v>-0.2286</v>
      </c>
      <c r="EA216" s="229">
        <v>3.3799999999999997E-2</v>
      </c>
      <c r="EB216" s="230">
        <v>280800</v>
      </c>
      <c r="EC216" s="229">
        <v>6.8999999999999999E-3</v>
      </c>
      <c r="ED216" s="229">
        <v>3.3799999999999997E-2</v>
      </c>
      <c r="EE216" s="228">
        <v>6.31</v>
      </c>
      <c r="EF216" s="229">
        <v>6.7000000000000002E-3</v>
      </c>
      <c r="EG216" s="230">
        <v>758151</v>
      </c>
      <c r="EH216" s="230">
        <v>168234</v>
      </c>
      <c r="EI216" s="229">
        <v>3.5065</v>
      </c>
      <c r="EJ216" s="229">
        <v>0.48670000000000002</v>
      </c>
      <c r="EK216" s="228">
        <v>891.65</v>
      </c>
      <c r="EL216" s="228">
        <v>227.1</v>
      </c>
      <c r="EM216" s="228">
        <v>223.26</v>
      </c>
      <c r="EN216" s="228">
        <v>12.6</v>
      </c>
      <c r="EO216" s="231">
        <v>1342.01</v>
      </c>
      <c r="EP216" s="228">
        <v>415.07</v>
      </c>
      <c r="EQ216" s="228">
        <v>926.94</v>
      </c>
      <c r="ER216" s="229">
        <v>2.2332000000000001</v>
      </c>
      <c r="ES216" s="228">
        <v>351.22</v>
      </c>
      <c r="ET216" s="228">
        <v>205.08</v>
      </c>
      <c r="EU216" s="228">
        <v>920.34</v>
      </c>
      <c r="EV216" s="231">
        <v>25160867</v>
      </c>
      <c r="EW216" s="231">
        <v>1476.65</v>
      </c>
      <c r="EX216" s="231">
        <v>1382.93</v>
      </c>
      <c r="EY216" s="228">
        <v>93.72</v>
      </c>
      <c r="EZ216" s="229">
        <v>6.7799999999999999E-2</v>
      </c>
      <c r="FA216" s="229">
        <v>0.61950000000000005</v>
      </c>
      <c r="FB216" s="227" t="s">
        <v>555</v>
      </c>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BY326-CC326</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BY390-CC390</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CA8" sqref="CA8"/>
    </sheetView>
  </sheetViews>
  <sheetFormatPr defaultRowHeight="15" x14ac:dyDescent="0.25"/>
  <cols>
    <col min="1" max="1" width="12.57031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4.85546875" customWidth="1"/>
    <col min="79" max="79" width="9" customWidth="1"/>
    <col min="80" max="81" width="15.5703125" customWidth="1"/>
    <col min="82" max="82" width="14.85546875" customWidth="1"/>
    <col min="83" max="83" width="11.42578125" customWidth="1"/>
    <col min="84" max="84" width="14" customWidth="1"/>
    <col min="85" max="85" width="14.42578125" customWidth="1"/>
    <col min="86" max="86" width="13.5703125" customWidth="1"/>
    <col min="87" max="87" width="11.42578125" customWidth="1"/>
    <col min="88" max="89" width="12.7109375" customWidth="1"/>
    <col min="90" max="90" width="11.5703125" customWidth="1"/>
    <col min="91" max="91" width="10.140625" customWidth="1"/>
    <col min="92" max="93" width="15.5703125" customWidth="1"/>
    <col min="94" max="94" width="13.7109375" customWidth="1"/>
    <col min="95" max="95" width="10.42578125" customWidth="1"/>
    <col min="96" max="97" width="14" customWidth="1"/>
    <col min="98" max="98" width="12.7109375" customWidth="1"/>
    <col min="99" max="99" width="10.28515625" customWidth="1"/>
    <col min="100" max="101" width="15.5703125" customWidth="1"/>
    <col min="102" max="102" width="14.85546875" customWidth="1"/>
    <col min="103" max="103" width="11.7109375" customWidth="1"/>
    <col min="104" max="104" width="8" style="195" customWidth="1"/>
    <col min="105" max="105" width="8.7109375" customWidth="1"/>
    <col min="106" max="107" width="8.855468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2" width="15.85546875" customWidth="1"/>
    <col min="153"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thickBot="1" x14ac:dyDescent="0.3">
      <c r="A2" s="226">
        <v>46148</v>
      </c>
      <c r="B2" s="227" t="s">
        <v>175</v>
      </c>
      <c r="C2" s="227" t="s">
        <v>678</v>
      </c>
      <c r="D2" s="228">
        <v>500</v>
      </c>
      <c r="E2" s="231">
        <v>1091.8</v>
      </c>
      <c r="F2" s="231">
        <v>1076.7</v>
      </c>
      <c r="G2" s="228">
        <v>15.1</v>
      </c>
      <c r="H2" s="229">
        <v>1.4E-2</v>
      </c>
      <c r="I2" s="231">
        <v>1084.0999999999999</v>
      </c>
      <c r="J2" s="231">
        <v>1070.7</v>
      </c>
      <c r="K2" s="228">
        <v>13.4</v>
      </c>
      <c r="L2" s="229">
        <v>1.2500000000000001E-2</v>
      </c>
      <c r="M2" s="231">
        <v>1091.8</v>
      </c>
      <c r="N2" s="231">
        <v>1076.7</v>
      </c>
      <c r="O2" s="228">
        <v>15.1</v>
      </c>
      <c r="P2" s="229">
        <v>1.4E-2</v>
      </c>
      <c r="Q2" s="231">
        <v>1094.8</v>
      </c>
      <c r="R2" s="231">
        <v>1079.5999999999999</v>
      </c>
      <c r="S2" s="228">
        <v>15.2</v>
      </c>
      <c r="T2" s="229">
        <v>1.41E-2</v>
      </c>
      <c r="U2" s="231">
        <v>1093</v>
      </c>
      <c r="V2" s="231">
        <v>1078</v>
      </c>
      <c r="W2" s="228">
        <v>15</v>
      </c>
      <c r="X2" s="229">
        <v>1.3899999999999999E-2</v>
      </c>
      <c r="Y2" s="228">
        <v>7.7</v>
      </c>
      <c r="Z2" s="228">
        <v>6</v>
      </c>
      <c r="AA2" s="228">
        <v>1.7</v>
      </c>
      <c r="AB2" s="229">
        <v>7.1000000000000004E-3</v>
      </c>
      <c r="AC2" s="228">
        <v>7.7</v>
      </c>
      <c r="AD2" s="228">
        <v>6</v>
      </c>
      <c r="AE2" s="228">
        <v>1.7</v>
      </c>
      <c r="AF2" s="229">
        <v>7.1000000000000004E-3</v>
      </c>
      <c r="AG2" s="228">
        <v>10.7</v>
      </c>
      <c r="AH2" s="228">
        <v>8.9</v>
      </c>
      <c r="AI2" s="228">
        <v>1.8</v>
      </c>
      <c r="AJ2" s="229">
        <v>9.9000000000000008E-3</v>
      </c>
      <c r="AK2" s="228">
        <v>8.9</v>
      </c>
      <c r="AL2" s="228">
        <v>7.3</v>
      </c>
      <c r="AM2" s="228">
        <v>1.6</v>
      </c>
      <c r="AN2" s="229">
        <v>8.2000000000000007E-3</v>
      </c>
      <c r="AO2" s="231">
        <v>1089.98</v>
      </c>
      <c r="AP2" s="231">
        <v>1095.22</v>
      </c>
      <c r="AQ2" s="228">
        <v>0</v>
      </c>
      <c r="AR2" s="230">
        <v>1265000</v>
      </c>
      <c r="AS2" s="230">
        <v>1436500</v>
      </c>
      <c r="AT2" s="230">
        <v>-171500</v>
      </c>
      <c r="AU2" s="229">
        <v>-0.11940000000000001</v>
      </c>
      <c r="AV2" s="230">
        <v>1255500</v>
      </c>
      <c r="AW2" s="230">
        <v>1420500</v>
      </c>
      <c r="AX2" s="230">
        <v>-165000</v>
      </c>
      <c r="AY2" s="229">
        <v>-0.1162</v>
      </c>
      <c r="AZ2" s="230">
        <v>9000</v>
      </c>
      <c r="BA2" s="230">
        <v>15500</v>
      </c>
      <c r="BB2" s="230">
        <v>-6500</v>
      </c>
      <c r="BC2" s="229">
        <v>-0.4194</v>
      </c>
      <c r="BD2" s="228">
        <v>500</v>
      </c>
      <c r="BE2" s="228">
        <v>500</v>
      </c>
      <c r="BF2" s="228">
        <v>0</v>
      </c>
      <c r="BG2" s="229">
        <v>0</v>
      </c>
      <c r="BH2" s="230">
        <v>1029000</v>
      </c>
      <c r="BI2" s="230">
        <v>1095000</v>
      </c>
      <c r="BJ2" s="230">
        <v>-66000</v>
      </c>
      <c r="BK2" s="229">
        <v>-6.0299999999999999E-2</v>
      </c>
      <c r="BL2" s="230">
        <v>251500</v>
      </c>
      <c r="BM2" s="230">
        <v>454000</v>
      </c>
      <c r="BN2" s="230">
        <v>-202500</v>
      </c>
      <c r="BO2" s="229">
        <v>-0.44600000000000001</v>
      </c>
      <c r="BP2" s="230">
        <v>2545500</v>
      </c>
      <c r="BQ2" s="230">
        <v>2985500</v>
      </c>
      <c r="BR2" s="230">
        <v>-440000</v>
      </c>
      <c r="BS2" s="229">
        <v>-0.1474</v>
      </c>
      <c r="BT2" s="230">
        <v>2190574</v>
      </c>
      <c r="BU2" s="230">
        <v>1777671</v>
      </c>
      <c r="BV2" s="230">
        <v>412903</v>
      </c>
      <c r="BW2" s="229">
        <v>0.23230000000000001</v>
      </c>
      <c r="BX2" s="230">
        <v>5112500</v>
      </c>
      <c r="BY2" s="230">
        <v>4655000</v>
      </c>
      <c r="BZ2" s="230">
        <v>457500</v>
      </c>
      <c r="CA2" s="229">
        <v>9.8299999999999998E-2</v>
      </c>
      <c r="CB2" s="230">
        <v>5074000</v>
      </c>
      <c r="CC2" s="230">
        <v>4615000</v>
      </c>
      <c r="CD2" s="230">
        <v>459000</v>
      </c>
      <c r="CE2" s="229">
        <v>9.9500000000000005E-2</v>
      </c>
      <c r="CF2" s="230">
        <v>37000</v>
      </c>
      <c r="CG2" s="230">
        <v>38500</v>
      </c>
      <c r="CH2" s="230">
        <v>-1500</v>
      </c>
      <c r="CI2" s="229">
        <v>-3.9E-2</v>
      </c>
      <c r="CJ2" s="230">
        <v>1500</v>
      </c>
      <c r="CK2" s="230">
        <v>1500</v>
      </c>
      <c r="CL2" s="228">
        <v>0</v>
      </c>
      <c r="CM2" s="229">
        <v>0</v>
      </c>
      <c r="CN2" s="230">
        <v>1010000</v>
      </c>
      <c r="CO2" s="230">
        <v>1084500</v>
      </c>
      <c r="CP2" s="230">
        <v>-74500</v>
      </c>
      <c r="CQ2" s="229">
        <v>-6.8699999999999997E-2</v>
      </c>
      <c r="CR2" s="230">
        <v>581500</v>
      </c>
      <c r="CS2" s="230">
        <v>593500</v>
      </c>
      <c r="CT2" s="230">
        <v>-12000</v>
      </c>
      <c r="CU2" s="229">
        <v>-2.0199999999999999E-2</v>
      </c>
      <c r="CV2" s="230">
        <v>6704000</v>
      </c>
      <c r="CW2" s="230">
        <v>6333000</v>
      </c>
      <c r="CX2" s="230">
        <v>371000</v>
      </c>
      <c r="CY2" s="229">
        <v>5.8599999999999999E-2</v>
      </c>
      <c r="CZ2" s="228">
        <v>34.299999999999997</v>
      </c>
      <c r="DA2" s="228">
        <v>35.369999999999997</v>
      </c>
      <c r="DB2" s="228">
        <v>-1.07</v>
      </c>
      <c r="DC2" s="228">
        <v>-1.07</v>
      </c>
      <c r="DD2" s="228">
        <v>41.82</v>
      </c>
      <c r="DE2" s="228">
        <v>41.88</v>
      </c>
      <c r="DF2" s="228">
        <v>-7.52</v>
      </c>
      <c r="DG2" s="228">
        <v>-0.06</v>
      </c>
      <c r="DH2" s="228">
        <v>33.83</v>
      </c>
      <c r="DI2" s="228">
        <v>35.229999999999997</v>
      </c>
      <c r="DJ2" s="228">
        <v>-1.4</v>
      </c>
      <c r="DK2" s="228">
        <v>-1.4</v>
      </c>
      <c r="DL2" s="228">
        <v>36.200000000000003</v>
      </c>
      <c r="DM2" s="228">
        <v>35.71</v>
      </c>
      <c r="DN2" s="228">
        <v>0.49</v>
      </c>
      <c r="DO2" s="228">
        <v>0.49</v>
      </c>
      <c r="DP2" s="228">
        <v>0.57999999999999996</v>
      </c>
      <c r="DQ2" s="228">
        <v>0.55000000000000004</v>
      </c>
      <c r="DR2" s="228">
        <v>0.03</v>
      </c>
      <c r="DS2" s="229">
        <v>5.45E-2</v>
      </c>
      <c r="DT2" s="231">
        <v>1100</v>
      </c>
      <c r="DU2" s="231">
        <v>1000</v>
      </c>
      <c r="DV2" s="228">
        <v>0.24</v>
      </c>
      <c r="DW2" s="228">
        <v>0.41</v>
      </c>
      <c r="DX2" s="228">
        <v>-0.17</v>
      </c>
      <c r="DY2" s="229">
        <v>-0.41460000000000002</v>
      </c>
      <c r="DZ2" s="229">
        <v>7.4999999999999997E-3</v>
      </c>
      <c r="EA2" s="230">
        <v>40000</v>
      </c>
      <c r="EB2" s="229">
        <v>2.7000000000000001E-3</v>
      </c>
      <c r="EC2" s="229">
        <v>7.4999999999999997E-3</v>
      </c>
      <c r="ED2" s="228">
        <v>5.24</v>
      </c>
      <c r="EE2" s="229">
        <v>4.7999999999999996E-3</v>
      </c>
      <c r="EF2" s="230">
        <v>1491664</v>
      </c>
      <c r="EG2" s="230">
        <v>1035606</v>
      </c>
      <c r="EH2" s="229">
        <v>0.44040000000000001</v>
      </c>
      <c r="EI2" s="229">
        <v>0.68089999999999995</v>
      </c>
      <c r="EJ2" s="231">
        <v>11819</v>
      </c>
      <c r="EK2" s="231">
        <v>2631.08</v>
      </c>
      <c r="EL2" s="231">
        <v>13788.76</v>
      </c>
      <c r="EM2" s="231">
        <v>2038</v>
      </c>
      <c r="EN2" s="231">
        <v>28238.84</v>
      </c>
      <c r="EO2" s="231">
        <v>32735.37</v>
      </c>
      <c r="EP2" s="231">
        <v>-4496.53</v>
      </c>
      <c r="EQ2" s="229">
        <v>-0.13739999999999999</v>
      </c>
      <c r="ER2" s="231">
        <v>11389</v>
      </c>
      <c r="ES2" s="231">
        <v>5919</v>
      </c>
      <c r="ET2" s="231">
        <v>55819</v>
      </c>
      <c r="EU2" s="231">
        <v>37756901</v>
      </c>
      <c r="EV2" s="231">
        <v>73128</v>
      </c>
      <c r="EW2" s="231">
        <v>68393</v>
      </c>
      <c r="EX2" s="231">
        <v>4735</v>
      </c>
      <c r="EY2" s="229">
        <v>6.9199999999999998E-2</v>
      </c>
      <c r="EZ2" s="229">
        <v>0.17760000000000001</v>
      </c>
      <c r="FA2" s="227" t="s">
        <v>555</v>
      </c>
      <c r="FB2" s="161">
        <f>BX2-CB2</f>
        <v>38500</v>
      </c>
    </row>
    <row r="3" spans="1:158" ht="17.25" thickBot="1" x14ac:dyDescent="0.3">
      <c r="A3" s="226">
        <v>46148</v>
      </c>
      <c r="B3" s="227" t="s">
        <v>184</v>
      </c>
      <c r="C3" s="227" t="s">
        <v>553</v>
      </c>
      <c r="D3" s="228">
        <v>125</v>
      </c>
      <c r="E3" s="231">
        <v>7181</v>
      </c>
      <c r="F3" s="231">
        <v>7327.5</v>
      </c>
      <c r="G3" s="228">
        <v>-146.5</v>
      </c>
      <c r="H3" s="229">
        <v>-0.02</v>
      </c>
      <c r="I3" s="231">
        <v>7182.5</v>
      </c>
      <c r="J3" s="231">
        <v>7328</v>
      </c>
      <c r="K3" s="228">
        <v>-145.5</v>
      </c>
      <c r="L3" s="229">
        <v>-1.9900000000000001E-2</v>
      </c>
      <c r="M3" s="231">
        <v>7181</v>
      </c>
      <c r="N3" s="231">
        <v>7327.5</v>
      </c>
      <c r="O3" s="228">
        <v>-146.5</v>
      </c>
      <c r="P3" s="229">
        <v>-0.02</v>
      </c>
      <c r="Q3" s="231">
        <v>7189</v>
      </c>
      <c r="R3" s="231">
        <v>7330.5</v>
      </c>
      <c r="S3" s="228">
        <v>-141.5</v>
      </c>
      <c r="T3" s="229">
        <v>-1.9300000000000001E-2</v>
      </c>
      <c r="U3" s="231">
        <v>7201</v>
      </c>
      <c r="V3" s="231">
        <v>7334</v>
      </c>
      <c r="W3" s="228">
        <v>-133</v>
      </c>
      <c r="X3" s="229">
        <v>-1.8100000000000002E-2</v>
      </c>
      <c r="Y3" s="228">
        <v>-1.5</v>
      </c>
      <c r="Z3" s="228">
        <v>-0.5</v>
      </c>
      <c r="AA3" s="228">
        <v>-1</v>
      </c>
      <c r="AB3" s="229">
        <v>-2.0000000000000001E-4</v>
      </c>
      <c r="AC3" s="228">
        <v>-1.5</v>
      </c>
      <c r="AD3" s="228">
        <v>-0.5</v>
      </c>
      <c r="AE3" s="228">
        <v>-1</v>
      </c>
      <c r="AF3" s="229">
        <v>-2.0000000000000001E-4</v>
      </c>
      <c r="AG3" s="228">
        <v>6.5</v>
      </c>
      <c r="AH3" s="228">
        <v>2.5</v>
      </c>
      <c r="AI3" s="228">
        <v>4</v>
      </c>
      <c r="AJ3" s="229">
        <v>8.9999999999999998E-4</v>
      </c>
      <c r="AK3" s="228">
        <v>18.5</v>
      </c>
      <c r="AL3" s="228">
        <v>6</v>
      </c>
      <c r="AM3" s="228">
        <v>12.5</v>
      </c>
      <c r="AN3" s="229">
        <v>2.5999999999999999E-3</v>
      </c>
      <c r="AO3" s="231">
        <v>7196.46</v>
      </c>
      <c r="AP3" s="231">
        <v>7203.89</v>
      </c>
      <c r="AQ3" s="228">
        <v>0</v>
      </c>
      <c r="AR3" s="230">
        <v>606500</v>
      </c>
      <c r="AS3" s="230">
        <v>393500</v>
      </c>
      <c r="AT3" s="230">
        <v>213000</v>
      </c>
      <c r="AU3" s="229">
        <v>0.5413</v>
      </c>
      <c r="AV3" s="230">
        <v>580750</v>
      </c>
      <c r="AW3" s="230">
        <v>374500</v>
      </c>
      <c r="AX3" s="230">
        <v>206250</v>
      </c>
      <c r="AY3" s="229">
        <v>0.55069999999999997</v>
      </c>
      <c r="AZ3" s="230">
        <v>23625</v>
      </c>
      <c r="BA3" s="230">
        <v>16750</v>
      </c>
      <c r="BB3" s="230">
        <v>6875</v>
      </c>
      <c r="BC3" s="229">
        <v>0.41039999999999999</v>
      </c>
      <c r="BD3" s="230">
        <v>2125</v>
      </c>
      <c r="BE3" s="230">
        <v>2250</v>
      </c>
      <c r="BF3" s="228">
        <v>-125</v>
      </c>
      <c r="BG3" s="229">
        <v>-5.5599999999999997E-2</v>
      </c>
      <c r="BH3" s="230">
        <v>1860625</v>
      </c>
      <c r="BI3" s="230">
        <v>1430250</v>
      </c>
      <c r="BJ3" s="230">
        <v>430375</v>
      </c>
      <c r="BK3" s="229">
        <v>0.3009</v>
      </c>
      <c r="BL3" s="230">
        <v>735875</v>
      </c>
      <c r="BM3" s="230">
        <v>363500</v>
      </c>
      <c r="BN3" s="230">
        <v>372375</v>
      </c>
      <c r="BO3" s="229">
        <v>1.0244</v>
      </c>
      <c r="BP3" s="230">
        <v>3203000</v>
      </c>
      <c r="BQ3" s="230">
        <v>2187250</v>
      </c>
      <c r="BR3" s="230">
        <v>1015750</v>
      </c>
      <c r="BS3" s="229">
        <v>0.46439999999999998</v>
      </c>
      <c r="BT3" s="230">
        <v>299338</v>
      </c>
      <c r="BU3" s="230">
        <v>334671</v>
      </c>
      <c r="BV3" s="230">
        <v>-35333</v>
      </c>
      <c r="BW3" s="229">
        <v>-0.1056</v>
      </c>
      <c r="BX3" s="230">
        <v>2203875</v>
      </c>
      <c r="BY3" s="230">
        <v>2163000</v>
      </c>
      <c r="BZ3" s="230">
        <v>40875</v>
      </c>
      <c r="CA3" s="229">
        <v>1.89E-2</v>
      </c>
      <c r="CB3" s="230">
        <v>2146500</v>
      </c>
      <c r="CC3" s="230">
        <v>2116500</v>
      </c>
      <c r="CD3" s="230">
        <v>30000</v>
      </c>
      <c r="CE3" s="229">
        <v>1.4200000000000001E-2</v>
      </c>
      <c r="CF3" s="230">
        <v>52750</v>
      </c>
      <c r="CG3" s="230">
        <v>43000</v>
      </c>
      <c r="CH3" s="230">
        <v>9750</v>
      </c>
      <c r="CI3" s="229">
        <v>0.22670000000000001</v>
      </c>
      <c r="CJ3" s="230">
        <v>4625</v>
      </c>
      <c r="CK3" s="230">
        <v>3500</v>
      </c>
      <c r="CL3" s="230">
        <v>1125</v>
      </c>
      <c r="CM3" s="229">
        <v>0.32140000000000002</v>
      </c>
      <c r="CN3" s="230">
        <v>1099250</v>
      </c>
      <c r="CO3" s="230">
        <v>1020750</v>
      </c>
      <c r="CP3" s="230">
        <v>78500</v>
      </c>
      <c r="CQ3" s="229">
        <v>7.6899999999999996E-2</v>
      </c>
      <c r="CR3" s="230">
        <v>550500</v>
      </c>
      <c r="CS3" s="230">
        <v>510750</v>
      </c>
      <c r="CT3" s="230">
        <v>39750</v>
      </c>
      <c r="CU3" s="229">
        <v>7.7799999999999994E-2</v>
      </c>
      <c r="CV3" s="230">
        <v>3853625</v>
      </c>
      <c r="CW3" s="230">
        <v>3694500</v>
      </c>
      <c r="CX3" s="230">
        <v>159125</v>
      </c>
      <c r="CY3" s="229">
        <v>4.3099999999999999E-2</v>
      </c>
      <c r="CZ3" s="228">
        <v>39.090000000000003</v>
      </c>
      <c r="DA3" s="228">
        <v>40.14</v>
      </c>
      <c r="DB3" s="228">
        <v>-1.05</v>
      </c>
      <c r="DC3" s="228">
        <v>-1.05</v>
      </c>
      <c r="DD3" s="228">
        <v>37.15</v>
      </c>
      <c r="DE3" s="228">
        <v>37.14</v>
      </c>
      <c r="DF3" s="228">
        <v>1.94</v>
      </c>
      <c r="DG3" s="228">
        <v>0.01</v>
      </c>
      <c r="DH3" s="228">
        <v>39.24</v>
      </c>
      <c r="DI3" s="228">
        <v>40.19</v>
      </c>
      <c r="DJ3" s="228">
        <v>-0.95</v>
      </c>
      <c r="DK3" s="228">
        <v>-0.95</v>
      </c>
      <c r="DL3" s="228">
        <v>38.700000000000003</v>
      </c>
      <c r="DM3" s="228">
        <v>39.92</v>
      </c>
      <c r="DN3" s="228">
        <v>-1.22</v>
      </c>
      <c r="DO3" s="228">
        <v>-1.22</v>
      </c>
      <c r="DP3" s="228">
        <v>0.5</v>
      </c>
      <c r="DQ3" s="228">
        <v>0.5</v>
      </c>
      <c r="DR3" s="228">
        <v>0</v>
      </c>
      <c r="DS3" s="229">
        <v>0</v>
      </c>
      <c r="DT3" s="231">
        <v>8000</v>
      </c>
      <c r="DU3" s="231">
        <v>7000</v>
      </c>
      <c r="DV3" s="228">
        <v>0.4</v>
      </c>
      <c r="DW3" s="228">
        <v>0.25</v>
      </c>
      <c r="DX3" s="228">
        <v>0.15</v>
      </c>
      <c r="DY3" s="229">
        <v>0.6</v>
      </c>
      <c r="DZ3" s="229">
        <v>2.5999999999999999E-2</v>
      </c>
      <c r="EA3" s="230">
        <v>46500</v>
      </c>
      <c r="EB3" s="229">
        <v>1.1000000000000001E-3</v>
      </c>
      <c r="EC3" s="229">
        <v>2.5999999999999999E-2</v>
      </c>
      <c r="ED3" s="228">
        <v>7.43</v>
      </c>
      <c r="EE3" s="229">
        <v>1E-3</v>
      </c>
      <c r="EF3" s="230">
        <v>104463</v>
      </c>
      <c r="EG3" s="230">
        <v>176303</v>
      </c>
      <c r="EH3" s="229">
        <v>-0.40749999999999997</v>
      </c>
      <c r="EI3" s="229">
        <v>0.34899999999999998</v>
      </c>
      <c r="EJ3" s="231">
        <v>144533.35</v>
      </c>
      <c r="EK3" s="231">
        <v>53236.15</v>
      </c>
      <c r="EL3" s="231">
        <v>43648.53</v>
      </c>
      <c r="EM3" s="231">
        <v>3421</v>
      </c>
      <c r="EN3" s="231">
        <v>241418.03</v>
      </c>
      <c r="EO3" s="231">
        <v>167251.96</v>
      </c>
      <c r="EP3" s="231">
        <v>74166.070000000007</v>
      </c>
      <c r="EQ3" s="229">
        <v>0.44340000000000002</v>
      </c>
      <c r="ER3" s="231">
        <v>84946</v>
      </c>
      <c r="ES3" s="231">
        <v>38466</v>
      </c>
      <c r="ET3" s="231">
        <v>158265</v>
      </c>
      <c r="EU3" s="231">
        <v>7946564</v>
      </c>
      <c r="EV3" s="231">
        <v>281678</v>
      </c>
      <c r="EW3" s="231">
        <v>273733</v>
      </c>
      <c r="EX3" s="231">
        <v>7945</v>
      </c>
      <c r="EY3" s="229">
        <v>2.9000000000000001E-2</v>
      </c>
      <c r="EZ3" s="229">
        <v>0.4849</v>
      </c>
      <c r="FA3" s="227" t="s">
        <v>566</v>
      </c>
      <c r="FB3" s="161">
        <f t="shared" ref="FB3:FB66" si="0">BX3-CB3</f>
        <v>57375</v>
      </c>
    </row>
    <row r="4" spans="1:158" ht="17.25" thickBot="1" x14ac:dyDescent="0.3">
      <c r="A4" s="226">
        <v>46148</v>
      </c>
      <c r="B4" s="227" t="s">
        <v>175</v>
      </c>
      <c r="C4" s="227" t="s">
        <v>544</v>
      </c>
      <c r="D4" s="228">
        <v>3100</v>
      </c>
      <c r="E4" s="228">
        <v>371.3</v>
      </c>
      <c r="F4" s="228">
        <v>361.65</v>
      </c>
      <c r="G4" s="228">
        <v>9.65</v>
      </c>
      <c r="H4" s="229">
        <v>2.6700000000000002E-2</v>
      </c>
      <c r="I4" s="228">
        <v>369.3</v>
      </c>
      <c r="J4" s="228">
        <v>360.85</v>
      </c>
      <c r="K4" s="228">
        <v>8.4499999999999993</v>
      </c>
      <c r="L4" s="229">
        <v>2.3400000000000001E-2</v>
      </c>
      <c r="M4" s="228">
        <v>371.3</v>
      </c>
      <c r="N4" s="228">
        <v>361.65</v>
      </c>
      <c r="O4" s="228">
        <v>9.65</v>
      </c>
      <c r="P4" s="229">
        <v>2.6700000000000002E-2</v>
      </c>
      <c r="Q4" s="228">
        <v>373.3</v>
      </c>
      <c r="R4" s="228">
        <v>363.8</v>
      </c>
      <c r="S4" s="228">
        <v>9.5</v>
      </c>
      <c r="T4" s="229">
        <v>2.6100000000000002E-2</v>
      </c>
      <c r="U4" s="228">
        <v>375</v>
      </c>
      <c r="V4" s="228">
        <v>365.8</v>
      </c>
      <c r="W4" s="228">
        <v>9.1999999999999993</v>
      </c>
      <c r="X4" s="229">
        <v>2.52E-2</v>
      </c>
      <c r="Y4" s="228">
        <v>2</v>
      </c>
      <c r="Z4" s="228">
        <v>0.8</v>
      </c>
      <c r="AA4" s="228">
        <v>1.2</v>
      </c>
      <c r="AB4" s="229">
        <v>5.4000000000000003E-3</v>
      </c>
      <c r="AC4" s="228">
        <v>2</v>
      </c>
      <c r="AD4" s="228">
        <v>0.8</v>
      </c>
      <c r="AE4" s="228">
        <v>1.2</v>
      </c>
      <c r="AF4" s="229">
        <v>5.4000000000000003E-3</v>
      </c>
      <c r="AG4" s="228">
        <v>4</v>
      </c>
      <c r="AH4" s="228">
        <v>2.95</v>
      </c>
      <c r="AI4" s="228">
        <v>1.05</v>
      </c>
      <c r="AJ4" s="229">
        <v>1.0800000000000001E-2</v>
      </c>
      <c r="AK4" s="228">
        <v>5.7</v>
      </c>
      <c r="AL4" s="228">
        <v>4.95</v>
      </c>
      <c r="AM4" s="228">
        <v>0.75</v>
      </c>
      <c r="AN4" s="229">
        <v>1.54E-2</v>
      </c>
      <c r="AO4" s="228">
        <v>369.4</v>
      </c>
      <c r="AP4" s="228">
        <v>371.55</v>
      </c>
      <c r="AQ4" s="228">
        <v>0</v>
      </c>
      <c r="AR4" s="230">
        <v>14101900</v>
      </c>
      <c r="AS4" s="230">
        <v>25984200</v>
      </c>
      <c r="AT4" s="230">
        <v>-11882300</v>
      </c>
      <c r="AU4" s="229">
        <v>-0.45729999999999998</v>
      </c>
      <c r="AV4" s="230">
        <v>13525300</v>
      </c>
      <c r="AW4" s="230">
        <v>25274300</v>
      </c>
      <c r="AX4" s="230">
        <v>-11749000</v>
      </c>
      <c r="AY4" s="229">
        <v>-0.46489999999999998</v>
      </c>
      <c r="AZ4" s="230">
        <v>489800</v>
      </c>
      <c r="BA4" s="230">
        <v>610700</v>
      </c>
      <c r="BB4" s="230">
        <v>-120900</v>
      </c>
      <c r="BC4" s="229">
        <v>-0.19800000000000001</v>
      </c>
      <c r="BD4" s="230">
        <v>86800</v>
      </c>
      <c r="BE4" s="230">
        <v>99200</v>
      </c>
      <c r="BF4" s="230">
        <v>-12400</v>
      </c>
      <c r="BG4" s="229">
        <v>-0.125</v>
      </c>
      <c r="BH4" s="230">
        <v>46292300</v>
      </c>
      <c r="BI4" s="230">
        <v>84304500</v>
      </c>
      <c r="BJ4" s="230">
        <v>-38012200</v>
      </c>
      <c r="BK4" s="229">
        <v>-0.45090000000000002</v>
      </c>
      <c r="BL4" s="230">
        <v>25754800</v>
      </c>
      <c r="BM4" s="230">
        <v>37869600</v>
      </c>
      <c r="BN4" s="230">
        <v>-12114800</v>
      </c>
      <c r="BO4" s="229">
        <v>-0.31990000000000002</v>
      </c>
      <c r="BP4" s="230">
        <v>86149000</v>
      </c>
      <c r="BQ4" s="230">
        <v>148158300</v>
      </c>
      <c r="BR4" s="230">
        <v>-62009300</v>
      </c>
      <c r="BS4" s="229">
        <v>-0.41849999999999998</v>
      </c>
      <c r="BT4" s="230">
        <v>9066132</v>
      </c>
      <c r="BU4" s="230">
        <v>16724112</v>
      </c>
      <c r="BV4" s="230">
        <v>-7657980</v>
      </c>
      <c r="BW4" s="229">
        <v>-0.45789999999999997</v>
      </c>
      <c r="BX4" s="230">
        <v>39162300</v>
      </c>
      <c r="BY4" s="230">
        <v>39974500</v>
      </c>
      <c r="BZ4" s="230">
        <v>-812200</v>
      </c>
      <c r="CA4" s="229">
        <v>-2.0299999999999999E-2</v>
      </c>
      <c r="CB4" s="230">
        <v>38207500</v>
      </c>
      <c r="CC4" s="230">
        <v>39025900</v>
      </c>
      <c r="CD4" s="230">
        <v>-818400</v>
      </c>
      <c r="CE4" s="229">
        <v>-2.1000000000000001E-2</v>
      </c>
      <c r="CF4" s="230">
        <v>830800</v>
      </c>
      <c r="CG4" s="230">
        <v>877300</v>
      </c>
      <c r="CH4" s="230">
        <v>-46500</v>
      </c>
      <c r="CI4" s="229">
        <v>-5.2999999999999999E-2</v>
      </c>
      <c r="CJ4" s="230">
        <v>124000</v>
      </c>
      <c r="CK4" s="230">
        <v>71300</v>
      </c>
      <c r="CL4" s="230">
        <v>52700</v>
      </c>
      <c r="CM4" s="229">
        <v>0.73909999999999998</v>
      </c>
      <c r="CN4" s="230">
        <v>14024400</v>
      </c>
      <c r="CO4" s="230">
        <v>15230300</v>
      </c>
      <c r="CP4" s="230">
        <v>-1205900</v>
      </c>
      <c r="CQ4" s="229">
        <v>-7.9200000000000007E-2</v>
      </c>
      <c r="CR4" s="230">
        <v>12235700</v>
      </c>
      <c r="CS4" s="230">
        <v>11869900</v>
      </c>
      <c r="CT4" s="230">
        <v>365800</v>
      </c>
      <c r="CU4" s="229">
        <v>3.0800000000000001E-2</v>
      </c>
      <c r="CV4" s="230">
        <v>65422400</v>
      </c>
      <c r="CW4" s="230">
        <v>67074700</v>
      </c>
      <c r="CX4" s="230">
        <v>-1652300</v>
      </c>
      <c r="CY4" s="229">
        <v>-2.46E-2</v>
      </c>
      <c r="CZ4" s="228">
        <v>34.81</v>
      </c>
      <c r="DA4" s="228">
        <v>36.25</v>
      </c>
      <c r="DB4" s="228">
        <v>-1.44</v>
      </c>
      <c r="DC4" s="228">
        <v>-1.44</v>
      </c>
      <c r="DD4" s="228">
        <v>41.29</v>
      </c>
      <c r="DE4" s="228">
        <v>41.24</v>
      </c>
      <c r="DF4" s="228">
        <v>-6.48</v>
      </c>
      <c r="DG4" s="228">
        <v>0.05</v>
      </c>
      <c r="DH4" s="228">
        <v>34.08</v>
      </c>
      <c r="DI4" s="228">
        <v>35.93</v>
      </c>
      <c r="DJ4" s="228">
        <v>-1.85</v>
      </c>
      <c r="DK4" s="228">
        <v>-1.85</v>
      </c>
      <c r="DL4" s="228">
        <v>36.119999999999997</v>
      </c>
      <c r="DM4" s="228">
        <v>36.950000000000003</v>
      </c>
      <c r="DN4" s="228">
        <v>-0.83</v>
      </c>
      <c r="DO4" s="228">
        <v>-0.83</v>
      </c>
      <c r="DP4" s="228">
        <v>0.87</v>
      </c>
      <c r="DQ4" s="228">
        <v>0.78</v>
      </c>
      <c r="DR4" s="228">
        <v>0.09</v>
      </c>
      <c r="DS4" s="229">
        <v>0.1154</v>
      </c>
      <c r="DT4" s="228">
        <v>400</v>
      </c>
      <c r="DU4" s="228">
        <v>350</v>
      </c>
      <c r="DV4" s="228">
        <v>0.56000000000000005</v>
      </c>
      <c r="DW4" s="228">
        <v>0.45</v>
      </c>
      <c r="DX4" s="228">
        <v>0.11</v>
      </c>
      <c r="DY4" s="229">
        <v>0.24440000000000001</v>
      </c>
      <c r="DZ4" s="229">
        <v>2.4400000000000002E-2</v>
      </c>
      <c r="EA4" s="230">
        <v>948600</v>
      </c>
      <c r="EB4" s="229">
        <v>5.4000000000000003E-3</v>
      </c>
      <c r="EC4" s="229">
        <v>2.4400000000000002E-2</v>
      </c>
      <c r="ED4" s="228">
        <v>2.15</v>
      </c>
      <c r="EE4" s="229">
        <v>5.7999999999999996E-3</v>
      </c>
      <c r="EF4" s="230">
        <v>4013068</v>
      </c>
      <c r="EG4" s="230">
        <v>5765433</v>
      </c>
      <c r="EH4" s="229">
        <v>-0.3039</v>
      </c>
      <c r="EI4" s="229">
        <v>0.44259999999999999</v>
      </c>
      <c r="EJ4" s="231">
        <v>179926.77</v>
      </c>
      <c r="EK4" s="231">
        <v>91831.55</v>
      </c>
      <c r="EL4" s="231">
        <v>52105.67</v>
      </c>
      <c r="EM4" s="231">
        <v>7398</v>
      </c>
      <c r="EN4" s="231">
        <v>323863.99</v>
      </c>
      <c r="EO4" s="231">
        <v>546758.15</v>
      </c>
      <c r="EP4" s="231">
        <v>-222894.16</v>
      </c>
      <c r="EQ4" s="229">
        <v>-0.40770000000000001</v>
      </c>
      <c r="ER4" s="231">
        <v>52686</v>
      </c>
      <c r="ES4" s="231">
        <v>41152</v>
      </c>
      <c r="ET4" s="231">
        <v>145431</v>
      </c>
      <c r="EU4" s="231">
        <v>123369777</v>
      </c>
      <c r="EV4" s="231">
        <v>239269</v>
      </c>
      <c r="EW4" s="231">
        <v>241059</v>
      </c>
      <c r="EX4" s="231">
        <v>-1790</v>
      </c>
      <c r="EY4" s="229">
        <v>-7.4000000000000003E-3</v>
      </c>
      <c r="EZ4" s="229">
        <v>0.53029999999999999</v>
      </c>
      <c r="FA4" s="227" t="s">
        <v>691</v>
      </c>
      <c r="FB4" s="161">
        <f t="shared" si="0"/>
        <v>954800</v>
      </c>
    </row>
    <row r="5" spans="1:158" ht="17.25" thickBot="1" x14ac:dyDescent="0.3">
      <c r="A5" s="226">
        <v>46148</v>
      </c>
      <c r="B5" s="227" t="s">
        <v>161</v>
      </c>
      <c r="C5" s="227" t="s">
        <v>578</v>
      </c>
      <c r="D5" s="228">
        <v>675</v>
      </c>
      <c r="E5" s="231">
        <v>1416.8</v>
      </c>
      <c r="F5" s="231">
        <v>1418.1</v>
      </c>
      <c r="G5" s="228">
        <v>-1.3</v>
      </c>
      <c r="H5" s="229">
        <v>-8.9999999999999998E-4</v>
      </c>
      <c r="I5" s="231">
        <v>1407.3</v>
      </c>
      <c r="J5" s="231">
        <v>1409.6</v>
      </c>
      <c r="K5" s="228">
        <v>-2.2999999999999998</v>
      </c>
      <c r="L5" s="229">
        <v>-1.6000000000000001E-3</v>
      </c>
      <c r="M5" s="231">
        <v>1416.8</v>
      </c>
      <c r="N5" s="231">
        <v>1418.1</v>
      </c>
      <c r="O5" s="228">
        <v>-1.3</v>
      </c>
      <c r="P5" s="229">
        <v>-8.9999999999999998E-4</v>
      </c>
      <c r="Q5" s="231">
        <v>1422.6</v>
      </c>
      <c r="R5" s="231">
        <v>1426.6</v>
      </c>
      <c r="S5" s="228">
        <v>-4</v>
      </c>
      <c r="T5" s="229">
        <v>-2.8E-3</v>
      </c>
      <c r="U5" s="231">
        <v>1431.4</v>
      </c>
      <c r="V5" s="231">
        <v>1431.4</v>
      </c>
      <c r="W5" s="228">
        <v>0</v>
      </c>
      <c r="X5" s="229">
        <v>0</v>
      </c>
      <c r="Y5" s="228">
        <v>9.5</v>
      </c>
      <c r="Z5" s="228">
        <v>8.5</v>
      </c>
      <c r="AA5" s="228">
        <v>1</v>
      </c>
      <c r="AB5" s="229">
        <v>6.7999999999999996E-3</v>
      </c>
      <c r="AC5" s="228">
        <v>9.5</v>
      </c>
      <c r="AD5" s="228">
        <v>8.5</v>
      </c>
      <c r="AE5" s="228">
        <v>1</v>
      </c>
      <c r="AF5" s="229">
        <v>6.7999999999999996E-3</v>
      </c>
      <c r="AG5" s="228">
        <v>15.3</v>
      </c>
      <c r="AH5" s="228">
        <v>17</v>
      </c>
      <c r="AI5" s="228">
        <v>-1.7</v>
      </c>
      <c r="AJ5" s="229">
        <v>1.09E-2</v>
      </c>
      <c r="AK5" s="228">
        <v>24.1</v>
      </c>
      <c r="AL5" s="228">
        <v>21.8</v>
      </c>
      <c r="AM5" s="228">
        <v>2.2999999999999998</v>
      </c>
      <c r="AN5" s="229">
        <v>1.7100000000000001E-2</v>
      </c>
      <c r="AO5" s="231">
        <v>1415.09</v>
      </c>
      <c r="AP5" s="231">
        <v>1422.56</v>
      </c>
      <c r="AQ5" s="228">
        <v>0</v>
      </c>
      <c r="AR5" s="230">
        <v>4837050</v>
      </c>
      <c r="AS5" s="230">
        <v>4475925</v>
      </c>
      <c r="AT5" s="230">
        <v>361125</v>
      </c>
      <c r="AU5" s="229">
        <v>8.0699999999999994E-2</v>
      </c>
      <c r="AV5" s="230">
        <v>4739850</v>
      </c>
      <c r="AW5" s="230">
        <v>4401000</v>
      </c>
      <c r="AX5" s="230">
        <v>338850</v>
      </c>
      <c r="AY5" s="229">
        <v>7.6999999999999999E-2</v>
      </c>
      <c r="AZ5" s="230">
        <v>97200</v>
      </c>
      <c r="BA5" s="230">
        <v>68175</v>
      </c>
      <c r="BB5" s="230">
        <v>29025</v>
      </c>
      <c r="BC5" s="229">
        <v>0.42570000000000002</v>
      </c>
      <c r="BD5" s="228">
        <v>0</v>
      </c>
      <c r="BE5" s="230">
        <v>6750</v>
      </c>
      <c r="BF5" s="230">
        <v>-6750</v>
      </c>
      <c r="BG5" s="229">
        <v>-1</v>
      </c>
      <c r="BH5" s="230">
        <v>7686225</v>
      </c>
      <c r="BI5" s="230">
        <v>7918425</v>
      </c>
      <c r="BJ5" s="230">
        <v>-232200</v>
      </c>
      <c r="BK5" s="229">
        <v>-2.93E-2</v>
      </c>
      <c r="BL5" s="230">
        <v>3414150</v>
      </c>
      <c r="BM5" s="230">
        <v>4008150</v>
      </c>
      <c r="BN5" s="230">
        <v>-594000</v>
      </c>
      <c r="BO5" s="229">
        <v>-0.1482</v>
      </c>
      <c r="BP5" s="230">
        <v>15937425</v>
      </c>
      <c r="BQ5" s="230">
        <v>16402500</v>
      </c>
      <c r="BR5" s="230">
        <v>-465075</v>
      </c>
      <c r="BS5" s="229">
        <v>-2.8400000000000002E-2</v>
      </c>
      <c r="BT5" s="230">
        <v>3233354</v>
      </c>
      <c r="BU5" s="230">
        <v>5585578</v>
      </c>
      <c r="BV5" s="230">
        <v>-2352224</v>
      </c>
      <c r="BW5" s="229">
        <v>-0.42109999999999997</v>
      </c>
      <c r="BX5" s="230">
        <v>20686050</v>
      </c>
      <c r="BY5" s="230">
        <v>19876725</v>
      </c>
      <c r="BZ5" s="230">
        <v>809325</v>
      </c>
      <c r="CA5" s="229">
        <v>4.07E-2</v>
      </c>
      <c r="CB5" s="230">
        <v>20487600</v>
      </c>
      <c r="CC5" s="230">
        <v>19701900</v>
      </c>
      <c r="CD5" s="230">
        <v>785700</v>
      </c>
      <c r="CE5" s="229">
        <v>3.9899999999999998E-2</v>
      </c>
      <c r="CF5" s="230">
        <v>185625</v>
      </c>
      <c r="CG5" s="230">
        <v>162000</v>
      </c>
      <c r="CH5" s="230">
        <v>23625</v>
      </c>
      <c r="CI5" s="229">
        <v>0.14580000000000001</v>
      </c>
      <c r="CJ5" s="230">
        <v>12825</v>
      </c>
      <c r="CK5" s="230">
        <v>12825</v>
      </c>
      <c r="CL5" s="228">
        <v>0</v>
      </c>
      <c r="CM5" s="229">
        <v>0</v>
      </c>
      <c r="CN5" s="230">
        <v>5528925</v>
      </c>
      <c r="CO5" s="230">
        <v>5361525</v>
      </c>
      <c r="CP5" s="230">
        <v>167400</v>
      </c>
      <c r="CQ5" s="229">
        <v>3.1199999999999999E-2</v>
      </c>
      <c r="CR5" s="230">
        <v>4300425</v>
      </c>
      <c r="CS5" s="230">
        <v>4192425</v>
      </c>
      <c r="CT5" s="230">
        <v>108000</v>
      </c>
      <c r="CU5" s="229">
        <v>2.58E-2</v>
      </c>
      <c r="CV5" s="230">
        <v>30515400</v>
      </c>
      <c r="CW5" s="230">
        <v>29430675</v>
      </c>
      <c r="CX5" s="230">
        <v>1084725</v>
      </c>
      <c r="CY5" s="229">
        <v>3.6900000000000002E-2</v>
      </c>
      <c r="CZ5" s="228">
        <v>49.72</v>
      </c>
      <c r="DA5" s="228">
        <v>52.94</v>
      </c>
      <c r="DB5" s="228">
        <v>-3.22</v>
      </c>
      <c r="DC5" s="228">
        <v>-3.22</v>
      </c>
      <c r="DD5" s="228">
        <v>56.11</v>
      </c>
      <c r="DE5" s="228">
        <v>56.25</v>
      </c>
      <c r="DF5" s="228">
        <v>-6.39</v>
      </c>
      <c r="DG5" s="228">
        <v>-0.14000000000000001</v>
      </c>
      <c r="DH5" s="228">
        <v>49.22</v>
      </c>
      <c r="DI5" s="228">
        <v>52.62</v>
      </c>
      <c r="DJ5" s="228">
        <v>-3.4</v>
      </c>
      <c r="DK5" s="228">
        <v>-3.4</v>
      </c>
      <c r="DL5" s="228">
        <v>50.87</v>
      </c>
      <c r="DM5" s="228">
        <v>53.56</v>
      </c>
      <c r="DN5" s="228">
        <v>-2.69</v>
      </c>
      <c r="DO5" s="228">
        <v>-2.69</v>
      </c>
      <c r="DP5" s="228">
        <v>0.78</v>
      </c>
      <c r="DQ5" s="228">
        <v>0.78</v>
      </c>
      <c r="DR5" s="228">
        <v>0</v>
      </c>
      <c r="DS5" s="229">
        <v>0</v>
      </c>
      <c r="DT5" s="231">
        <v>1440</v>
      </c>
      <c r="DU5" s="231">
        <v>1200</v>
      </c>
      <c r="DV5" s="228">
        <v>0.44</v>
      </c>
      <c r="DW5" s="228">
        <v>0.51</v>
      </c>
      <c r="DX5" s="228">
        <v>-7.0000000000000007E-2</v>
      </c>
      <c r="DY5" s="229">
        <v>-0.13730000000000001</v>
      </c>
      <c r="DZ5" s="229">
        <v>9.5999999999999992E-3</v>
      </c>
      <c r="EA5" s="230">
        <v>174825</v>
      </c>
      <c r="EB5" s="229">
        <v>4.1000000000000003E-3</v>
      </c>
      <c r="EC5" s="229">
        <v>9.5999999999999992E-3</v>
      </c>
      <c r="ED5" s="228">
        <v>7.47</v>
      </c>
      <c r="EE5" s="229">
        <v>5.3E-3</v>
      </c>
      <c r="EF5" s="230">
        <v>1424288</v>
      </c>
      <c r="EG5" s="230">
        <v>3167484</v>
      </c>
      <c r="EH5" s="229">
        <v>-0.55030000000000001</v>
      </c>
      <c r="EI5" s="229">
        <v>0.4405</v>
      </c>
      <c r="EJ5" s="231">
        <v>115853.04</v>
      </c>
      <c r="EK5" s="231">
        <v>47034.79</v>
      </c>
      <c r="EL5" s="231">
        <v>68456.11</v>
      </c>
      <c r="EM5" s="231">
        <v>7669</v>
      </c>
      <c r="EN5" s="231">
        <v>231343.94</v>
      </c>
      <c r="EO5" s="231">
        <v>238848.02</v>
      </c>
      <c r="EP5" s="231">
        <v>-7504.08</v>
      </c>
      <c r="EQ5" s="229">
        <v>-3.1399999999999997E-2</v>
      </c>
      <c r="ER5" s="231">
        <v>77979</v>
      </c>
      <c r="ES5" s="231">
        <v>55723</v>
      </c>
      <c r="ET5" s="231">
        <v>293093</v>
      </c>
      <c r="EU5" s="231">
        <v>35196587</v>
      </c>
      <c r="EV5" s="231">
        <v>426795</v>
      </c>
      <c r="EW5" s="231">
        <v>411616</v>
      </c>
      <c r="EX5" s="231">
        <v>15179</v>
      </c>
      <c r="EY5" s="229">
        <v>3.6900000000000002E-2</v>
      </c>
      <c r="EZ5" s="229">
        <v>0.86699999999999999</v>
      </c>
      <c r="FA5" s="227" t="s">
        <v>566</v>
      </c>
      <c r="FB5" s="161">
        <f t="shared" si="0"/>
        <v>198450</v>
      </c>
    </row>
    <row r="6" spans="1:158" ht="17.25" thickBot="1" x14ac:dyDescent="0.3">
      <c r="A6" s="226">
        <v>46148</v>
      </c>
      <c r="B6" s="227" t="s">
        <v>215</v>
      </c>
      <c r="C6" s="227" t="s">
        <v>159</v>
      </c>
      <c r="D6" s="228">
        <v>309</v>
      </c>
      <c r="E6" s="231">
        <v>2553.3000000000002</v>
      </c>
      <c r="F6" s="231">
        <v>2473.1999999999998</v>
      </c>
      <c r="G6" s="228">
        <v>80.099999999999994</v>
      </c>
      <c r="H6" s="229">
        <v>3.2399999999999998E-2</v>
      </c>
      <c r="I6" s="231">
        <v>2540.3000000000002</v>
      </c>
      <c r="J6" s="231">
        <v>2462</v>
      </c>
      <c r="K6" s="228">
        <v>78.3</v>
      </c>
      <c r="L6" s="229">
        <v>3.1800000000000002E-2</v>
      </c>
      <c r="M6" s="231">
        <v>2553.3000000000002</v>
      </c>
      <c r="N6" s="231">
        <v>2473.1999999999998</v>
      </c>
      <c r="O6" s="228">
        <v>80.099999999999994</v>
      </c>
      <c r="P6" s="229">
        <v>3.2399999999999998E-2</v>
      </c>
      <c r="Q6" s="231">
        <v>2568.6</v>
      </c>
      <c r="R6" s="231">
        <v>2489</v>
      </c>
      <c r="S6" s="228">
        <v>79.599999999999994</v>
      </c>
      <c r="T6" s="229">
        <v>3.2000000000000001E-2</v>
      </c>
      <c r="U6" s="231">
        <v>2581.4</v>
      </c>
      <c r="V6" s="231">
        <v>2499.9</v>
      </c>
      <c r="W6" s="228">
        <v>81.5</v>
      </c>
      <c r="X6" s="229">
        <v>3.2599999999999997E-2</v>
      </c>
      <c r="Y6" s="228">
        <v>13</v>
      </c>
      <c r="Z6" s="228">
        <v>11.2</v>
      </c>
      <c r="AA6" s="228">
        <v>1.8</v>
      </c>
      <c r="AB6" s="229">
        <v>5.1000000000000004E-3</v>
      </c>
      <c r="AC6" s="228">
        <v>13</v>
      </c>
      <c r="AD6" s="228">
        <v>11.2</v>
      </c>
      <c r="AE6" s="228">
        <v>1.8</v>
      </c>
      <c r="AF6" s="229">
        <v>5.1000000000000004E-3</v>
      </c>
      <c r="AG6" s="228">
        <v>28.3</v>
      </c>
      <c r="AH6" s="228">
        <v>27</v>
      </c>
      <c r="AI6" s="228">
        <v>1.3</v>
      </c>
      <c r="AJ6" s="229">
        <v>1.11E-2</v>
      </c>
      <c r="AK6" s="228">
        <v>41.1</v>
      </c>
      <c r="AL6" s="228">
        <v>37.9</v>
      </c>
      <c r="AM6" s="228">
        <v>3.2</v>
      </c>
      <c r="AN6" s="229">
        <v>1.6199999999999999E-2</v>
      </c>
      <c r="AO6" s="231">
        <v>2526.41</v>
      </c>
      <c r="AP6" s="231">
        <v>2539.9699999999998</v>
      </c>
      <c r="AQ6" s="228">
        <v>0</v>
      </c>
      <c r="AR6" s="230">
        <v>4669299</v>
      </c>
      <c r="AS6" s="230">
        <v>2562846</v>
      </c>
      <c r="AT6" s="230">
        <v>2106453</v>
      </c>
      <c r="AU6" s="229">
        <v>0.82189999999999996</v>
      </c>
      <c r="AV6" s="230">
        <v>4465050</v>
      </c>
      <c r="AW6" s="230">
        <v>2461185</v>
      </c>
      <c r="AX6" s="230">
        <v>2003865</v>
      </c>
      <c r="AY6" s="229">
        <v>0.81420000000000003</v>
      </c>
      <c r="AZ6" s="230">
        <v>170877</v>
      </c>
      <c r="BA6" s="230">
        <v>82812</v>
      </c>
      <c r="BB6" s="230">
        <v>88065</v>
      </c>
      <c r="BC6" s="229">
        <v>1.0633999999999999</v>
      </c>
      <c r="BD6" s="230">
        <v>33372</v>
      </c>
      <c r="BE6" s="230">
        <v>18849</v>
      </c>
      <c r="BF6" s="230">
        <v>14523</v>
      </c>
      <c r="BG6" s="229">
        <v>0.77049999999999996</v>
      </c>
      <c r="BH6" s="230">
        <v>15415701</v>
      </c>
      <c r="BI6" s="230">
        <v>6720750</v>
      </c>
      <c r="BJ6" s="230">
        <v>8694951</v>
      </c>
      <c r="BK6" s="229">
        <v>1.2937000000000001</v>
      </c>
      <c r="BL6" s="230">
        <v>8806191</v>
      </c>
      <c r="BM6" s="230">
        <v>4812057</v>
      </c>
      <c r="BN6" s="230">
        <v>3994134</v>
      </c>
      <c r="BO6" s="229">
        <v>0.83</v>
      </c>
      <c r="BP6" s="230">
        <v>28891191</v>
      </c>
      <c r="BQ6" s="230">
        <v>14095653</v>
      </c>
      <c r="BR6" s="230">
        <v>14795538</v>
      </c>
      <c r="BS6" s="229">
        <v>1.0497000000000001</v>
      </c>
      <c r="BT6" s="230">
        <v>3516623</v>
      </c>
      <c r="BU6" s="230">
        <v>1735079</v>
      </c>
      <c r="BV6" s="230">
        <v>1781544</v>
      </c>
      <c r="BW6" s="229">
        <v>1.0267999999999999</v>
      </c>
      <c r="BX6" s="230">
        <v>19721616</v>
      </c>
      <c r="BY6" s="230">
        <v>19951512</v>
      </c>
      <c r="BZ6" s="230">
        <v>-229896</v>
      </c>
      <c r="CA6" s="229">
        <v>-1.15E-2</v>
      </c>
      <c r="CB6" s="230">
        <v>19257189</v>
      </c>
      <c r="CC6" s="230">
        <v>19500372</v>
      </c>
      <c r="CD6" s="230">
        <v>-243183</v>
      </c>
      <c r="CE6" s="229">
        <v>-1.2500000000000001E-2</v>
      </c>
      <c r="CF6" s="230">
        <v>434454</v>
      </c>
      <c r="CG6" s="230">
        <v>421785</v>
      </c>
      <c r="CH6" s="230">
        <v>12669</v>
      </c>
      <c r="CI6" s="229">
        <v>0.03</v>
      </c>
      <c r="CJ6" s="230">
        <v>29973</v>
      </c>
      <c r="CK6" s="230">
        <v>29355</v>
      </c>
      <c r="CL6" s="228">
        <v>618</v>
      </c>
      <c r="CM6" s="229">
        <v>2.1100000000000001E-2</v>
      </c>
      <c r="CN6" s="230">
        <v>7301670</v>
      </c>
      <c r="CO6" s="230">
        <v>7588422</v>
      </c>
      <c r="CP6" s="230">
        <v>-286752</v>
      </c>
      <c r="CQ6" s="229">
        <v>-3.78E-2</v>
      </c>
      <c r="CR6" s="230">
        <v>6136122</v>
      </c>
      <c r="CS6" s="230">
        <v>5597226</v>
      </c>
      <c r="CT6" s="230">
        <v>538896</v>
      </c>
      <c r="CU6" s="229">
        <v>9.6299999999999997E-2</v>
      </c>
      <c r="CV6" s="230">
        <v>33159408</v>
      </c>
      <c r="CW6" s="230">
        <v>33137160</v>
      </c>
      <c r="CX6" s="230">
        <v>22248</v>
      </c>
      <c r="CY6" s="229">
        <v>6.9999999999999999E-4</v>
      </c>
      <c r="CZ6" s="228">
        <v>37.36</v>
      </c>
      <c r="DA6" s="228">
        <v>40.229999999999997</v>
      </c>
      <c r="DB6" s="228">
        <v>-2.87</v>
      </c>
      <c r="DC6" s="228">
        <v>-2.87</v>
      </c>
      <c r="DD6" s="228">
        <v>48.92</v>
      </c>
      <c r="DE6" s="228">
        <v>48.85</v>
      </c>
      <c r="DF6" s="228">
        <v>-11.56</v>
      </c>
      <c r="DG6" s="228">
        <v>7.0000000000000007E-2</v>
      </c>
      <c r="DH6" s="228">
        <v>35.86</v>
      </c>
      <c r="DI6" s="228">
        <v>38.85</v>
      </c>
      <c r="DJ6" s="228">
        <v>-2.99</v>
      </c>
      <c r="DK6" s="228">
        <v>-2.99</v>
      </c>
      <c r="DL6" s="228">
        <v>40</v>
      </c>
      <c r="DM6" s="228">
        <v>42.16</v>
      </c>
      <c r="DN6" s="228">
        <v>-2.16</v>
      </c>
      <c r="DO6" s="228">
        <v>-2.16</v>
      </c>
      <c r="DP6" s="228">
        <v>0.84</v>
      </c>
      <c r="DQ6" s="228">
        <v>0.74</v>
      </c>
      <c r="DR6" s="228">
        <v>0.1</v>
      </c>
      <c r="DS6" s="229">
        <v>0.1351</v>
      </c>
      <c r="DT6" s="231">
        <v>2500</v>
      </c>
      <c r="DU6" s="231">
        <v>2500</v>
      </c>
      <c r="DV6" s="228">
        <v>0.56999999999999995</v>
      </c>
      <c r="DW6" s="228">
        <v>0.72</v>
      </c>
      <c r="DX6" s="228">
        <v>-0.15</v>
      </c>
      <c r="DY6" s="229">
        <v>-0.20830000000000001</v>
      </c>
      <c r="DZ6" s="229">
        <v>2.35E-2</v>
      </c>
      <c r="EA6" s="230">
        <v>451140</v>
      </c>
      <c r="EB6" s="229">
        <v>6.0000000000000001E-3</v>
      </c>
      <c r="EC6" s="229">
        <v>2.35E-2</v>
      </c>
      <c r="ED6" s="228">
        <v>13.56</v>
      </c>
      <c r="EE6" s="229">
        <v>5.4000000000000003E-3</v>
      </c>
      <c r="EF6" s="230">
        <v>1307265</v>
      </c>
      <c r="EG6" s="230">
        <v>342962</v>
      </c>
      <c r="EH6" s="229">
        <v>2.8117000000000001</v>
      </c>
      <c r="EI6" s="229">
        <v>0.37169999999999997</v>
      </c>
      <c r="EJ6" s="231">
        <v>405612.39</v>
      </c>
      <c r="EK6" s="231">
        <v>216377.13</v>
      </c>
      <c r="EL6" s="231">
        <v>117998.96</v>
      </c>
      <c r="EM6" s="231">
        <v>17585</v>
      </c>
      <c r="EN6" s="231">
        <v>739988.47999999998</v>
      </c>
      <c r="EO6" s="231">
        <v>353651.78</v>
      </c>
      <c r="EP6" s="231">
        <v>386336.7</v>
      </c>
      <c r="EQ6" s="229">
        <v>1.0924</v>
      </c>
      <c r="ER6" s="231">
        <v>180447</v>
      </c>
      <c r="ES6" s="231">
        <v>143368</v>
      </c>
      <c r="ET6" s="231">
        <v>503627</v>
      </c>
      <c r="EU6" s="231">
        <v>33645895</v>
      </c>
      <c r="EV6" s="231">
        <v>827442</v>
      </c>
      <c r="EW6" s="231">
        <v>809830</v>
      </c>
      <c r="EX6" s="231">
        <v>17612</v>
      </c>
      <c r="EY6" s="229">
        <v>2.1700000000000001E-2</v>
      </c>
      <c r="EZ6" s="229">
        <v>0.98550000000000004</v>
      </c>
      <c r="FA6" s="227" t="s">
        <v>691</v>
      </c>
      <c r="FB6" s="161">
        <f t="shared" si="0"/>
        <v>464427</v>
      </c>
    </row>
    <row r="7" spans="1:158" ht="17.25" thickBot="1" x14ac:dyDescent="0.3">
      <c r="A7" s="226">
        <v>46148</v>
      </c>
      <c r="B7" s="227" t="s">
        <v>161</v>
      </c>
      <c r="C7" s="227" t="s">
        <v>605</v>
      </c>
      <c r="D7" s="228">
        <v>600</v>
      </c>
      <c r="E7" s="231">
        <v>1362.2</v>
      </c>
      <c r="F7" s="231">
        <v>1336.9</v>
      </c>
      <c r="G7" s="228">
        <v>25.3</v>
      </c>
      <c r="H7" s="229">
        <v>1.89E-2</v>
      </c>
      <c r="I7" s="231">
        <v>1353</v>
      </c>
      <c r="J7" s="231">
        <v>1331.4</v>
      </c>
      <c r="K7" s="228">
        <v>21.6</v>
      </c>
      <c r="L7" s="229">
        <v>1.6199999999999999E-2</v>
      </c>
      <c r="M7" s="231">
        <v>1362.2</v>
      </c>
      <c r="N7" s="231">
        <v>1336.9</v>
      </c>
      <c r="O7" s="228">
        <v>25.3</v>
      </c>
      <c r="P7" s="229">
        <v>1.89E-2</v>
      </c>
      <c r="Q7" s="231">
        <v>1369</v>
      </c>
      <c r="R7" s="231">
        <v>1344.6</v>
      </c>
      <c r="S7" s="228">
        <v>24.4</v>
      </c>
      <c r="T7" s="229">
        <v>1.8100000000000002E-2</v>
      </c>
      <c r="U7" s="231">
        <v>1376.9</v>
      </c>
      <c r="V7" s="231">
        <v>1349.4</v>
      </c>
      <c r="W7" s="228">
        <v>27.5</v>
      </c>
      <c r="X7" s="229">
        <v>2.0400000000000001E-2</v>
      </c>
      <c r="Y7" s="228">
        <v>9.1999999999999993</v>
      </c>
      <c r="Z7" s="228">
        <v>5.5</v>
      </c>
      <c r="AA7" s="228">
        <v>3.7</v>
      </c>
      <c r="AB7" s="229">
        <v>6.7999999999999996E-3</v>
      </c>
      <c r="AC7" s="228">
        <v>9.1999999999999993</v>
      </c>
      <c r="AD7" s="228">
        <v>5.5</v>
      </c>
      <c r="AE7" s="228">
        <v>3.7</v>
      </c>
      <c r="AF7" s="229">
        <v>6.7999999999999996E-3</v>
      </c>
      <c r="AG7" s="228">
        <v>16</v>
      </c>
      <c r="AH7" s="228">
        <v>13.2</v>
      </c>
      <c r="AI7" s="228">
        <v>2.8</v>
      </c>
      <c r="AJ7" s="229">
        <v>1.18E-2</v>
      </c>
      <c r="AK7" s="228">
        <v>23.9</v>
      </c>
      <c r="AL7" s="228">
        <v>18</v>
      </c>
      <c r="AM7" s="228">
        <v>5.9</v>
      </c>
      <c r="AN7" s="229">
        <v>1.77E-2</v>
      </c>
      <c r="AO7" s="231">
        <v>1349.96</v>
      </c>
      <c r="AP7" s="231">
        <v>1356.62</v>
      </c>
      <c r="AQ7" s="228">
        <v>0</v>
      </c>
      <c r="AR7" s="230">
        <v>4589400</v>
      </c>
      <c r="AS7" s="230">
        <v>4519200</v>
      </c>
      <c r="AT7" s="230">
        <v>70200</v>
      </c>
      <c r="AU7" s="229">
        <v>1.55E-2</v>
      </c>
      <c r="AV7" s="230">
        <v>4382400</v>
      </c>
      <c r="AW7" s="230">
        <v>4329600</v>
      </c>
      <c r="AX7" s="230">
        <v>52800</v>
      </c>
      <c r="AY7" s="229">
        <v>1.2200000000000001E-2</v>
      </c>
      <c r="AZ7" s="230">
        <v>160800</v>
      </c>
      <c r="BA7" s="230">
        <v>157200</v>
      </c>
      <c r="BB7" s="230">
        <v>3600</v>
      </c>
      <c r="BC7" s="229">
        <v>2.29E-2</v>
      </c>
      <c r="BD7" s="230">
        <v>46200</v>
      </c>
      <c r="BE7" s="230">
        <v>32400</v>
      </c>
      <c r="BF7" s="230">
        <v>13800</v>
      </c>
      <c r="BG7" s="229">
        <v>0.4259</v>
      </c>
      <c r="BH7" s="230">
        <v>14864400</v>
      </c>
      <c r="BI7" s="230">
        <v>16199400</v>
      </c>
      <c r="BJ7" s="230">
        <v>-1335000</v>
      </c>
      <c r="BK7" s="229">
        <v>-8.2400000000000001E-2</v>
      </c>
      <c r="BL7" s="230">
        <v>6284400</v>
      </c>
      <c r="BM7" s="230">
        <v>6966000</v>
      </c>
      <c r="BN7" s="230">
        <v>-681600</v>
      </c>
      <c r="BO7" s="229">
        <v>-9.7799999999999998E-2</v>
      </c>
      <c r="BP7" s="230">
        <v>25738200</v>
      </c>
      <c r="BQ7" s="230">
        <v>27684600</v>
      </c>
      <c r="BR7" s="230">
        <v>-1946400</v>
      </c>
      <c r="BS7" s="229">
        <v>-7.0300000000000001E-2</v>
      </c>
      <c r="BT7" s="230">
        <v>4688331</v>
      </c>
      <c r="BU7" s="230">
        <v>5012565</v>
      </c>
      <c r="BV7" s="230">
        <v>-324234</v>
      </c>
      <c r="BW7" s="229">
        <v>-6.4699999999999994E-2</v>
      </c>
      <c r="BX7" s="230">
        <v>21914400</v>
      </c>
      <c r="BY7" s="230">
        <v>21693000</v>
      </c>
      <c r="BZ7" s="230">
        <v>221400</v>
      </c>
      <c r="CA7" s="229">
        <v>1.0200000000000001E-2</v>
      </c>
      <c r="CB7" s="230">
        <v>21618600</v>
      </c>
      <c r="CC7" s="230">
        <v>21408000</v>
      </c>
      <c r="CD7" s="230">
        <v>210600</v>
      </c>
      <c r="CE7" s="229">
        <v>9.7999999999999997E-3</v>
      </c>
      <c r="CF7" s="230">
        <v>257400</v>
      </c>
      <c r="CG7" s="230">
        <v>262800</v>
      </c>
      <c r="CH7" s="230">
        <v>-5400</v>
      </c>
      <c r="CI7" s="229">
        <v>-2.0500000000000001E-2</v>
      </c>
      <c r="CJ7" s="230">
        <v>38400</v>
      </c>
      <c r="CK7" s="230">
        <v>22200</v>
      </c>
      <c r="CL7" s="230">
        <v>16200</v>
      </c>
      <c r="CM7" s="229">
        <v>0.72970000000000002</v>
      </c>
      <c r="CN7" s="230">
        <v>7850400</v>
      </c>
      <c r="CO7" s="230">
        <v>7195200</v>
      </c>
      <c r="CP7" s="230">
        <v>655200</v>
      </c>
      <c r="CQ7" s="229">
        <v>9.11E-2</v>
      </c>
      <c r="CR7" s="230">
        <v>5628600</v>
      </c>
      <c r="CS7" s="230">
        <v>5216400</v>
      </c>
      <c r="CT7" s="230">
        <v>412200</v>
      </c>
      <c r="CU7" s="229">
        <v>7.9000000000000001E-2</v>
      </c>
      <c r="CV7" s="230">
        <v>35393400</v>
      </c>
      <c r="CW7" s="230">
        <v>34104600</v>
      </c>
      <c r="CX7" s="230">
        <v>1288800</v>
      </c>
      <c r="CY7" s="229">
        <v>3.78E-2</v>
      </c>
      <c r="CZ7" s="228">
        <v>46.84</v>
      </c>
      <c r="DA7" s="228">
        <v>49.61</v>
      </c>
      <c r="DB7" s="228">
        <v>-2.77</v>
      </c>
      <c r="DC7" s="228">
        <v>-2.77</v>
      </c>
      <c r="DD7" s="228">
        <v>58.55</v>
      </c>
      <c r="DE7" s="228">
        <v>58.64</v>
      </c>
      <c r="DF7" s="228">
        <v>-11.71</v>
      </c>
      <c r="DG7" s="228">
        <v>-0.09</v>
      </c>
      <c r="DH7" s="228">
        <v>46.5</v>
      </c>
      <c r="DI7" s="228">
        <v>49.35</v>
      </c>
      <c r="DJ7" s="228">
        <v>-2.85</v>
      </c>
      <c r="DK7" s="228">
        <v>-2.85</v>
      </c>
      <c r="DL7" s="228">
        <v>47.65</v>
      </c>
      <c r="DM7" s="228">
        <v>50.23</v>
      </c>
      <c r="DN7" s="228">
        <v>-2.58</v>
      </c>
      <c r="DO7" s="228">
        <v>-2.58</v>
      </c>
      <c r="DP7" s="228">
        <v>0.72</v>
      </c>
      <c r="DQ7" s="228">
        <v>0.72</v>
      </c>
      <c r="DR7" s="228">
        <v>0</v>
      </c>
      <c r="DS7" s="229">
        <v>0</v>
      </c>
      <c r="DT7" s="231">
        <v>1300</v>
      </c>
      <c r="DU7" s="231">
        <v>1200</v>
      </c>
      <c r="DV7" s="228">
        <v>0.42</v>
      </c>
      <c r="DW7" s="228">
        <v>0.43</v>
      </c>
      <c r="DX7" s="228">
        <v>-0.01</v>
      </c>
      <c r="DY7" s="229">
        <v>-2.3300000000000001E-2</v>
      </c>
      <c r="DZ7" s="229">
        <v>1.35E-2</v>
      </c>
      <c r="EA7" s="230">
        <v>285000</v>
      </c>
      <c r="EB7" s="229">
        <v>5.0000000000000001E-3</v>
      </c>
      <c r="EC7" s="229">
        <v>1.35E-2</v>
      </c>
      <c r="ED7" s="228">
        <v>6.66</v>
      </c>
      <c r="EE7" s="229">
        <v>4.8999999999999998E-3</v>
      </c>
      <c r="EF7" s="230">
        <v>1030496</v>
      </c>
      <c r="EG7" s="230">
        <v>1239262</v>
      </c>
      <c r="EH7" s="229">
        <v>-0.16850000000000001</v>
      </c>
      <c r="EI7" s="229">
        <v>0.2198</v>
      </c>
      <c r="EJ7" s="231">
        <v>210616.4</v>
      </c>
      <c r="EK7" s="231">
        <v>82499.259999999995</v>
      </c>
      <c r="EL7" s="231">
        <v>61968.59</v>
      </c>
      <c r="EM7" s="231">
        <v>7152</v>
      </c>
      <c r="EN7" s="231">
        <v>355084.25</v>
      </c>
      <c r="EO7" s="231">
        <v>376189.29</v>
      </c>
      <c r="EP7" s="231">
        <v>-21105.040000000001</v>
      </c>
      <c r="EQ7" s="229">
        <v>-5.6099999999999997E-2</v>
      </c>
      <c r="ER7" s="231">
        <v>101830</v>
      </c>
      <c r="ES7" s="231">
        <v>68330</v>
      </c>
      <c r="ET7" s="231">
        <v>298541</v>
      </c>
      <c r="EU7" s="231">
        <v>64724093</v>
      </c>
      <c r="EV7" s="231">
        <v>468701</v>
      </c>
      <c r="EW7" s="231">
        <v>444944</v>
      </c>
      <c r="EX7" s="231">
        <v>23757</v>
      </c>
      <c r="EY7" s="229">
        <v>5.3400000000000003E-2</v>
      </c>
      <c r="EZ7" s="229">
        <v>0.54679999999999995</v>
      </c>
      <c r="FA7" s="227" t="s">
        <v>555</v>
      </c>
      <c r="FB7" s="161">
        <f t="shared" si="0"/>
        <v>295800</v>
      </c>
    </row>
    <row r="8" spans="1:158" ht="17.25" thickBot="1" x14ac:dyDescent="0.3">
      <c r="A8" s="226">
        <v>46148</v>
      </c>
      <c r="B8" s="227" t="s">
        <v>215</v>
      </c>
      <c r="C8" s="227" t="s">
        <v>160</v>
      </c>
      <c r="D8" s="228">
        <v>475</v>
      </c>
      <c r="E8" s="231">
        <v>1758.1</v>
      </c>
      <c r="F8" s="231">
        <v>1730.8</v>
      </c>
      <c r="G8" s="228">
        <v>27.3</v>
      </c>
      <c r="H8" s="229">
        <v>1.5800000000000002E-2</v>
      </c>
      <c r="I8" s="231">
        <v>1748.3</v>
      </c>
      <c r="J8" s="231">
        <v>1725</v>
      </c>
      <c r="K8" s="228">
        <v>23.3</v>
      </c>
      <c r="L8" s="229">
        <v>1.35E-2</v>
      </c>
      <c r="M8" s="231">
        <v>1758.1</v>
      </c>
      <c r="N8" s="231">
        <v>1730.8</v>
      </c>
      <c r="O8" s="228">
        <v>27.3</v>
      </c>
      <c r="P8" s="229">
        <v>1.5800000000000002E-2</v>
      </c>
      <c r="Q8" s="231">
        <v>1763.6</v>
      </c>
      <c r="R8" s="231">
        <v>1734.9</v>
      </c>
      <c r="S8" s="228">
        <v>28.7</v>
      </c>
      <c r="T8" s="229">
        <v>1.6500000000000001E-2</v>
      </c>
      <c r="U8" s="231">
        <v>1769.7</v>
      </c>
      <c r="V8" s="231">
        <v>1745.2</v>
      </c>
      <c r="W8" s="228">
        <v>24.5</v>
      </c>
      <c r="X8" s="229">
        <v>1.4E-2</v>
      </c>
      <c r="Y8" s="228">
        <v>9.8000000000000007</v>
      </c>
      <c r="Z8" s="228">
        <v>5.8</v>
      </c>
      <c r="AA8" s="228">
        <v>4</v>
      </c>
      <c r="AB8" s="229">
        <v>5.5999999999999999E-3</v>
      </c>
      <c r="AC8" s="228">
        <v>9.8000000000000007</v>
      </c>
      <c r="AD8" s="228">
        <v>5.8</v>
      </c>
      <c r="AE8" s="228">
        <v>4</v>
      </c>
      <c r="AF8" s="229">
        <v>5.5999999999999999E-3</v>
      </c>
      <c r="AG8" s="228">
        <v>15.3</v>
      </c>
      <c r="AH8" s="228">
        <v>9.9</v>
      </c>
      <c r="AI8" s="228">
        <v>5.4</v>
      </c>
      <c r="AJ8" s="229">
        <v>8.8000000000000005E-3</v>
      </c>
      <c r="AK8" s="228">
        <v>21.4</v>
      </c>
      <c r="AL8" s="228">
        <v>20.2</v>
      </c>
      <c r="AM8" s="228">
        <v>1.2</v>
      </c>
      <c r="AN8" s="229">
        <v>1.2200000000000001E-2</v>
      </c>
      <c r="AO8" s="231">
        <v>1751.67</v>
      </c>
      <c r="AP8" s="231">
        <v>1756.78</v>
      </c>
      <c r="AQ8" s="228">
        <v>0</v>
      </c>
      <c r="AR8" s="230">
        <v>3874575</v>
      </c>
      <c r="AS8" s="230">
        <v>4516300</v>
      </c>
      <c r="AT8" s="230">
        <v>-641725</v>
      </c>
      <c r="AU8" s="229">
        <v>-0.1421</v>
      </c>
      <c r="AV8" s="230">
        <v>3655600</v>
      </c>
      <c r="AW8" s="230">
        <v>4323450</v>
      </c>
      <c r="AX8" s="230">
        <v>-667850</v>
      </c>
      <c r="AY8" s="229">
        <v>-0.1545</v>
      </c>
      <c r="AZ8" s="230">
        <v>196650</v>
      </c>
      <c r="BA8" s="230">
        <v>167675</v>
      </c>
      <c r="BB8" s="230">
        <v>28975</v>
      </c>
      <c r="BC8" s="229">
        <v>0.17280000000000001</v>
      </c>
      <c r="BD8" s="230">
        <v>22325</v>
      </c>
      <c r="BE8" s="230">
        <v>25175</v>
      </c>
      <c r="BF8" s="230">
        <v>-2850</v>
      </c>
      <c r="BG8" s="229">
        <v>-0.1132</v>
      </c>
      <c r="BH8" s="230">
        <v>13569325</v>
      </c>
      <c r="BI8" s="230">
        <v>17299025</v>
      </c>
      <c r="BJ8" s="230">
        <v>-3729700</v>
      </c>
      <c r="BK8" s="229">
        <v>-0.21560000000000001</v>
      </c>
      <c r="BL8" s="230">
        <v>7882625</v>
      </c>
      <c r="BM8" s="230">
        <v>9713275</v>
      </c>
      <c r="BN8" s="230">
        <v>-1830650</v>
      </c>
      <c r="BO8" s="229">
        <v>-0.1885</v>
      </c>
      <c r="BP8" s="230">
        <v>25326525</v>
      </c>
      <c r="BQ8" s="230">
        <v>31528600</v>
      </c>
      <c r="BR8" s="230">
        <v>-6202075</v>
      </c>
      <c r="BS8" s="229">
        <v>-0.19670000000000001</v>
      </c>
      <c r="BT8" s="230">
        <v>3252249</v>
      </c>
      <c r="BU8" s="230">
        <v>4752423</v>
      </c>
      <c r="BV8" s="230">
        <v>-1500174</v>
      </c>
      <c r="BW8" s="229">
        <v>-0.31569999999999998</v>
      </c>
      <c r="BX8" s="230">
        <v>22041900</v>
      </c>
      <c r="BY8" s="230">
        <v>22011975</v>
      </c>
      <c r="BZ8" s="230">
        <v>29925</v>
      </c>
      <c r="CA8" s="229">
        <v>1.4E-3</v>
      </c>
      <c r="CB8" s="230">
        <v>20915675</v>
      </c>
      <c r="CC8" s="230">
        <v>20944650</v>
      </c>
      <c r="CD8" s="230">
        <v>-28975</v>
      </c>
      <c r="CE8" s="229">
        <v>-1.4E-3</v>
      </c>
      <c r="CF8" s="230">
        <v>1062575</v>
      </c>
      <c r="CG8" s="230">
        <v>1004625</v>
      </c>
      <c r="CH8" s="230">
        <v>57950</v>
      </c>
      <c r="CI8" s="229">
        <v>5.7700000000000001E-2</v>
      </c>
      <c r="CJ8" s="230">
        <v>63650</v>
      </c>
      <c r="CK8" s="230">
        <v>62700</v>
      </c>
      <c r="CL8" s="228">
        <v>950</v>
      </c>
      <c r="CM8" s="229">
        <v>1.52E-2</v>
      </c>
      <c r="CN8" s="230">
        <v>8611750</v>
      </c>
      <c r="CO8" s="230">
        <v>8705325</v>
      </c>
      <c r="CP8" s="230">
        <v>-93575</v>
      </c>
      <c r="CQ8" s="229">
        <v>-1.0699999999999999E-2</v>
      </c>
      <c r="CR8" s="230">
        <v>6781575</v>
      </c>
      <c r="CS8" s="230">
        <v>6643350</v>
      </c>
      <c r="CT8" s="230">
        <v>138225</v>
      </c>
      <c r="CU8" s="229">
        <v>2.0799999999999999E-2</v>
      </c>
      <c r="CV8" s="230">
        <v>37435225</v>
      </c>
      <c r="CW8" s="230">
        <v>37360650</v>
      </c>
      <c r="CX8" s="230">
        <v>74575</v>
      </c>
      <c r="CY8" s="229">
        <v>2E-3</v>
      </c>
      <c r="CZ8" s="228">
        <v>31.12</v>
      </c>
      <c r="DA8" s="228">
        <v>32.26</v>
      </c>
      <c r="DB8" s="228">
        <v>-1.1399999999999999</v>
      </c>
      <c r="DC8" s="228">
        <v>-1.1399999999999999</v>
      </c>
      <c r="DD8" s="228">
        <v>40.03</v>
      </c>
      <c r="DE8" s="228">
        <v>40.090000000000003</v>
      </c>
      <c r="DF8" s="228">
        <v>-8.91</v>
      </c>
      <c r="DG8" s="228">
        <v>-0.06</v>
      </c>
      <c r="DH8" s="228">
        <v>30.25</v>
      </c>
      <c r="DI8" s="228">
        <v>31.58</v>
      </c>
      <c r="DJ8" s="228">
        <v>-1.33</v>
      </c>
      <c r="DK8" s="228">
        <v>-1.33</v>
      </c>
      <c r="DL8" s="228">
        <v>32.630000000000003</v>
      </c>
      <c r="DM8" s="228">
        <v>33.450000000000003</v>
      </c>
      <c r="DN8" s="228">
        <v>-0.82</v>
      </c>
      <c r="DO8" s="228">
        <v>-0.82</v>
      </c>
      <c r="DP8" s="228">
        <v>0.79</v>
      </c>
      <c r="DQ8" s="228">
        <v>0.76</v>
      </c>
      <c r="DR8" s="228">
        <v>0.03</v>
      </c>
      <c r="DS8" s="229">
        <v>3.95E-2</v>
      </c>
      <c r="DT8" s="231">
        <v>1800</v>
      </c>
      <c r="DU8" s="231">
        <v>1600</v>
      </c>
      <c r="DV8" s="228">
        <v>0.57999999999999996</v>
      </c>
      <c r="DW8" s="228">
        <v>0.56000000000000005</v>
      </c>
      <c r="DX8" s="228">
        <v>0.02</v>
      </c>
      <c r="DY8" s="229">
        <v>3.5700000000000003E-2</v>
      </c>
      <c r="DZ8" s="229">
        <v>5.11E-2</v>
      </c>
      <c r="EA8" s="230">
        <v>1067325</v>
      </c>
      <c r="EB8" s="229">
        <v>3.0999999999999999E-3</v>
      </c>
      <c r="EC8" s="229">
        <v>5.11E-2</v>
      </c>
      <c r="ED8" s="228">
        <v>5.1100000000000003</v>
      </c>
      <c r="EE8" s="229">
        <v>2.8999999999999998E-3</v>
      </c>
      <c r="EF8" s="230">
        <v>1378443</v>
      </c>
      <c r="EG8" s="230">
        <v>1847777</v>
      </c>
      <c r="EH8" s="229">
        <v>-0.254</v>
      </c>
      <c r="EI8" s="229">
        <v>0.42380000000000001</v>
      </c>
      <c r="EJ8" s="231">
        <v>248505.56</v>
      </c>
      <c r="EK8" s="231">
        <v>134034.34</v>
      </c>
      <c r="EL8" s="231">
        <v>67883.11</v>
      </c>
      <c r="EM8" s="231">
        <v>14553</v>
      </c>
      <c r="EN8" s="231">
        <v>450423.01</v>
      </c>
      <c r="EO8" s="231">
        <v>560131.5</v>
      </c>
      <c r="EP8" s="231">
        <v>-109708.49</v>
      </c>
      <c r="EQ8" s="229">
        <v>-0.19589999999999999</v>
      </c>
      <c r="ER8" s="231">
        <v>148849</v>
      </c>
      <c r="ES8" s="231">
        <v>108758</v>
      </c>
      <c r="ET8" s="231">
        <v>387584</v>
      </c>
      <c r="EU8" s="231">
        <v>88142691</v>
      </c>
      <c r="EV8" s="231">
        <v>645192</v>
      </c>
      <c r="EW8" s="231">
        <v>636975</v>
      </c>
      <c r="EX8" s="231">
        <v>8217</v>
      </c>
      <c r="EY8" s="229">
        <v>1.29E-2</v>
      </c>
      <c r="EZ8" s="229">
        <v>0.42470000000000002</v>
      </c>
      <c r="FA8" s="227" t="s">
        <v>555</v>
      </c>
      <c r="FB8" s="161">
        <f t="shared" si="0"/>
        <v>1126225</v>
      </c>
    </row>
    <row r="9" spans="1:158" ht="17.25" thickBot="1" x14ac:dyDescent="0.3">
      <c r="A9" s="226">
        <v>46148</v>
      </c>
      <c r="B9" s="227" t="s">
        <v>161</v>
      </c>
      <c r="C9" s="227" t="s">
        <v>693</v>
      </c>
      <c r="D9" s="228">
        <v>3550</v>
      </c>
      <c r="E9" s="228">
        <v>230.63</v>
      </c>
      <c r="F9" s="228">
        <v>230.57</v>
      </c>
      <c r="G9" s="228">
        <v>0.06</v>
      </c>
      <c r="H9" s="229">
        <v>2.9999999999999997E-4</v>
      </c>
      <c r="I9" s="228">
        <v>229.12</v>
      </c>
      <c r="J9" s="228">
        <v>229.96</v>
      </c>
      <c r="K9" s="228">
        <v>-0.84</v>
      </c>
      <c r="L9" s="229">
        <v>-3.7000000000000002E-3</v>
      </c>
      <c r="M9" s="228">
        <v>230.63</v>
      </c>
      <c r="N9" s="228">
        <v>230.57</v>
      </c>
      <c r="O9" s="228">
        <v>0.06</v>
      </c>
      <c r="P9" s="229">
        <v>2.9999999999999997E-4</v>
      </c>
      <c r="Q9" s="228">
        <v>231.39</v>
      </c>
      <c r="R9" s="228">
        <v>231.53</v>
      </c>
      <c r="S9" s="228">
        <v>-0.14000000000000001</v>
      </c>
      <c r="T9" s="229">
        <v>-5.9999999999999995E-4</v>
      </c>
      <c r="U9" s="228">
        <v>232.57</v>
      </c>
      <c r="V9" s="228">
        <v>232.63</v>
      </c>
      <c r="W9" s="228">
        <v>-0.06</v>
      </c>
      <c r="X9" s="229">
        <v>-2.9999999999999997E-4</v>
      </c>
      <c r="Y9" s="228">
        <v>1.51</v>
      </c>
      <c r="Z9" s="228">
        <v>0.61</v>
      </c>
      <c r="AA9" s="228">
        <v>0.9</v>
      </c>
      <c r="AB9" s="229">
        <v>6.6E-3</v>
      </c>
      <c r="AC9" s="228">
        <v>1.51</v>
      </c>
      <c r="AD9" s="228">
        <v>0.61</v>
      </c>
      <c r="AE9" s="228">
        <v>0.9</v>
      </c>
      <c r="AF9" s="229">
        <v>6.6E-3</v>
      </c>
      <c r="AG9" s="228">
        <v>2.27</v>
      </c>
      <c r="AH9" s="228">
        <v>1.57</v>
      </c>
      <c r="AI9" s="228">
        <v>0.7</v>
      </c>
      <c r="AJ9" s="229">
        <v>9.9000000000000008E-3</v>
      </c>
      <c r="AK9" s="228">
        <v>3.45</v>
      </c>
      <c r="AL9" s="228">
        <v>2.67</v>
      </c>
      <c r="AM9" s="228">
        <v>0.78</v>
      </c>
      <c r="AN9" s="229">
        <v>1.5100000000000001E-2</v>
      </c>
      <c r="AO9" s="228">
        <v>228.51</v>
      </c>
      <c r="AP9" s="228">
        <v>228.5</v>
      </c>
      <c r="AQ9" s="228">
        <v>0</v>
      </c>
      <c r="AR9" s="230">
        <v>27235600</v>
      </c>
      <c r="AS9" s="230">
        <v>19361700</v>
      </c>
      <c r="AT9" s="230">
        <v>7873900</v>
      </c>
      <c r="AU9" s="229">
        <v>0.40670000000000001</v>
      </c>
      <c r="AV9" s="230">
        <v>25208550</v>
      </c>
      <c r="AW9" s="230">
        <v>17991400</v>
      </c>
      <c r="AX9" s="230">
        <v>7217150</v>
      </c>
      <c r="AY9" s="229">
        <v>0.40110000000000001</v>
      </c>
      <c r="AZ9" s="230">
        <v>1831800</v>
      </c>
      <c r="BA9" s="230">
        <v>1157300</v>
      </c>
      <c r="BB9" s="230">
        <v>674500</v>
      </c>
      <c r="BC9" s="229">
        <v>0.58279999999999998</v>
      </c>
      <c r="BD9" s="230">
        <v>195250</v>
      </c>
      <c r="BE9" s="230">
        <v>213000</v>
      </c>
      <c r="BF9" s="230">
        <v>-17750</v>
      </c>
      <c r="BG9" s="229">
        <v>-8.3299999999999999E-2</v>
      </c>
      <c r="BH9" s="230">
        <v>38939950</v>
      </c>
      <c r="BI9" s="230">
        <v>43636600</v>
      </c>
      <c r="BJ9" s="230">
        <v>-4696650</v>
      </c>
      <c r="BK9" s="229">
        <v>-0.1076</v>
      </c>
      <c r="BL9" s="230">
        <v>16571400</v>
      </c>
      <c r="BM9" s="230">
        <v>14785750</v>
      </c>
      <c r="BN9" s="230">
        <v>1785650</v>
      </c>
      <c r="BO9" s="229">
        <v>0.1208</v>
      </c>
      <c r="BP9" s="230">
        <v>82746950</v>
      </c>
      <c r="BQ9" s="230">
        <v>77784050</v>
      </c>
      <c r="BR9" s="230">
        <v>4962900</v>
      </c>
      <c r="BS9" s="229">
        <v>6.3799999999999996E-2</v>
      </c>
      <c r="BT9" s="230">
        <v>47426731</v>
      </c>
      <c r="BU9" s="230">
        <v>46720267</v>
      </c>
      <c r="BV9" s="230">
        <v>706464</v>
      </c>
      <c r="BW9" s="229">
        <v>1.5100000000000001E-2</v>
      </c>
      <c r="BX9" s="230">
        <v>78742550</v>
      </c>
      <c r="BY9" s="230">
        <v>78494050</v>
      </c>
      <c r="BZ9" s="230">
        <v>248500</v>
      </c>
      <c r="CA9" s="229">
        <v>3.2000000000000002E-3</v>
      </c>
      <c r="CB9" s="230">
        <v>75128650</v>
      </c>
      <c r="CC9" s="230">
        <v>75515600</v>
      </c>
      <c r="CD9" s="230">
        <v>-386950</v>
      </c>
      <c r="CE9" s="229">
        <v>-5.1000000000000004E-3</v>
      </c>
      <c r="CF9" s="230">
        <v>3308600</v>
      </c>
      <c r="CG9" s="230">
        <v>2729950</v>
      </c>
      <c r="CH9" s="230">
        <v>578650</v>
      </c>
      <c r="CI9" s="229">
        <v>0.21199999999999999</v>
      </c>
      <c r="CJ9" s="230">
        <v>305300</v>
      </c>
      <c r="CK9" s="230">
        <v>248500</v>
      </c>
      <c r="CL9" s="230">
        <v>56800</v>
      </c>
      <c r="CM9" s="229">
        <v>0.2286</v>
      </c>
      <c r="CN9" s="230">
        <v>33100200</v>
      </c>
      <c r="CO9" s="230">
        <v>31694400</v>
      </c>
      <c r="CP9" s="230">
        <v>1405800</v>
      </c>
      <c r="CQ9" s="229">
        <v>4.4400000000000002E-2</v>
      </c>
      <c r="CR9" s="230">
        <v>23334150</v>
      </c>
      <c r="CS9" s="230">
        <v>21559150</v>
      </c>
      <c r="CT9" s="230">
        <v>1775000</v>
      </c>
      <c r="CU9" s="229">
        <v>8.2299999999999998E-2</v>
      </c>
      <c r="CV9" s="230">
        <v>135176900</v>
      </c>
      <c r="CW9" s="230">
        <v>131747600</v>
      </c>
      <c r="CX9" s="230">
        <v>3429300</v>
      </c>
      <c r="CY9" s="229">
        <v>2.5999999999999999E-2</v>
      </c>
      <c r="CZ9" s="228">
        <v>52.03</v>
      </c>
      <c r="DA9" s="228">
        <v>52.11</v>
      </c>
      <c r="DB9" s="228">
        <v>-0.08</v>
      </c>
      <c r="DC9" s="228">
        <v>-0.08</v>
      </c>
      <c r="DD9" s="228">
        <v>52.19</v>
      </c>
      <c r="DE9" s="228">
        <v>52.32</v>
      </c>
      <c r="DF9" s="228">
        <v>-0.16</v>
      </c>
      <c r="DG9" s="228">
        <v>-0.13</v>
      </c>
      <c r="DH9" s="228">
        <v>51.66</v>
      </c>
      <c r="DI9" s="228">
        <v>51.96</v>
      </c>
      <c r="DJ9" s="228">
        <v>-0.3</v>
      </c>
      <c r="DK9" s="228">
        <v>-0.3</v>
      </c>
      <c r="DL9" s="228">
        <v>52.92</v>
      </c>
      <c r="DM9" s="228">
        <v>52.58</v>
      </c>
      <c r="DN9" s="228">
        <v>0.34</v>
      </c>
      <c r="DO9" s="228">
        <v>0.34</v>
      </c>
      <c r="DP9" s="228">
        <v>0.7</v>
      </c>
      <c r="DQ9" s="228">
        <v>0.68</v>
      </c>
      <c r="DR9" s="228">
        <v>0.02</v>
      </c>
      <c r="DS9" s="229">
        <v>2.9399999999999999E-2</v>
      </c>
      <c r="DT9" s="228">
        <v>220</v>
      </c>
      <c r="DU9" s="228">
        <v>200</v>
      </c>
      <c r="DV9" s="228">
        <v>0.43</v>
      </c>
      <c r="DW9" s="228">
        <v>0.34</v>
      </c>
      <c r="DX9" s="228">
        <v>0.09</v>
      </c>
      <c r="DY9" s="229">
        <v>0.26469999999999999</v>
      </c>
      <c r="DZ9" s="229">
        <v>4.5900000000000003E-2</v>
      </c>
      <c r="EA9" s="230">
        <v>2978450</v>
      </c>
      <c r="EB9" s="229">
        <v>3.3E-3</v>
      </c>
      <c r="EC9" s="229">
        <v>4.5900000000000003E-2</v>
      </c>
      <c r="ED9" s="228">
        <v>-0.01</v>
      </c>
      <c r="EE9" s="229">
        <v>0</v>
      </c>
      <c r="EF9" s="230">
        <v>11407723</v>
      </c>
      <c r="EG9" s="230">
        <v>12334476</v>
      </c>
      <c r="EH9" s="229">
        <v>-7.51E-2</v>
      </c>
      <c r="EI9" s="229">
        <v>0.24049999999999999</v>
      </c>
      <c r="EJ9" s="231">
        <v>95182.04</v>
      </c>
      <c r="EK9" s="231">
        <v>36299.47</v>
      </c>
      <c r="EL9" s="231">
        <v>62238.49</v>
      </c>
      <c r="EM9" s="231">
        <v>9914</v>
      </c>
      <c r="EN9" s="231">
        <v>193720</v>
      </c>
      <c r="EO9" s="231">
        <v>186261.3</v>
      </c>
      <c r="EP9" s="231">
        <v>7458.7</v>
      </c>
      <c r="EQ9" s="229">
        <v>0.04</v>
      </c>
      <c r="ER9" s="231">
        <v>75494</v>
      </c>
      <c r="ES9" s="231">
        <v>48648</v>
      </c>
      <c r="ET9" s="231">
        <v>181635</v>
      </c>
      <c r="EU9" s="231">
        <v>482906787</v>
      </c>
      <c r="EV9" s="231">
        <v>305776</v>
      </c>
      <c r="EW9" s="231">
        <v>297863</v>
      </c>
      <c r="EX9" s="231">
        <v>7913</v>
      </c>
      <c r="EY9" s="229">
        <v>2.6599999999999999E-2</v>
      </c>
      <c r="EZ9" s="229">
        <v>0.27989999999999998</v>
      </c>
      <c r="FA9" s="227" t="s">
        <v>555</v>
      </c>
      <c r="FB9" s="161">
        <f t="shared" si="0"/>
        <v>3613900</v>
      </c>
    </row>
    <row r="10" spans="1:158" ht="17.25" thickBot="1" x14ac:dyDescent="0.3">
      <c r="A10" s="226">
        <v>46148</v>
      </c>
      <c r="B10" s="227" t="s">
        <v>170</v>
      </c>
      <c r="C10" s="227" t="s">
        <v>497</v>
      </c>
      <c r="D10" s="228">
        <v>125</v>
      </c>
      <c r="E10" s="231">
        <v>5549</v>
      </c>
      <c r="F10" s="231">
        <v>5424.5</v>
      </c>
      <c r="G10" s="228">
        <v>124.5</v>
      </c>
      <c r="H10" s="229">
        <v>2.3E-2</v>
      </c>
      <c r="I10" s="231">
        <v>5557</v>
      </c>
      <c r="J10" s="231">
        <v>5403</v>
      </c>
      <c r="K10" s="228">
        <v>154</v>
      </c>
      <c r="L10" s="229">
        <v>2.8500000000000001E-2</v>
      </c>
      <c r="M10" s="231">
        <v>5549</v>
      </c>
      <c r="N10" s="231">
        <v>5424.5</v>
      </c>
      <c r="O10" s="228">
        <v>124.5</v>
      </c>
      <c r="P10" s="229">
        <v>2.3E-2</v>
      </c>
      <c r="Q10" s="231">
        <v>5560</v>
      </c>
      <c r="R10" s="231">
        <v>5458</v>
      </c>
      <c r="S10" s="228">
        <v>102</v>
      </c>
      <c r="T10" s="229">
        <v>1.8700000000000001E-2</v>
      </c>
      <c r="U10" s="231">
        <v>5370</v>
      </c>
      <c r="V10" s="231">
        <v>5370</v>
      </c>
      <c r="W10" s="228">
        <v>0</v>
      </c>
      <c r="X10" s="229">
        <v>0</v>
      </c>
      <c r="Y10" s="228">
        <v>-8</v>
      </c>
      <c r="Z10" s="228">
        <v>21.5</v>
      </c>
      <c r="AA10" s="228">
        <v>-29.5</v>
      </c>
      <c r="AB10" s="229">
        <v>-1.4E-3</v>
      </c>
      <c r="AC10" s="228">
        <v>-8</v>
      </c>
      <c r="AD10" s="228">
        <v>21.5</v>
      </c>
      <c r="AE10" s="228">
        <v>-29.5</v>
      </c>
      <c r="AF10" s="229">
        <v>-1.4E-3</v>
      </c>
      <c r="AG10" s="228">
        <v>3</v>
      </c>
      <c r="AH10" s="228">
        <v>55</v>
      </c>
      <c r="AI10" s="228">
        <v>-52</v>
      </c>
      <c r="AJ10" s="229">
        <v>5.0000000000000001E-4</v>
      </c>
      <c r="AK10" s="228">
        <v>-187</v>
      </c>
      <c r="AL10" s="228">
        <v>-33</v>
      </c>
      <c r="AM10" s="228">
        <v>-154</v>
      </c>
      <c r="AN10" s="229">
        <v>-3.3700000000000001E-2</v>
      </c>
      <c r="AO10" s="231">
        <v>5556.87</v>
      </c>
      <c r="AP10" s="231">
        <v>5597.12</v>
      </c>
      <c r="AQ10" s="228">
        <v>0</v>
      </c>
      <c r="AR10" s="230">
        <v>205625</v>
      </c>
      <c r="AS10" s="230">
        <v>76500</v>
      </c>
      <c r="AT10" s="230">
        <v>129125</v>
      </c>
      <c r="AU10" s="229">
        <v>1.6879</v>
      </c>
      <c r="AV10" s="230">
        <v>194875</v>
      </c>
      <c r="AW10" s="230">
        <v>73875</v>
      </c>
      <c r="AX10" s="230">
        <v>121000</v>
      </c>
      <c r="AY10" s="229">
        <v>1.6378999999999999</v>
      </c>
      <c r="AZ10" s="230">
        <v>10750</v>
      </c>
      <c r="BA10" s="230">
        <v>2625</v>
      </c>
      <c r="BB10" s="230">
        <v>8125</v>
      </c>
      <c r="BC10" s="229">
        <v>3.0952000000000002</v>
      </c>
      <c r="BD10" s="228">
        <v>0</v>
      </c>
      <c r="BE10" s="228">
        <v>0</v>
      </c>
      <c r="BF10" s="228">
        <v>0</v>
      </c>
      <c r="BG10" s="229">
        <v>0</v>
      </c>
      <c r="BH10" s="230">
        <v>998250</v>
      </c>
      <c r="BI10" s="230">
        <v>210500</v>
      </c>
      <c r="BJ10" s="230">
        <v>787750</v>
      </c>
      <c r="BK10" s="229">
        <v>3.7423000000000002</v>
      </c>
      <c r="BL10" s="230">
        <v>288750</v>
      </c>
      <c r="BM10" s="230">
        <v>77500</v>
      </c>
      <c r="BN10" s="230">
        <v>211250</v>
      </c>
      <c r="BO10" s="229">
        <v>2.7258</v>
      </c>
      <c r="BP10" s="230">
        <v>1492625</v>
      </c>
      <c r="BQ10" s="230">
        <v>364500</v>
      </c>
      <c r="BR10" s="230">
        <v>1128125</v>
      </c>
      <c r="BS10" s="229">
        <v>3.0950000000000002</v>
      </c>
      <c r="BT10" s="230">
        <v>133016</v>
      </c>
      <c r="BU10" s="230">
        <v>59139</v>
      </c>
      <c r="BV10" s="230">
        <v>73877</v>
      </c>
      <c r="BW10" s="229">
        <v>1.2492000000000001</v>
      </c>
      <c r="BX10" s="230">
        <v>1088250</v>
      </c>
      <c r="BY10" s="230">
        <v>1060875</v>
      </c>
      <c r="BZ10" s="230">
        <v>27375</v>
      </c>
      <c r="CA10" s="229">
        <v>2.58E-2</v>
      </c>
      <c r="CB10" s="230">
        <v>1078500</v>
      </c>
      <c r="CC10" s="230">
        <v>1053250</v>
      </c>
      <c r="CD10" s="230">
        <v>25250</v>
      </c>
      <c r="CE10" s="229">
        <v>2.4E-2</v>
      </c>
      <c r="CF10" s="230">
        <v>9625</v>
      </c>
      <c r="CG10" s="230">
        <v>7500</v>
      </c>
      <c r="CH10" s="230">
        <v>2125</v>
      </c>
      <c r="CI10" s="229">
        <v>0.2833</v>
      </c>
      <c r="CJ10" s="228">
        <v>125</v>
      </c>
      <c r="CK10" s="228">
        <v>125</v>
      </c>
      <c r="CL10" s="228">
        <v>0</v>
      </c>
      <c r="CM10" s="229">
        <v>0</v>
      </c>
      <c r="CN10" s="230">
        <v>245875</v>
      </c>
      <c r="CO10" s="230">
        <v>216000</v>
      </c>
      <c r="CP10" s="230">
        <v>29875</v>
      </c>
      <c r="CQ10" s="229">
        <v>0.13830000000000001</v>
      </c>
      <c r="CR10" s="230">
        <v>160750</v>
      </c>
      <c r="CS10" s="230">
        <v>150250</v>
      </c>
      <c r="CT10" s="230">
        <v>10500</v>
      </c>
      <c r="CU10" s="229">
        <v>6.9900000000000004E-2</v>
      </c>
      <c r="CV10" s="230">
        <v>1494875</v>
      </c>
      <c r="CW10" s="230">
        <v>1427125</v>
      </c>
      <c r="CX10" s="230">
        <v>67750</v>
      </c>
      <c r="CY10" s="229">
        <v>4.7500000000000001E-2</v>
      </c>
      <c r="CZ10" s="228">
        <v>29.06</v>
      </c>
      <c r="DA10" s="228">
        <v>30.22</v>
      </c>
      <c r="DB10" s="228">
        <v>-1.1599999999999999</v>
      </c>
      <c r="DC10" s="228">
        <v>-1.1599999999999999</v>
      </c>
      <c r="DD10" s="228">
        <v>29.21</v>
      </c>
      <c r="DE10" s="228">
        <v>29.04</v>
      </c>
      <c r="DF10" s="228">
        <v>-0.15</v>
      </c>
      <c r="DG10" s="228">
        <v>0.17</v>
      </c>
      <c r="DH10" s="228">
        <v>28.51</v>
      </c>
      <c r="DI10" s="228">
        <v>29.34</v>
      </c>
      <c r="DJ10" s="228">
        <v>-0.83</v>
      </c>
      <c r="DK10" s="228">
        <v>-0.83</v>
      </c>
      <c r="DL10" s="228">
        <v>30.94</v>
      </c>
      <c r="DM10" s="228">
        <v>32.619999999999997</v>
      </c>
      <c r="DN10" s="228">
        <v>-1.68</v>
      </c>
      <c r="DO10" s="228">
        <v>-1.68</v>
      </c>
      <c r="DP10" s="228">
        <v>0.65</v>
      </c>
      <c r="DQ10" s="228">
        <v>0.7</v>
      </c>
      <c r="DR10" s="228">
        <v>-0.05</v>
      </c>
      <c r="DS10" s="229">
        <v>-7.1400000000000005E-2</v>
      </c>
      <c r="DT10" s="231">
        <v>5800</v>
      </c>
      <c r="DU10" s="231">
        <v>5500</v>
      </c>
      <c r="DV10" s="228">
        <v>0.28999999999999998</v>
      </c>
      <c r="DW10" s="228">
        <v>0.37</v>
      </c>
      <c r="DX10" s="228">
        <v>-0.08</v>
      </c>
      <c r="DY10" s="229">
        <v>-0.2162</v>
      </c>
      <c r="DZ10" s="229">
        <v>8.9999999999999993E-3</v>
      </c>
      <c r="EA10" s="230">
        <v>7625</v>
      </c>
      <c r="EB10" s="229">
        <v>2E-3</v>
      </c>
      <c r="EC10" s="229">
        <v>8.9999999999999993E-3</v>
      </c>
      <c r="ED10" s="228">
        <v>40.25</v>
      </c>
      <c r="EE10" s="229">
        <v>7.1999999999999998E-3</v>
      </c>
      <c r="EF10" s="230">
        <v>51812</v>
      </c>
      <c r="EG10" s="230">
        <v>25856</v>
      </c>
      <c r="EH10" s="229">
        <v>1.0039</v>
      </c>
      <c r="EI10" s="229">
        <v>0.38950000000000001</v>
      </c>
      <c r="EJ10" s="231">
        <v>58326.8</v>
      </c>
      <c r="EK10" s="231">
        <v>15432.86</v>
      </c>
      <c r="EL10" s="231">
        <v>11430.65</v>
      </c>
      <c r="EM10" s="228">
        <v>974</v>
      </c>
      <c r="EN10" s="231">
        <v>85190.31</v>
      </c>
      <c r="EO10" s="231">
        <v>20227.650000000001</v>
      </c>
      <c r="EP10" s="231">
        <v>64962.66</v>
      </c>
      <c r="EQ10" s="229">
        <v>3.2115999999999998</v>
      </c>
      <c r="ER10" s="231">
        <v>14134</v>
      </c>
      <c r="ES10" s="231">
        <v>8427</v>
      </c>
      <c r="ET10" s="231">
        <v>60388</v>
      </c>
      <c r="EU10" s="231">
        <v>5873365</v>
      </c>
      <c r="EV10" s="231">
        <v>82949</v>
      </c>
      <c r="EW10" s="231">
        <v>77693</v>
      </c>
      <c r="EX10" s="231">
        <v>5256</v>
      </c>
      <c r="EY10" s="229">
        <v>6.7699999999999996E-2</v>
      </c>
      <c r="EZ10" s="229">
        <v>0.2545</v>
      </c>
      <c r="FA10" s="227" t="s">
        <v>555</v>
      </c>
      <c r="FB10" s="161">
        <f t="shared" si="0"/>
        <v>9750</v>
      </c>
    </row>
    <row r="11" spans="1:158" ht="17.25" thickBot="1" x14ac:dyDescent="0.3">
      <c r="A11" s="226">
        <v>46148</v>
      </c>
      <c r="B11" s="227" t="s">
        <v>184</v>
      </c>
      <c r="C11" s="227" t="s">
        <v>677</v>
      </c>
      <c r="D11" s="228">
        <v>100</v>
      </c>
      <c r="E11" s="231">
        <v>8737.5</v>
      </c>
      <c r="F11" s="231">
        <v>8248</v>
      </c>
      <c r="G11" s="228">
        <v>489.5</v>
      </c>
      <c r="H11" s="229">
        <v>5.9299999999999999E-2</v>
      </c>
      <c r="I11" s="231">
        <v>8661.5</v>
      </c>
      <c r="J11" s="231">
        <v>8204</v>
      </c>
      <c r="K11" s="228">
        <v>457.5</v>
      </c>
      <c r="L11" s="229">
        <v>5.5800000000000002E-2</v>
      </c>
      <c r="M11" s="231">
        <v>8737.5</v>
      </c>
      <c r="N11" s="231">
        <v>8248</v>
      </c>
      <c r="O11" s="228">
        <v>489.5</v>
      </c>
      <c r="P11" s="229">
        <v>5.9299999999999999E-2</v>
      </c>
      <c r="Q11" s="231">
        <v>8680</v>
      </c>
      <c r="R11" s="231">
        <v>8192.5</v>
      </c>
      <c r="S11" s="228">
        <v>487.5</v>
      </c>
      <c r="T11" s="229">
        <v>5.9499999999999997E-2</v>
      </c>
      <c r="U11" s="231">
        <v>8628</v>
      </c>
      <c r="V11" s="231">
        <v>8147</v>
      </c>
      <c r="W11" s="228">
        <v>481</v>
      </c>
      <c r="X11" s="229">
        <v>5.8999999999999997E-2</v>
      </c>
      <c r="Y11" s="228">
        <v>76</v>
      </c>
      <c r="Z11" s="228">
        <v>44</v>
      </c>
      <c r="AA11" s="228">
        <v>32</v>
      </c>
      <c r="AB11" s="229">
        <v>8.8000000000000005E-3</v>
      </c>
      <c r="AC11" s="228">
        <v>76</v>
      </c>
      <c r="AD11" s="228">
        <v>44</v>
      </c>
      <c r="AE11" s="228">
        <v>32</v>
      </c>
      <c r="AF11" s="229">
        <v>8.8000000000000005E-3</v>
      </c>
      <c r="AG11" s="228">
        <v>18.5</v>
      </c>
      <c r="AH11" s="228">
        <v>-11.5</v>
      </c>
      <c r="AI11" s="228">
        <v>30</v>
      </c>
      <c r="AJ11" s="229">
        <v>2.0999999999999999E-3</v>
      </c>
      <c r="AK11" s="228">
        <v>-33.5</v>
      </c>
      <c r="AL11" s="228">
        <v>-57</v>
      </c>
      <c r="AM11" s="228">
        <v>23.5</v>
      </c>
      <c r="AN11" s="229">
        <v>-3.8999999999999998E-3</v>
      </c>
      <c r="AO11" s="231">
        <v>8547.4599999999991</v>
      </c>
      <c r="AP11" s="231">
        <v>8516.83</v>
      </c>
      <c r="AQ11" s="228">
        <v>0</v>
      </c>
      <c r="AR11" s="230">
        <v>949000</v>
      </c>
      <c r="AS11" s="230">
        <v>338100</v>
      </c>
      <c r="AT11" s="230">
        <v>610900</v>
      </c>
      <c r="AU11" s="229">
        <v>1.8069</v>
      </c>
      <c r="AV11" s="230">
        <v>919100</v>
      </c>
      <c r="AW11" s="230">
        <v>325800</v>
      </c>
      <c r="AX11" s="230">
        <v>593300</v>
      </c>
      <c r="AY11" s="229">
        <v>1.8210999999999999</v>
      </c>
      <c r="AZ11" s="230">
        <v>26200</v>
      </c>
      <c r="BA11" s="230">
        <v>11000</v>
      </c>
      <c r="BB11" s="230">
        <v>15200</v>
      </c>
      <c r="BC11" s="229">
        <v>1.3817999999999999</v>
      </c>
      <c r="BD11" s="230">
        <v>3700</v>
      </c>
      <c r="BE11" s="230">
        <v>1300</v>
      </c>
      <c r="BF11" s="230">
        <v>2400</v>
      </c>
      <c r="BG11" s="229">
        <v>1.8462000000000001</v>
      </c>
      <c r="BH11" s="230">
        <v>2759400</v>
      </c>
      <c r="BI11" s="230">
        <v>771400</v>
      </c>
      <c r="BJ11" s="230">
        <v>1988000</v>
      </c>
      <c r="BK11" s="229">
        <v>2.5771000000000002</v>
      </c>
      <c r="BL11" s="230">
        <v>1116600</v>
      </c>
      <c r="BM11" s="230">
        <v>272900</v>
      </c>
      <c r="BN11" s="230">
        <v>843700</v>
      </c>
      <c r="BO11" s="229">
        <v>3.0916000000000001</v>
      </c>
      <c r="BP11" s="230">
        <v>4825000</v>
      </c>
      <c r="BQ11" s="230">
        <v>1382400</v>
      </c>
      <c r="BR11" s="230">
        <v>3442600</v>
      </c>
      <c r="BS11" s="229">
        <v>2.4903</v>
      </c>
      <c r="BT11" s="230">
        <v>672889</v>
      </c>
      <c r="BU11" s="230">
        <v>306176</v>
      </c>
      <c r="BV11" s="230">
        <v>366713</v>
      </c>
      <c r="BW11" s="229">
        <v>1.1977</v>
      </c>
      <c r="BX11" s="230">
        <v>1360600</v>
      </c>
      <c r="BY11" s="230">
        <v>1208800</v>
      </c>
      <c r="BZ11" s="230">
        <v>151800</v>
      </c>
      <c r="CA11" s="229">
        <v>0.12559999999999999</v>
      </c>
      <c r="CB11" s="230">
        <v>1337900</v>
      </c>
      <c r="CC11" s="230">
        <v>1189300</v>
      </c>
      <c r="CD11" s="230">
        <v>148600</v>
      </c>
      <c r="CE11" s="229">
        <v>0.1249</v>
      </c>
      <c r="CF11" s="230">
        <v>20400</v>
      </c>
      <c r="CG11" s="230">
        <v>18400</v>
      </c>
      <c r="CH11" s="230">
        <v>2000</v>
      </c>
      <c r="CI11" s="229">
        <v>0.1087</v>
      </c>
      <c r="CJ11" s="230">
        <v>2300</v>
      </c>
      <c r="CK11" s="230">
        <v>1100</v>
      </c>
      <c r="CL11" s="230">
        <v>1200</v>
      </c>
      <c r="CM11" s="229">
        <v>1.0909</v>
      </c>
      <c r="CN11" s="230">
        <v>849400</v>
      </c>
      <c r="CO11" s="230">
        <v>463000</v>
      </c>
      <c r="CP11" s="230">
        <v>386400</v>
      </c>
      <c r="CQ11" s="229">
        <v>0.83460000000000001</v>
      </c>
      <c r="CR11" s="230">
        <v>429100</v>
      </c>
      <c r="CS11" s="230">
        <v>233300</v>
      </c>
      <c r="CT11" s="230">
        <v>195800</v>
      </c>
      <c r="CU11" s="229">
        <v>0.83930000000000005</v>
      </c>
      <c r="CV11" s="230">
        <v>2639100</v>
      </c>
      <c r="CW11" s="230">
        <v>1905100</v>
      </c>
      <c r="CX11" s="230">
        <v>734000</v>
      </c>
      <c r="CY11" s="229">
        <v>0.38529999999999998</v>
      </c>
      <c r="CZ11" s="228">
        <v>50.65</v>
      </c>
      <c r="DA11" s="228">
        <v>46.34</v>
      </c>
      <c r="DB11" s="228">
        <v>4.3099999999999996</v>
      </c>
      <c r="DC11" s="228">
        <v>4.3099999999999996</v>
      </c>
      <c r="DD11" s="228">
        <v>53.94</v>
      </c>
      <c r="DE11" s="228">
        <v>53.51</v>
      </c>
      <c r="DF11" s="228">
        <v>-3.29</v>
      </c>
      <c r="DG11" s="228">
        <v>0.43</v>
      </c>
      <c r="DH11" s="228">
        <v>50.59</v>
      </c>
      <c r="DI11" s="228">
        <v>46.09</v>
      </c>
      <c r="DJ11" s="228">
        <v>4.5</v>
      </c>
      <c r="DK11" s="228">
        <v>4.5</v>
      </c>
      <c r="DL11" s="228">
        <v>50.79</v>
      </c>
      <c r="DM11" s="228">
        <v>47.06</v>
      </c>
      <c r="DN11" s="228">
        <v>3.73</v>
      </c>
      <c r="DO11" s="228">
        <v>3.73</v>
      </c>
      <c r="DP11" s="228">
        <v>0.51</v>
      </c>
      <c r="DQ11" s="228">
        <v>0.5</v>
      </c>
      <c r="DR11" s="228">
        <v>0.01</v>
      </c>
      <c r="DS11" s="229">
        <v>0.02</v>
      </c>
      <c r="DT11" s="231">
        <v>9000</v>
      </c>
      <c r="DU11" s="231">
        <v>8000</v>
      </c>
      <c r="DV11" s="228">
        <v>0.4</v>
      </c>
      <c r="DW11" s="228">
        <v>0.35</v>
      </c>
      <c r="DX11" s="228">
        <v>0.05</v>
      </c>
      <c r="DY11" s="229">
        <v>0.1429</v>
      </c>
      <c r="DZ11" s="229">
        <v>1.67E-2</v>
      </c>
      <c r="EA11" s="230">
        <v>19500</v>
      </c>
      <c r="EB11" s="229">
        <v>-6.6E-3</v>
      </c>
      <c r="EC11" s="229">
        <v>1.67E-2</v>
      </c>
      <c r="ED11" s="228">
        <v>-30.63</v>
      </c>
      <c r="EE11" s="229">
        <v>-3.5999999999999999E-3</v>
      </c>
      <c r="EF11" s="230">
        <v>243543</v>
      </c>
      <c r="EG11" s="230">
        <v>113946</v>
      </c>
      <c r="EH11" s="229">
        <v>1.1374</v>
      </c>
      <c r="EI11" s="229">
        <v>0.3619</v>
      </c>
      <c r="EJ11" s="231">
        <v>251520.46</v>
      </c>
      <c r="EK11" s="231">
        <v>91552.72</v>
      </c>
      <c r="EL11" s="231">
        <v>81105.960000000006</v>
      </c>
      <c r="EM11" s="231">
        <v>2503</v>
      </c>
      <c r="EN11" s="231">
        <v>424179.14</v>
      </c>
      <c r="EO11" s="231">
        <v>116417.02</v>
      </c>
      <c r="EP11" s="231">
        <v>307762.12</v>
      </c>
      <c r="EQ11" s="229">
        <v>2.6436000000000002</v>
      </c>
      <c r="ER11" s="231">
        <v>73755</v>
      </c>
      <c r="ES11" s="231">
        <v>34318</v>
      </c>
      <c r="ET11" s="231">
        <v>118868</v>
      </c>
      <c r="EU11" s="231">
        <v>3260820</v>
      </c>
      <c r="EV11" s="231">
        <v>226941</v>
      </c>
      <c r="EW11" s="231">
        <v>156493</v>
      </c>
      <c r="EX11" s="231">
        <v>70448</v>
      </c>
      <c r="EY11" s="229">
        <v>0.45019999999999999</v>
      </c>
      <c r="EZ11" s="229">
        <v>0.80930000000000002</v>
      </c>
      <c r="FA11" s="227" t="s">
        <v>555</v>
      </c>
      <c r="FB11" s="161">
        <f t="shared" si="0"/>
        <v>22700</v>
      </c>
    </row>
    <row r="12" spans="1:158" ht="17.25" thickBot="1" x14ac:dyDescent="0.3">
      <c r="A12" s="226">
        <v>46148</v>
      </c>
      <c r="B12" s="227" t="s">
        <v>157</v>
      </c>
      <c r="C12" s="227" t="s">
        <v>164</v>
      </c>
      <c r="D12" s="228">
        <v>1050</v>
      </c>
      <c r="E12" s="228">
        <v>448.95</v>
      </c>
      <c r="F12" s="228">
        <v>435.3</v>
      </c>
      <c r="G12" s="228">
        <v>13.65</v>
      </c>
      <c r="H12" s="229">
        <v>3.1399999999999997E-2</v>
      </c>
      <c r="I12" s="228">
        <v>446.9</v>
      </c>
      <c r="J12" s="228">
        <v>433.1</v>
      </c>
      <c r="K12" s="228">
        <v>13.8</v>
      </c>
      <c r="L12" s="229">
        <v>3.1899999999999998E-2</v>
      </c>
      <c r="M12" s="228">
        <v>448.95</v>
      </c>
      <c r="N12" s="228">
        <v>435.3</v>
      </c>
      <c r="O12" s="228">
        <v>13.65</v>
      </c>
      <c r="P12" s="229">
        <v>3.1399999999999997E-2</v>
      </c>
      <c r="Q12" s="228">
        <v>450.65</v>
      </c>
      <c r="R12" s="228">
        <v>436.3</v>
      </c>
      <c r="S12" s="228">
        <v>14.35</v>
      </c>
      <c r="T12" s="229">
        <v>3.2899999999999999E-2</v>
      </c>
      <c r="U12" s="228">
        <v>452.65</v>
      </c>
      <c r="V12" s="228">
        <v>438.2</v>
      </c>
      <c r="W12" s="228">
        <v>14.45</v>
      </c>
      <c r="X12" s="229">
        <v>3.3000000000000002E-2</v>
      </c>
      <c r="Y12" s="228">
        <v>2.0499999999999998</v>
      </c>
      <c r="Z12" s="228">
        <v>2.2000000000000002</v>
      </c>
      <c r="AA12" s="228">
        <v>-0.15</v>
      </c>
      <c r="AB12" s="229">
        <v>4.5999999999999999E-3</v>
      </c>
      <c r="AC12" s="228">
        <v>2.0499999999999998</v>
      </c>
      <c r="AD12" s="228">
        <v>2.2000000000000002</v>
      </c>
      <c r="AE12" s="228">
        <v>-0.15</v>
      </c>
      <c r="AF12" s="229">
        <v>4.5999999999999999E-3</v>
      </c>
      <c r="AG12" s="228">
        <v>3.75</v>
      </c>
      <c r="AH12" s="228">
        <v>3.2</v>
      </c>
      <c r="AI12" s="228">
        <v>0.55000000000000004</v>
      </c>
      <c r="AJ12" s="229">
        <v>8.3999999999999995E-3</v>
      </c>
      <c r="AK12" s="228">
        <v>5.75</v>
      </c>
      <c r="AL12" s="228">
        <v>5.0999999999999996</v>
      </c>
      <c r="AM12" s="228">
        <v>0.65</v>
      </c>
      <c r="AN12" s="229">
        <v>1.29E-2</v>
      </c>
      <c r="AO12" s="228">
        <v>445.85</v>
      </c>
      <c r="AP12" s="228">
        <v>445.94</v>
      </c>
      <c r="AQ12" s="228">
        <v>0</v>
      </c>
      <c r="AR12" s="230">
        <v>14172900</v>
      </c>
      <c r="AS12" s="230">
        <v>14942550</v>
      </c>
      <c r="AT12" s="230">
        <v>-769650</v>
      </c>
      <c r="AU12" s="229">
        <v>-5.1499999999999997E-2</v>
      </c>
      <c r="AV12" s="230">
        <v>13474650</v>
      </c>
      <c r="AW12" s="230">
        <v>14163450</v>
      </c>
      <c r="AX12" s="230">
        <v>-688800</v>
      </c>
      <c r="AY12" s="229">
        <v>-4.8599999999999997E-2</v>
      </c>
      <c r="AZ12" s="230">
        <v>642600</v>
      </c>
      <c r="BA12" s="230">
        <v>719250</v>
      </c>
      <c r="BB12" s="230">
        <v>-76650</v>
      </c>
      <c r="BC12" s="229">
        <v>-0.1066</v>
      </c>
      <c r="BD12" s="230">
        <v>55650</v>
      </c>
      <c r="BE12" s="230">
        <v>59850</v>
      </c>
      <c r="BF12" s="230">
        <v>-4200</v>
      </c>
      <c r="BG12" s="229">
        <v>-7.0199999999999999E-2</v>
      </c>
      <c r="BH12" s="230">
        <v>43817550</v>
      </c>
      <c r="BI12" s="230">
        <v>38746050</v>
      </c>
      <c r="BJ12" s="230">
        <v>5071500</v>
      </c>
      <c r="BK12" s="229">
        <v>0.13089999999999999</v>
      </c>
      <c r="BL12" s="230">
        <v>14676900</v>
      </c>
      <c r="BM12" s="230">
        <v>17426850</v>
      </c>
      <c r="BN12" s="230">
        <v>-2749950</v>
      </c>
      <c r="BO12" s="229">
        <v>-0.1578</v>
      </c>
      <c r="BP12" s="230">
        <v>72667350</v>
      </c>
      <c r="BQ12" s="230">
        <v>71115450</v>
      </c>
      <c r="BR12" s="230">
        <v>1551900</v>
      </c>
      <c r="BS12" s="229">
        <v>2.18E-2</v>
      </c>
      <c r="BT12" s="230">
        <v>5586175</v>
      </c>
      <c r="BU12" s="230">
        <v>8595317</v>
      </c>
      <c r="BV12" s="230">
        <v>-3009142</v>
      </c>
      <c r="BW12" s="229">
        <v>-0.35010000000000002</v>
      </c>
      <c r="BX12" s="230">
        <v>76314450</v>
      </c>
      <c r="BY12" s="230">
        <v>74128500</v>
      </c>
      <c r="BZ12" s="230">
        <v>2185950</v>
      </c>
      <c r="CA12" s="229">
        <v>2.9499999999999998E-2</v>
      </c>
      <c r="CB12" s="230">
        <v>74418750</v>
      </c>
      <c r="CC12" s="230">
        <v>72400650</v>
      </c>
      <c r="CD12" s="230">
        <v>2018100</v>
      </c>
      <c r="CE12" s="229">
        <v>2.7900000000000001E-2</v>
      </c>
      <c r="CF12" s="230">
        <v>1791300</v>
      </c>
      <c r="CG12" s="230">
        <v>1639050</v>
      </c>
      <c r="CH12" s="230">
        <v>152250</v>
      </c>
      <c r="CI12" s="229">
        <v>9.2899999999999996E-2</v>
      </c>
      <c r="CJ12" s="230">
        <v>104400</v>
      </c>
      <c r="CK12" s="230">
        <v>88800</v>
      </c>
      <c r="CL12" s="230">
        <v>15600</v>
      </c>
      <c r="CM12" s="229">
        <v>0.1757</v>
      </c>
      <c r="CN12" s="230">
        <v>21333900</v>
      </c>
      <c r="CO12" s="230">
        <v>21442050</v>
      </c>
      <c r="CP12" s="230">
        <v>-108150</v>
      </c>
      <c r="CQ12" s="229">
        <v>-5.0000000000000001E-3</v>
      </c>
      <c r="CR12" s="230">
        <v>12153900</v>
      </c>
      <c r="CS12" s="230">
        <v>11599350</v>
      </c>
      <c r="CT12" s="230">
        <v>554550</v>
      </c>
      <c r="CU12" s="229">
        <v>4.7800000000000002E-2</v>
      </c>
      <c r="CV12" s="230">
        <v>109802250</v>
      </c>
      <c r="CW12" s="230">
        <v>107169900</v>
      </c>
      <c r="CX12" s="230">
        <v>2632350</v>
      </c>
      <c r="CY12" s="229">
        <v>2.46E-2</v>
      </c>
      <c r="CZ12" s="228">
        <v>34.99</v>
      </c>
      <c r="DA12" s="228">
        <v>34.06</v>
      </c>
      <c r="DB12" s="228">
        <v>0.93</v>
      </c>
      <c r="DC12" s="228">
        <v>0.93</v>
      </c>
      <c r="DD12" s="228">
        <v>36.61</v>
      </c>
      <c r="DE12" s="228">
        <v>36.46</v>
      </c>
      <c r="DF12" s="228">
        <v>-1.62</v>
      </c>
      <c r="DG12" s="228">
        <v>0.15</v>
      </c>
      <c r="DH12" s="228">
        <v>35.270000000000003</v>
      </c>
      <c r="DI12" s="228">
        <v>34.549999999999997</v>
      </c>
      <c r="DJ12" s="228">
        <v>0.72</v>
      </c>
      <c r="DK12" s="228">
        <v>0.72</v>
      </c>
      <c r="DL12" s="228">
        <v>34.17</v>
      </c>
      <c r="DM12" s="228">
        <v>32.97</v>
      </c>
      <c r="DN12" s="228">
        <v>1.2</v>
      </c>
      <c r="DO12" s="228">
        <v>1.2</v>
      </c>
      <c r="DP12" s="228">
        <v>0.56999999999999995</v>
      </c>
      <c r="DQ12" s="228">
        <v>0.54</v>
      </c>
      <c r="DR12" s="228">
        <v>0.03</v>
      </c>
      <c r="DS12" s="229">
        <v>5.5599999999999997E-2</v>
      </c>
      <c r="DT12" s="228">
        <v>500</v>
      </c>
      <c r="DU12" s="228">
        <v>520</v>
      </c>
      <c r="DV12" s="228">
        <v>0.33</v>
      </c>
      <c r="DW12" s="228">
        <v>0.45</v>
      </c>
      <c r="DX12" s="228">
        <v>-0.12</v>
      </c>
      <c r="DY12" s="229">
        <v>-0.26669999999999999</v>
      </c>
      <c r="DZ12" s="229">
        <v>2.4799999999999999E-2</v>
      </c>
      <c r="EA12" s="230">
        <v>1727850</v>
      </c>
      <c r="EB12" s="229">
        <v>3.8E-3</v>
      </c>
      <c r="EC12" s="229">
        <v>2.4799999999999999E-2</v>
      </c>
      <c r="ED12" s="228">
        <v>0.09</v>
      </c>
      <c r="EE12" s="229">
        <v>2.0000000000000001E-4</v>
      </c>
      <c r="EF12" s="230">
        <v>2100680</v>
      </c>
      <c r="EG12" s="230">
        <v>3448786</v>
      </c>
      <c r="EH12" s="229">
        <v>-0.39090000000000003</v>
      </c>
      <c r="EI12" s="229">
        <v>0.376</v>
      </c>
      <c r="EJ12" s="231">
        <v>208408.11</v>
      </c>
      <c r="EK12" s="231">
        <v>64786.32</v>
      </c>
      <c r="EL12" s="231">
        <v>63227.06</v>
      </c>
      <c r="EM12" s="231">
        <v>13763</v>
      </c>
      <c r="EN12" s="231">
        <v>336421.49</v>
      </c>
      <c r="EO12" s="231">
        <v>324363.7</v>
      </c>
      <c r="EP12" s="231">
        <v>12057.79</v>
      </c>
      <c r="EQ12" s="229">
        <v>3.7199999999999997E-2</v>
      </c>
      <c r="ER12" s="231">
        <v>100598</v>
      </c>
      <c r="ES12" s="231">
        <v>55489</v>
      </c>
      <c r="ET12" s="231">
        <v>342648</v>
      </c>
      <c r="EU12" s="231">
        <v>97233107</v>
      </c>
      <c r="EV12" s="231">
        <v>498735</v>
      </c>
      <c r="EW12" s="231">
        <v>477064</v>
      </c>
      <c r="EX12" s="231">
        <v>21671</v>
      </c>
      <c r="EY12" s="229">
        <v>4.5400000000000003E-2</v>
      </c>
      <c r="EZ12" s="229">
        <v>1.1293</v>
      </c>
      <c r="FA12" s="227" t="s">
        <v>555</v>
      </c>
      <c r="FB12" s="161">
        <f t="shared" si="0"/>
        <v>1895700</v>
      </c>
    </row>
    <row r="13" spans="1:158" ht="17.25" thickBot="1" x14ac:dyDescent="0.3">
      <c r="A13" s="226">
        <v>46148</v>
      </c>
      <c r="B13" s="227" t="s">
        <v>175</v>
      </c>
      <c r="C13" s="227" t="s">
        <v>608</v>
      </c>
      <c r="D13" s="228">
        <v>2500</v>
      </c>
      <c r="E13" s="228">
        <v>318.5</v>
      </c>
      <c r="F13" s="228">
        <v>315.89999999999998</v>
      </c>
      <c r="G13" s="228">
        <v>2.6</v>
      </c>
      <c r="H13" s="229">
        <v>8.2000000000000007E-3</v>
      </c>
      <c r="I13" s="228">
        <v>316.85000000000002</v>
      </c>
      <c r="J13" s="228">
        <v>314.39999999999998</v>
      </c>
      <c r="K13" s="228">
        <v>2.4500000000000002</v>
      </c>
      <c r="L13" s="229">
        <v>7.7999999999999996E-3</v>
      </c>
      <c r="M13" s="228">
        <v>318.5</v>
      </c>
      <c r="N13" s="228">
        <v>315.89999999999998</v>
      </c>
      <c r="O13" s="228">
        <v>2.6</v>
      </c>
      <c r="P13" s="229">
        <v>8.2000000000000007E-3</v>
      </c>
      <c r="Q13" s="228">
        <v>318.35000000000002</v>
      </c>
      <c r="R13" s="228">
        <v>315.14999999999998</v>
      </c>
      <c r="S13" s="228">
        <v>3.2</v>
      </c>
      <c r="T13" s="229">
        <v>1.0200000000000001E-2</v>
      </c>
      <c r="U13" s="228">
        <v>317.7</v>
      </c>
      <c r="V13" s="228">
        <v>314.89999999999998</v>
      </c>
      <c r="W13" s="228">
        <v>2.8</v>
      </c>
      <c r="X13" s="229">
        <v>8.8999999999999999E-3</v>
      </c>
      <c r="Y13" s="228">
        <v>1.65</v>
      </c>
      <c r="Z13" s="228">
        <v>1.5</v>
      </c>
      <c r="AA13" s="228">
        <v>0.15</v>
      </c>
      <c r="AB13" s="229">
        <v>5.1999999999999998E-3</v>
      </c>
      <c r="AC13" s="228">
        <v>1.65</v>
      </c>
      <c r="AD13" s="228">
        <v>1.5</v>
      </c>
      <c r="AE13" s="228">
        <v>0.15</v>
      </c>
      <c r="AF13" s="229">
        <v>5.1999999999999998E-3</v>
      </c>
      <c r="AG13" s="228">
        <v>1.5</v>
      </c>
      <c r="AH13" s="228">
        <v>0.75</v>
      </c>
      <c r="AI13" s="228">
        <v>0.75</v>
      </c>
      <c r="AJ13" s="229">
        <v>4.7000000000000002E-3</v>
      </c>
      <c r="AK13" s="228">
        <v>0.85</v>
      </c>
      <c r="AL13" s="228">
        <v>0.5</v>
      </c>
      <c r="AM13" s="228">
        <v>0.35</v>
      </c>
      <c r="AN13" s="229">
        <v>2.7000000000000001E-3</v>
      </c>
      <c r="AO13" s="228">
        <v>317.27</v>
      </c>
      <c r="AP13" s="228">
        <v>317.27</v>
      </c>
      <c r="AQ13" s="228">
        <v>0</v>
      </c>
      <c r="AR13" s="230">
        <v>7155000</v>
      </c>
      <c r="AS13" s="230">
        <v>7170000</v>
      </c>
      <c r="AT13" s="230">
        <v>-15000</v>
      </c>
      <c r="AU13" s="229">
        <v>-2.0999999999999999E-3</v>
      </c>
      <c r="AV13" s="230">
        <v>6812500</v>
      </c>
      <c r="AW13" s="230">
        <v>6805000</v>
      </c>
      <c r="AX13" s="230">
        <v>7500</v>
      </c>
      <c r="AY13" s="229">
        <v>1.1000000000000001E-3</v>
      </c>
      <c r="AZ13" s="230">
        <v>310000</v>
      </c>
      <c r="BA13" s="230">
        <v>337500</v>
      </c>
      <c r="BB13" s="230">
        <v>-27500</v>
      </c>
      <c r="BC13" s="229">
        <v>-8.1500000000000003E-2</v>
      </c>
      <c r="BD13" s="230">
        <v>32500</v>
      </c>
      <c r="BE13" s="230">
        <v>27500</v>
      </c>
      <c r="BF13" s="230">
        <v>5000</v>
      </c>
      <c r="BG13" s="229">
        <v>0.18179999999999999</v>
      </c>
      <c r="BH13" s="230">
        <v>32325000</v>
      </c>
      <c r="BI13" s="230">
        <v>29385000</v>
      </c>
      <c r="BJ13" s="230">
        <v>2940000</v>
      </c>
      <c r="BK13" s="229">
        <v>0.10009999999999999</v>
      </c>
      <c r="BL13" s="230">
        <v>10340000</v>
      </c>
      <c r="BM13" s="230">
        <v>12315000</v>
      </c>
      <c r="BN13" s="230">
        <v>-1975000</v>
      </c>
      <c r="BO13" s="229">
        <v>-0.16039999999999999</v>
      </c>
      <c r="BP13" s="230">
        <v>49820000</v>
      </c>
      <c r="BQ13" s="230">
        <v>48870000</v>
      </c>
      <c r="BR13" s="230">
        <v>950000</v>
      </c>
      <c r="BS13" s="229">
        <v>1.9400000000000001E-2</v>
      </c>
      <c r="BT13" s="230">
        <v>5431837</v>
      </c>
      <c r="BU13" s="230">
        <v>6476249</v>
      </c>
      <c r="BV13" s="230">
        <v>-1044412</v>
      </c>
      <c r="BW13" s="229">
        <v>-0.1613</v>
      </c>
      <c r="BX13" s="230">
        <v>25350000</v>
      </c>
      <c r="BY13" s="230">
        <v>25297500</v>
      </c>
      <c r="BZ13" s="230">
        <v>52500</v>
      </c>
      <c r="CA13" s="229">
        <v>2.0999999999999999E-3</v>
      </c>
      <c r="CB13" s="230">
        <v>24577500</v>
      </c>
      <c r="CC13" s="230">
        <v>24555000</v>
      </c>
      <c r="CD13" s="230">
        <v>22500</v>
      </c>
      <c r="CE13" s="229">
        <v>8.9999999999999998E-4</v>
      </c>
      <c r="CF13" s="230">
        <v>642500</v>
      </c>
      <c r="CG13" s="230">
        <v>625000</v>
      </c>
      <c r="CH13" s="230">
        <v>17500</v>
      </c>
      <c r="CI13" s="229">
        <v>2.8000000000000001E-2</v>
      </c>
      <c r="CJ13" s="230">
        <v>130000</v>
      </c>
      <c r="CK13" s="230">
        <v>117500</v>
      </c>
      <c r="CL13" s="230">
        <v>12500</v>
      </c>
      <c r="CM13" s="229">
        <v>0.10639999999999999</v>
      </c>
      <c r="CN13" s="230">
        <v>15965000</v>
      </c>
      <c r="CO13" s="230">
        <v>14817500</v>
      </c>
      <c r="CP13" s="230">
        <v>1147500</v>
      </c>
      <c r="CQ13" s="229">
        <v>7.7399999999999997E-2</v>
      </c>
      <c r="CR13" s="230">
        <v>7890000</v>
      </c>
      <c r="CS13" s="230">
        <v>7635000</v>
      </c>
      <c r="CT13" s="230">
        <v>255000</v>
      </c>
      <c r="CU13" s="229">
        <v>3.3399999999999999E-2</v>
      </c>
      <c r="CV13" s="230">
        <v>49205000</v>
      </c>
      <c r="CW13" s="230">
        <v>47750000</v>
      </c>
      <c r="CX13" s="230">
        <v>1455000</v>
      </c>
      <c r="CY13" s="229">
        <v>3.0499999999999999E-2</v>
      </c>
      <c r="CZ13" s="228">
        <v>41.55</v>
      </c>
      <c r="DA13" s="228">
        <v>42.91</v>
      </c>
      <c r="DB13" s="228">
        <v>-1.36</v>
      </c>
      <c r="DC13" s="228">
        <v>-1.36</v>
      </c>
      <c r="DD13" s="228">
        <v>56.21</v>
      </c>
      <c r="DE13" s="228">
        <v>56.34</v>
      </c>
      <c r="DF13" s="228">
        <v>-14.66</v>
      </c>
      <c r="DG13" s="228">
        <v>-0.13</v>
      </c>
      <c r="DH13" s="228">
        <v>41.57</v>
      </c>
      <c r="DI13" s="228">
        <v>42.54</v>
      </c>
      <c r="DJ13" s="228">
        <v>-0.97</v>
      </c>
      <c r="DK13" s="228">
        <v>-0.97</v>
      </c>
      <c r="DL13" s="228">
        <v>41.49</v>
      </c>
      <c r="DM13" s="228">
        <v>43.77</v>
      </c>
      <c r="DN13" s="228">
        <v>-2.2799999999999998</v>
      </c>
      <c r="DO13" s="228">
        <v>-2.2799999999999998</v>
      </c>
      <c r="DP13" s="228">
        <v>0.49</v>
      </c>
      <c r="DQ13" s="228">
        <v>0.52</v>
      </c>
      <c r="DR13" s="228">
        <v>-0.03</v>
      </c>
      <c r="DS13" s="229">
        <v>-5.7700000000000001E-2</v>
      </c>
      <c r="DT13" s="228">
        <v>350</v>
      </c>
      <c r="DU13" s="228">
        <v>300</v>
      </c>
      <c r="DV13" s="228">
        <v>0.32</v>
      </c>
      <c r="DW13" s="228">
        <v>0.42</v>
      </c>
      <c r="DX13" s="228">
        <v>-0.1</v>
      </c>
      <c r="DY13" s="229">
        <v>-0.23810000000000001</v>
      </c>
      <c r="DZ13" s="229">
        <v>3.0499999999999999E-2</v>
      </c>
      <c r="EA13" s="230">
        <v>742500</v>
      </c>
      <c r="EB13" s="229">
        <v>-5.0000000000000001E-4</v>
      </c>
      <c r="EC13" s="229">
        <v>3.0499999999999999E-2</v>
      </c>
      <c r="ED13" s="228">
        <v>0</v>
      </c>
      <c r="EE13" s="229">
        <v>0</v>
      </c>
      <c r="EF13" s="230">
        <v>2058477</v>
      </c>
      <c r="EG13" s="230">
        <v>1972089</v>
      </c>
      <c r="EH13" s="229">
        <v>4.3799999999999999E-2</v>
      </c>
      <c r="EI13" s="229">
        <v>0.379</v>
      </c>
      <c r="EJ13" s="231">
        <v>109994.92</v>
      </c>
      <c r="EK13" s="231">
        <v>32224.15</v>
      </c>
      <c r="EL13" s="231">
        <v>22700.46</v>
      </c>
      <c r="EM13" s="231">
        <v>2419</v>
      </c>
      <c r="EN13" s="231">
        <v>164919.53</v>
      </c>
      <c r="EO13" s="231">
        <v>159527.32999999999</v>
      </c>
      <c r="EP13" s="231">
        <v>5392.2</v>
      </c>
      <c r="EQ13" s="229">
        <v>3.3799999999999997E-2</v>
      </c>
      <c r="ER13" s="231">
        <v>52860</v>
      </c>
      <c r="ES13" s="231">
        <v>23205</v>
      </c>
      <c r="ET13" s="231">
        <v>80738</v>
      </c>
      <c r="EU13" s="231">
        <v>96940911</v>
      </c>
      <c r="EV13" s="231">
        <v>156803</v>
      </c>
      <c r="EW13" s="231">
        <v>150956</v>
      </c>
      <c r="EX13" s="231">
        <v>5847</v>
      </c>
      <c r="EY13" s="229">
        <v>3.8699999999999998E-2</v>
      </c>
      <c r="EZ13" s="229">
        <v>0.50760000000000005</v>
      </c>
      <c r="FA13" s="227" t="s">
        <v>555</v>
      </c>
      <c r="FB13" s="161">
        <f t="shared" si="0"/>
        <v>772500</v>
      </c>
    </row>
    <row r="14" spans="1:158" ht="17.25" thickBot="1" x14ac:dyDescent="0.3">
      <c r="A14" s="226">
        <v>46148</v>
      </c>
      <c r="B14" s="227" t="s">
        <v>227</v>
      </c>
      <c r="C14" s="227" t="s">
        <v>597</v>
      </c>
      <c r="D14" s="228">
        <v>350</v>
      </c>
      <c r="E14" s="231">
        <v>1927.3</v>
      </c>
      <c r="F14" s="231">
        <v>1881.6</v>
      </c>
      <c r="G14" s="228">
        <v>45.7</v>
      </c>
      <c r="H14" s="229">
        <v>2.4299999999999999E-2</v>
      </c>
      <c r="I14" s="231">
        <v>1914.7</v>
      </c>
      <c r="J14" s="231">
        <v>1870.6</v>
      </c>
      <c r="K14" s="228">
        <v>44.1</v>
      </c>
      <c r="L14" s="229">
        <v>2.3599999999999999E-2</v>
      </c>
      <c r="M14" s="231">
        <v>1927.3</v>
      </c>
      <c r="N14" s="231">
        <v>1881.6</v>
      </c>
      <c r="O14" s="228">
        <v>45.7</v>
      </c>
      <c r="P14" s="229">
        <v>2.4299999999999999E-2</v>
      </c>
      <c r="Q14" s="231">
        <v>1941.1</v>
      </c>
      <c r="R14" s="231">
        <v>1893</v>
      </c>
      <c r="S14" s="228">
        <v>48.1</v>
      </c>
      <c r="T14" s="229">
        <v>2.5399999999999999E-2</v>
      </c>
      <c r="U14" s="231">
        <v>1953.6</v>
      </c>
      <c r="V14" s="231">
        <v>1891.5</v>
      </c>
      <c r="W14" s="228">
        <v>62.1</v>
      </c>
      <c r="X14" s="229">
        <v>3.2800000000000003E-2</v>
      </c>
      <c r="Y14" s="228">
        <v>12.6</v>
      </c>
      <c r="Z14" s="228">
        <v>11</v>
      </c>
      <c r="AA14" s="228">
        <v>1.6</v>
      </c>
      <c r="AB14" s="229">
        <v>6.6E-3</v>
      </c>
      <c r="AC14" s="228">
        <v>12.6</v>
      </c>
      <c r="AD14" s="228">
        <v>11</v>
      </c>
      <c r="AE14" s="228">
        <v>1.6</v>
      </c>
      <c r="AF14" s="229">
        <v>6.6E-3</v>
      </c>
      <c r="AG14" s="228">
        <v>26.4</v>
      </c>
      <c r="AH14" s="228">
        <v>22.4</v>
      </c>
      <c r="AI14" s="228">
        <v>4</v>
      </c>
      <c r="AJ14" s="229">
        <v>1.38E-2</v>
      </c>
      <c r="AK14" s="228">
        <v>38.9</v>
      </c>
      <c r="AL14" s="228">
        <v>20.9</v>
      </c>
      <c r="AM14" s="228">
        <v>18</v>
      </c>
      <c r="AN14" s="229">
        <v>2.0299999999999999E-2</v>
      </c>
      <c r="AO14" s="231">
        <v>1906.59</v>
      </c>
      <c r="AP14" s="231">
        <v>1914.92</v>
      </c>
      <c r="AQ14" s="228">
        <v>0</v>
      </c>
      <c r="AR14" s="230">
        <v>568400</v>
      </c>
      <c r="AS14" s="230">
        <v>977550</v>
      </c>
      <c r="AT14" s="230">
        <v>-409150</v>
      </c>
      <c r="AU14" s="229">
        <v>-0.41849999999999998</v>
      </c>
      <c r="AV14" s="230">
        <v>544250</v>
      </c>
      <c r="AW14" s="230">
        <v>954100</v>
      </c>
      <c r="AX14" s="230">
        <v>-409850</v>
      </c>
      <c r="AY14" s="229">
        <v>-0.42959999999999998</v>
      </c>
      <c r="AZ14" s="230">
        <v>20650</v>
      </c>
      <c r="BA14" s="230">
        <v>21350</v>
      </c>
      <c r="BB14" s="228">
        <v>-700</v>
      </c>
      <c r="BC14" s="229">
        <v>-3.2800000000000003E-2</v>
      </c>
      <c r="BD14" s="230">
        <v>3500</v>
      </c>
      <c r="BE14" s="230">
        <v>2100</v>
      </c>
      <c r="BF14" s="230">
        <v>1400</v>
      </c>
      <c r="BG14" s="229">
        <v>0.66669999999999996</v>
      </c>
      <c r="BH14" s="230">
        <v>2857750</v>
      </c>
      <c r="BI14" s="230">
        <v>2155650</v>
      </c>
      <c r="BJ14" s="230">
        <v>702100</v>
      </c>
      <c r="BK14" s="229">
        <v>0.32569999999999999</v>
      </c>
      <c r="BL14" s="230">
        <v>732550</v>
      </c>
      <c r="BM14" s="230">
        <v>1110900</v>
      </c>
      <c r="BN14" s="230">
        <v>-378350</v>
      </c>
      <c r="BO14" s="229">
        <v>-0.34060000000000001</v>
      </c>
      <c r="BP14" s="230">
        <v>4158700</v>
      </c>
      <c r="BQ14" s="230">
        <v>4244100</v>
      </c>
      <c r="BR14" s="230">
        <v>-85400</v>
      </c>
      <c r="BS14" s="229">
        <v>-2.01E-2</v>
      </c>
      <c r="BT14" s="230">
        <v>1115751</v>
      </c>
      <c r="BU14" s="230">
        <v>1299908</v>
      </c>
      <c r="BV14" s="230">
        <v>-184157</v>
      </c>
      <c r="BW14" s="229">
        <v>-0.14169999999999999</v>
      </c>
      <c r="BX14" s="230">
        <v>6073200</v>
      </c>
      <c r="BY14" s="230">
        <v>6118000</v>
      </c>
      <c r="BZ14" s="230">
        <v>-44800</v>
      </c>
      <c r="CA14" s="229">
        <v>-7.3000000000000001E-3</v>
      </c>
      <c r="CB14" s="230">
        <v>5523700</v>
      </c>
      <c r="CC14" s="230">
        <v>5573050</v>
      </c>
      <c r="CD14" s="230">
        <v>-49350</v>
      </c>
      <c r="CE14" s="229">
        <v>-8.8999999999999999E-3</v>
      </c>
      <c r="CF14" s="230">
        <v>536900</v>
      </c>
      <c r="CG14" s="230">
        <v>533050</v>
      </c>
      <c r="CH14" s="230">
        <v>3850</v>
      </c>
      <c r="CI14" s="229">
        <v>7.1999999999999998E-3</v>
      </c>
      <c r="CJ14" s="230">
        <v>12600</v>
      </c>
      <c r="CK14" s="230">
        <v>11900</v>
      </c>
      <c r="CL14" s="228">
        <v>700</v>
      </c>
      <c r="CM14" s="229">
        <v>5.8799999999999998E-2</v>
      </c>
      <c r="CN14" s="230">
        <v>1899100</v>
      </c>
      <c r="CO14" s="230">
        <v>1791650</v>
      </c>
      <c r="CP14" s="230">
        <v>107450</v>
      </c>
      <c r="CQ14" s="229">
        <v>0.06</v>
      </c>
      <c r="CR14" s="230">
        <v>999600</v>
      </c>
      <c r="CS14" s="230">
        <v>985600</v>
      </c>
      <c r="CT14" s="230">
        <v>14000</v>
      </c>
      <c r="CU14" s="229">
        <v>1.4200000000000001E-2</v>
      </c>
      <c r="CV14" s="230">
        <v>8971900</v>
      </c>
      <c r="CW14" s="230">
        <v>8895250</v>
      </c>
      <c r="CX14" s="230">
        <v>76650</v>
      </c>
      <c r="CY14" s="229">
        <v>8.6E-3</v>
      </c>
      <c r="CZ14" s="228">
        <v>29.9</v>
      </c>
      <c r="DA14" s="228">
        <v>30.69</v>
      </c>
      <c r="DB14" s="228">
        <v>-0.79</v>
      </c>
      <c r="DC14" s="228">
        <v>-0.79</v>
      </c>
      <c r="DD14" s="228">
        <v>36.229999999999997</v>
      </c>
      <c r="DE14" s="228">
        <v>36.18</v>
      </c>
      <c r="DF14" s="228">
        <v>-6.33</v>
      </c>
      <c r="DG14" s="228">
        <v>0.05</v>
      </c>
      <c r="DH14" s="228">
        <v>29.68</v>
      </c>
      <c r="DI14" s="228">
        <v>30.55</v>
      </c>
      <c r="DJ14" s="228">
        <v>-0.87</v>
      </c>
      <c r="DK14" s="228">
        <v>-0.87</v>
      </c>
      <c r="DL14" s="228">
        <v>30.76</v>
      </c>
      <c r="DM14" s="228">
        <v>30.95</v>
      </c>
      <c r="DN14" s="228">
        <v>-0.19</v>
      </c>
      <c r="DO14" s="228">
        <v>-0.19</v>
      </c>
      <c r="DP14" s="228">
        <v>0.53</v>
      </c>
      <c r="DQ14" s="228">
        <v>0.55000000000000004</v>
      </c>
      <c r="DR14" s="228">
        <v>-0.02</v>
      </c>
      <c r="DS14" s="229">
        <v>-3.6400000000000002E-2</v>
      </c>
      <c r="DT14" s="231">
        <v>2000</v>
      </c>
      <c r="DU14" s="231">
        <v>1900</v>
      </c>
      <c r="DV14" s="228">
        <v>0.26</v>
      </c>
      <c r="DW14" s="228">
        <v>0.52</v>
      </c>
      <c r="DX14" s="228">
        <v>-0.26</v>
      </c>
      <c r="DY14" s="229">
        <v>-0.5</v>
      </c>
      <c r="DZ14" s="229">
        <v>9.0499999999999997E-2</v>
      </c>
      <c r="EA14" s="230">
        <v>544950</v>
      </c>
      <c r="EB14" s="229">
        <v>7.1999999999999998E-3</v>
      </c>
      <c r="EC14" s="229">
        <v>9.0499999999999997E-2</v>
      </c>
      <c r="ED14" s="228">
        <v>8.33</v>
      </c>
      <c r="EE14" s="229">
        <v>4.4000000000000003E-3</v>
      </c>
      <c r="EF14" s="230">
        <v>733582</v>
      </c>
      <c r="EG14" s="230">
        <v>748057</v>
      </c>
      <c r="EH14" s="229">
        <v>-1.9400000000000001E-2</v>
      </c>
      <c r="EI14" s="229">
        <v>0.65749999999999997</v>
      </c>
      <c r="EJ14" s="231">
        <v>57413.47</v>
      </c>
      <c r="EK14" s="231">
        <v>13781.92</v>
      </c>
      <c r="EL14" s="231">
        <v>10839.53</v>
      </c>
      <c r="EM14" s="231">
        <v>3350</v>
      </c>
      <c r="EN14" s="231">
        <v>82034.92</v>
      </c>
      <c r="EO14" s="231">
        <v>82058.789999999994</v>
      </c>
      <c r="EP14" s="228">
        <v>-23.87</v>
      </c>
      <c r="EQ14" s="229">
        <v>-2.9999999999999997E-4</v>
      </c>
      <c r="ER14" s="231">
        <v>38472</v>
      </c>
      <c r="ES14" s="231">
        <v>18881</v>
      </c>
      <c r="ET14" s="231">
        <v>117126</v>
      </c>
      <c r="EU14" s="231">
        <v>29871221</v>
      </c>
      <c r="EV14" s="231">
        <v>174480</v>
      </c>
      <c r="EW14" s="231">
        <v>170033</v>
      </c>
      <c r="EX14" s="231">
        <v>4447</v>
      </c>
      <c r="EY14" s="229">
        <v>2.6200000000000001E-2</v>
      </c>
      <c r="EZ14" s="229">
        <v>0.3004</v>
      </c>
      <c r="FA14" s="227" t="s">
        <v>691</v>
      </c>
      <c r="FB14" s="161">
        <f t="shared" si="0"/>
        <v>549500</v>
      </c>
    </row>
    <row r="15" spans="1:158" ht="17.25" thickBot="1" x14ac:dyDescent="0.3">
      <c r="A15" s="226">
        <v>46148</v>
      </c>
      <c r="B15" s="227" t="s">
        <v>170</v>
      </c>
      <c r="C15" s="227" t="s">
        <v>165</v>
      </c>
      <c r="D15" s="228">
        <v>125</v>
      </c>
      <c r="E15" s="231">
        <v>7814.5</v>
      </c>
      <c r="F15" s="231">
        <v>7789.5</v>
      </c>
      <c r="G15" s="228">
        <v>25</v>
      </c>
      <c r="H15" s="229">
        <v>3.2000000000000002E-3</v>
      </c>
      <c r="I15" s="231">
        <v>7760.5</v>
      </c>
      <c r="J15" s="231">
        <v>7772</v>
      </c>
      <c r="K15" s="228">
        <v>-11.5</v>
      </c>
      <c r="L15" s="229">
        <v>-1.5E-3</v>
      </c>
      <c r="M15" s="231">
        <v>7814.5</v>
      </c>
      <c r="N15" s="231">
        <v>7789.5</v>
      </c>
      <c r="O15" s="228">
        <v>25</v>
      </c>
      <c r="P15" s="229">
        <v>3.2000000000000002E-3</v>
      </c>
      <c r="Q15" s="231">
        <v>7861.5</v>
      </c>
      <c r="R15" s="231">
        <v>7844</v>
      </c>
      <c r="S15" s="228">
        <v>17.5</v>
      </c>
      <c r="T15" s="229">
        <v>2.2000000000000001E-3</v>
      </c>
      <c r="U15" s="231">
        <v>7912</v>
      </c>
      <c r="V15" s="231">
        <v>7885.5</v>
      </c>
      <c r="W15" s="228">
        <v>26.5</v>
      </c>
      <c r="X15" s="229">
        <v>3.3999999999999998E-3</v>
      </c>
      <c r="Y15" s="228">
        <v>54</v>
      </c>
      <c r="Z15" s="228">
        <v>17.5</v>
      </c>
      <c r="AA15" s="228">
        <v>36.5</v>
      </c>
      <c r="AB15" s="229">
        <v>7.0000000000000001E-3</v>
      </c>
      <c r="AC15" s="228">
        <v>54</v>
      </c>
      <c r="AD15" s="228">
        <v>17.5</v>
      </c>
      <c r="AE15" s="228">
        <v>36.5</v>
      </c>
      <c r="AF15" s="229">
        <v>7.0000000000000001E-3</v>
      </c>
      <c r="AG15" s="228">
        <v>101</v>
      </c>
      <c r="AH15" s="228">
        <v>72</v>
      </c>
      <c r="AI15" s="228">
        <v>29</v>
      </c>
      <c r="AJ15" s="229">
        <v>1.2999999999999999E-2</v>
      </c>
      <c r="AK15" s="228">
        <v>151.5</v>
      </c>
      <c r="AL15" s="228">
        <v>113.5</v>
      </c>
      <c r="AM15" s="228">
        <v>38</v>
      </c>
      <c r="AN15" s="229">
        <v>1.95E-2</v>
      </c>
      <c r="AO15" s="231">
        <v>7818.6</v>
      </c>
      <c r="AP15" s="231">
        <v>7866.05</v>
      </c>
      <c r="AQ15" s="228">
        <v>0</v>
      </c>
      <c r="AR15" s="230">
        <v>243125</v>
      </c>
      <c r="AS15" s="230">
        <v>199750</v>
      </c>
      <c r="AT15" s="230">
        <v>43375</v>
      </c>
      <c r="AU15" s="229">
        <v>0.21709999999999999</v>
      </c>
      <c r="AV15" s="230">
        <v>227250</v>
      </c>
      <c r="AW15" s="230">
        <v>191625</v>
      </c>
      <c r="AX15" s="230">
        <v>35625</v>
      </c>
      <c r="AY15" s="229">
        <v>0.18590000000000001</v>
      </c>
      <c r="AZ15" s="230">
        <v>14625</v>
      </c>
      <c r="BA15" s="230">
        <v>7625</v>
      </c>
      <c r="BB15" s="230">
        <v>7000</v>
      </c>
      <c r="BC15" s="229">
        <v>0.91800000000000004</v>
      </c>
      <c r="BD15" s="230">
        <v>1250</v>
      </c>
      <c r="BE15" s="228">
        <v>500</v>
      </c>
      <c r="BF15" s="228">
        <v>750</v>
      </c>
      <c r="BG15" s="229">
        <v>1.5</v>
      </c>
      <c r="BH15" s="230">
        <v>678250</v>
      </c>
      <c r="BI15" s="230">
        <v>648250</v>
      </c>
      <c r="BJ15" s="230">
        <v>30000</v>
      </c>
      <c r="BK15" s="229">
        <v>4.6300000000000001E-2</v>
      </c>
      <c r="BL15" s="230">
        <v>274875</v>
      </c>
      <c r="BM15" s="230">
        <v>340750</v>
      </c>
      <c r="BN15" s="230">
        <v>-65875</v>
      </c>
      <c r="BO15" s="229">
        <v>-0.1933</v>
      </c>
      <c r="BP15" s="230">
        <v>1196250</v>
      </c>
      <c r="BQ15" s="230">
        <v>1188750</v>
      </c>
      <c r="BR15" s="230">
        <v>7500</v>
      </c>
      <c r="BS15" s="229">
        <v>6.3E-3</v>
      </c>
      <c r="BT15" s="230">
        <v>442304</v>
      </c>
      <c r="BU15" s="230">
        <v>260156</v>
      </c>
      <c r="BV15" s="230">
        <v>182148</v>
      </c>
      <c r="BW15" s="229">
        <v>0.70009999999999994</v>
      </c>
      <c r="BX15" s="230">
        <v>2015125</v>
      </c>
      <c r="BY15" s="230">
        <v>2017750</v>
      </c>
      <c r="BZ15" s="230">
        <v>-2625</v>
      </c>
      <c r="CA15" s="229">
        <v>-1.2999999999999999E-3</v>
      </c>
      <c r="CB15" s="230">
        <v>1831000</v>
      </c>
      <c r="CC15" s="230">
        <v>1841625</v>
      </c>
      <c r="CD15" s="230">
        <v>-10625</v>
      </c>
      <c r="CE15" s="229">
        <v>-5.7999999999999996E-3</v>
      </c>
      <c r="CF15" s="230">
        <v>180125</v>
      </c>
      <c r="CG15" s="230">
        <v>172625</v>
      </c>
      <c r="CH15" s="230">
        <v>7500</v>
      </c>
      <c r="CI15" s="229">
        <v>4.3400000000000001E-2</v>
      </c>
      <c r="CJ15" s="230">
        <v>4000</v>
      </c>
      <c r="CK15" s="230">
        <v>3500</v>
      </c>
      <c r="CL15" s="228">
        <v>500</v>
      </c>
      <c r="CM15" s="229">
        <v>0.1429</v>
      </c>
      <c r="CN15" s="230">
        <v>770500</v>
      </c>
      <c r="CO15" s="230">
        <v>706500</v>
      </c>
      <c r="CP15" s="230">
        <v>64000</v>
      </c>
      <c r="CQ15" s="229">
        <v>9.06E-2</v>
      </c>
      <c r="CR15" s="230">
        <v>460875</v>
      </c>
      <c r="CS15" s="230">
        <v>443000</v>
      </c>
      <c r="CT15" s="230">
        <v>17875</v>
      </c>
      <c r="CU15" s="229">
        <v>4.0300000000000002E-2</v>
      </c>
      <c r="CV15" s="230">
        <v>3246500</v>
      </c>
      <c r="CW15" s="230">
        <v>3167250</v>
      </c>
      <c r="CX15" s="230">
        <v>79250</v>
      </c>
      <c r="CY15" s="229">
        <v>2.5000000000000001E-2</v>
      </c>
      <c r="CZ15" s="228">
        <v>25.58</v>
      </c>
      <c r="DA15" s="228">
        <v>26.35</v>
      </c>
      <c r="DB15" s="228">
        <v>-0.77</v>
      </c>
      <c r="DC15" s="228">
        <v>-0.77</v>
      </c>
      <c r="DD15" s="228">
        <v>24.87</v>
      </c>
      <c r="DE15" s="228">
        <v>24.93</v>
      </c>
      <c r="DF15" s="228">
        <v>0.71</v>
      </c>
      <c r="DG15" s="228">
        <v>-0.06</v>
      </c>
      <c r="DH15" s="228">
        <v>25.65</v>
      </c>
      <c r="DI15" s="228">
        <v>26.14</v>
      </c>
      <c r="DJ15" s="228">
        <v>-0.49</v>
      </c>
      <c r="DK15" s="228">
        <v>-0.49</v>
      </c>
      <c r="DL15" s="228">
        <v>25.41</v>
      </c>
      <c r="DM15" s="228">
        <v>26.74</v>
      </c>
      <c r="DN15" s="228">
        <v>-1.33</v>
      </c>
      <c r="DO15" s="228">
        <v>-1.33</v>
      </c>
      <c r="DP15" s="228">
        <v>0.6</v>
      </c>
      <c r="DQ15" s="228">
        <v>0.63</v>
      </c>
      <c r="DR15" s="228">
        <v>-0.03</v>
      </c>
      <c r="DS15" s="229">
        <v>-4.7600000000000003E-2</v>
      </c>
      <c r="DT15" s="231">
        <v>8500</v>
      </c>
      <c r="DU15" s="231">
        <v>7000</v>
      </c>
      <c r="DV15" s="228">
        <v>0.41</v>
      </c>
      <c r="DW15" s="228">
        <v>0.53</v>
      </c>
      <c r="DX15" s="228">
        <v>-0.12</v>
      </c>
      <c r="DY15" s="229">
        <v>-0.22639999999999999</v>
      </c>
      <c r="DZ15" s="229">
        <v>9.1399999999999995E-2</v>
      </c>
      <c r="EA15" s="230">
        <v>176125</v>
      </c>
      <c r="EB15" s="229">
        <v>6.0000000000000001E-3</v>
      </c>
      <c r="EC15" s="229">
        <v>9.1399999999999995E-2</v>
      </c>
      <c r="ED15" s="228">
        <v>47.45</v>
      </c>
      <c r="EE15" s="229">
        <v>6.1000000000000004E-3</v>
      </c>
      <c r="EF15" s="230">
        <v>355600</v>
      </c>
      <c r="EG15" s="230">
        <v>174731</v>
      </c>
      <c r="EH15" s="229">
        <v>1.0350999999999999</v>
      </c>
      <c r="EI15" s="229">
        <v>0.80400000000000005</v>
      </c>
      <c r="EJ15" s="231">
        <v>55889.77</v>
      </c>
      <c r="EK15" s="231">
        <v>21026.89</v>
      </c>
      <c r="EL15" s="231">
        <v>19017.080000000002</v>
      </c>
      <c r="EM15" s="231">
        <v>1797</v>
      </c>
      <c r="EN15" s="231">
        <v>95933.74</v>
      </c>
      <c r="EO15" s="231">
        <v>94199.51</v>
      </c>
      <c r="EP15" s="231">
        <v>1734.23</v>
      </c>
      <c r="EQ15" s="229">
        <v>1.84E-2</v>
      </c>
      <c r="ER15" s="231">
        <v>62896</v>
      </c>
      <c r="ES15" s="231">
        <v>33824</v>
      </c>
      <c r="ET15" s="231">
        <v>157561</v>
      </c>
      <c r="EU15" s="231">
        <v>15524629</v>
      </c>
      <c r="EV15" s="231">
        <v>254281</v>
      </c>
      <c r="EW15" s="231">
        <v>247089</v>
      </c>
      <c r="EX15" s="231">
        <v>7192</v>
      </c>
      <c r="EY15" s="229">
        <v>2.9100000000000001E-2</v>
      </c>
      <c r="EZ15" s="229">
        <v>0.20910000000000001</v>
      </c>
      <c r="FA15" s="227" t="s">
        <v>691</v>
      </c>
      <c r="FB15" s="161">
        <f t="shared" si="0"/>
        <v>184125</v>
      </c>
    </row>
    <row r="16" spans="1:158" ht="17.25" thickBot="1" x14ac:dyDescent="0.3">
      <c r="A16" s="226">
        <v>46148</v>
      </c>
      <c r="B16" s="227" t="s">
        <v>162</v>
      </c>
      <c r="C16" s="227" t="s">
        <v>167</v>
      </c>
      <c r="D16" s="228">
        <v>5000</v>
      </c>
      <c r="E16" s="228">
        <v>168.83</v>
      </c>
      <c r="F16" s="228">
        <v>159.91</v>
      </c>
      <c r="G16" s="228">
        <v>8.92</v>
      </c>
      <c r="H16" s="229">
        <v>5.5800000000000002E-2</v>
      </c>
      <c r="I16" s="228">
        <v>167.8</v>
      </c>
      <c r="J16" s="228">
        <v>160.25</v>
      </c>
      <c r="K16" s="228">
        <v>7.55</v>
      </c>
      <c r="L16" s="229">
        <v>4.7100000000000003E-2</v>
      </c>
      <c r="M16" s="228">
        <v>168.83</v>
      </c>
      <c r="N16" s="228">
        <v>159.91</v>
      </c>
      <c r="O16" s="228">
        <v>8.92</v>
      </c>
      <c r="P16" s="229">
        <v>5.5800000000000002E-2</v>
      </c>
      <c r="Q16" s="228">
        <v>168.13</v>
      </c>
      <c r="R16" s="228">
        <v>159.08000000000001</v>
      </c>
      <c r="S16" s="228">
        <v>9.0500000000000007</v>
      </c>
      <c r="T16" s="229">
        <v>5.6899999999999999E-2</v>
      </c>
      <c r="U16" s="228">
        <v>167.48</v>
      </c>
      <c r="V16" s="228">
        <v>158.57</v>
      </c>
      <c r="W16" s="228">
        <v>8.91</v>
      </c>
      <c r="X16" s="229">
        <v>5.62E-2</v>
      </c>
      <c r="Y16" s="228">
        <v>1.03</v>
      </c>
      <c r="Z16" s="228">
        <v>-0.34</v>
      </c>
      <c r="AA16" s="228">
        <v>1.37</v>
      </c>
      <c r="AB16" s="229">
        <v>6.1000000000000004E-3</v>
      </c>
      <c r="AC16" s="228">
        <v>1.03</v>
      </c>
      <c r="AD16" s="228">
        <v>-0.34</v>
      </c>
      <c r="AE16" s="228">
        <v>1.37</v>
      </c>
      <c r="AF16" s="229">
        <v>6.1000000000000004E-3</v>
      </c>
      <c r="AG16" s="228">
        <v>0.33</v>
      </c>
      <c r="AH16" s="228">
        <v>-1.17</v>
      </c>
      <c r="AI16" s="228">
        <v>1.5</v>
      </c>
      <c r="AJ16" s="229">
        <v>2E-3</v>
      </c>
      <c r="AK16" s="228">
        <v>-0.32</v>
      </c>
      <c r="AL16" s="228">
        <v>-1.68</v>
      </c>
      <c r="AM16" s="228">
        <v>1.36</v>
      </c>
      <c r="AN16" s="229">
        <v>-1.9E-3</v>
      </c>
      <c r="AO16" s="228">
        <v>166.03</v>
      </c>
      <c r="AP16" s="228">
        <v>164.92</v>
      </c>
      <c r="AQ16" s="228">
        <v>0</v>
      </c>
      <c r="AR16" s="230">
        <v>55555000</v>
      </c>
      <c r="AS16" s="230">
        <v>24145000</v>
      </c>
      <c r="AT16" s="230">
        <v>31410000</v>
      </c>
      <c r="AU16" s="229">
        <v>1.3008999999999999</v>
      </c>
      <c r="AV16" s="230">
        <v>49625000</v>
      </c>
      <c r="AW16" s="230">
        <v>20570000</v>
      </c>
      <c r="AX16" s="230">
        <v>29055000</v>
      </c>
      <c r="AY16" s="229">
        <v>1.4125000000000001</v>
      </c>
      <c r="AZ16" s="230">
        <v>5305000</v>
      </c>
      <c r="BA16" s="230">
        <v>3410000</v>
      </c>
      <c r="BB16" s="230">
        <v>1895000</v>
      </c>
      <c r="BC16" s="229">
        <v>0.55569999999999997</v>
      </c>
      <c r="BD16" s="230">
        <v>625000</v>
      </c>
      <c r="BE16" s="230">
        <v>165000</v>
      </c>
      <c r="BF16" s="230">
        <v>460000</v>
      </c>
      <c r="BG16" s="229">
        <v>2.7879</v>
      </c>
      <c r="BH16" s="230">
        <v>175285000</v>
      </c>
      <c r="BI16" s="230">
        <v>54165000</v>
      </c>
      <c r="BJ16" s="230">
        <v>121120000</v>
      </c>
      <c r="BK16" s="229">
        <v>2.2361</v>
      </c>
      <c r="BL16" s="230">
        <v>58215000</v>
      </c>
      <c r="BM16" s="230">
        <v>30955000</v>
      </c>
      <c r="BN16" s="230">
        <v>27260000</v>
      </c>
      <c r="BO16" s="229">
        <v>0.88060000000000005</v>
      </c>
      <c r="BP16" s="230">
        <v>289055000</v>
      </c>
      <c r="BQ16" s="230">
        <v>109265000</v>
      </c>
      <c r="BR16" s="230">
        <v>179790000</v>
      </c>
      <c r="BS16" s="229">
        <v>1.6454</v>
      </c>
      <c r="BT16" s="230">
        <v>23604791</v>
      </c>
      <c r="BU16" s="230">
        <v>13410537</v>
      </c>
      <c r="BV16" s="230">
        <v>10194254</v>
      </c>
      <c r="BW16" s="229">
        <v>0.76019999999999999</v>
      </c>
      <c r="BX16" s="230">
        <v>140460000</v>
      </c>
      <c r="BY16" s="230">
        <v>142085000</v>
      </c>
      <c r="BZ16" s="230">
        <v>-1625000</v>
      </c>
      <c r="CA16" s="229">
        <v>-1.14E-2</v>
      </c>
      <c r="CB16" s="230">
        <v>129455000</v>
      </c>
      <c r="CC16" s="230">
        <v>131470000</v>
      </c>
      <c r="CD16" s="230">
        <v>-2015000</v>
      </c>
      <c r="CE16" s="229">
        <v>-1.5299999999999999E-2</v>
      </c>
      <c r="CF16" s="230">
        <v>9990000</v>
      </c>
      <c r="CG16" s="230">
        <v>9660000</v>
      </c>
      <c r="CH16" s="230">
        <v>330000</v>
      </c>
      <c r="CI16" s="229">
        <v>3.4200000000000001E-2</v>
      </c>
      <c r="CJ16" s="230">
        <v>1015000</v>
      </c>
      <c r="CK16" s="230">
        <v>955000</v>
      </c>
      <c r="CL16" s="230">
        <v>60000</v>
      </c>
      <c r="CM16" s="229">
        <v>6.2799999999999995E-2</v>
      </c>
      <c r="CN16" s="230">
        <v>91810000</v>
      </c>
      <c r="CO16" s="230">
        <v>87960000</v>
      </c>
      <c r="CP16" s="230">
        <v>3850000</v>
      </c>
      <c r="CQ16" s="229">
        <v>4.3799999999999999E-2</v>
      </c>
      <c r="CR16" s="230">
        <v>51400000</v>
      </c>
      <c r="CS16" s="230">
        <v>50470000</v>
      </c>
      <c r="CT16" s="230">
        <v>930000</v>
      </c>
      <c r="CU16" s="229">
        <v>1.84E-2</v>
      </c>
      <c r="CV16" s="230">
        <v>283670000</v>
      </c>
      <c r="CW16" s="230">
        <v>280515000</v>
      </c>
      <c r="CX16" s="230">
        <v>3155000</v>
      </c>
      <c r="CY16" s="229">
        <v>1.12E-2</v>
      </c>
      <c r="CZ16" s="228">
        <v>43.27</v>
      </c>
      <c r="DA16" s="228">
        <v>42.76</v>
      </c>
      <c r="DB16" s="228">
        <v>0.51</v>
      </c>
      <c r="DC16" s="228">
        <v>0.51</v>
      </c>
      <c r="DD16" s="228">
        <v>42.5</v>
      </c>
      <c r="DE16" s="228">
        <v>42.15</v>
      </c>
      <c r="DF16" s="228">
        <v>0.77</v>
      </c>
      <c r="DG16" s="228">
        <v>0.35</v>
      </c>
      <c r="DH16" s="228">
        <v>43.35</v>
      </c>
      <c r="DI16" s="228">
        <v>43.56</v>
      </c>
      <c r="DJ16" s="228">
        <v>-0.21</v>
      </c>
      <c r="DK16" s="228">
        <v>-0.21</v>
      </c>
      <c r="DL16" s="228">
        <v>43.02</v>
      </c>
      <c r="DM16" s="228">
        <v>41.35</v>
      </c>
      <c r="DN16" s="228">
        <v>1.67</v>
      </c>
      <c r="DO16" s="228">
        <v>1.67</v>
      </c>
      <c r="DP16" s="228">
        <v>0.56000000000000005</v>
      </c>
      <c r="DQ16" s="228">
        <v>0.56999999999999995</v>
      </c>
      <c r="DR16" s="228">
        <v>-0.01</v>
      </c>
      <c r="DS16" s="229">
        <v>-1.7500000000000002E-2</v>
      </c>
      <c r="DT16" s="228">
        <v>200</v>
      </c>
      <c r="DU16" s="228">
        <v>160</v>
      </c>
      <c r="DV16" s="228">
        <v>0.33</v>
      </c>
      <c r="DW16" s="228">
        <v>0.56999999999999995</v>
      </c>
      <c r="DX16" s="228">
        <v>-0.24</v>
      </c>
      <c r="DY16" s="229">
        <v>-0.42109999999999997</v>
      </c>
      <c r="DZ16" s="229">
        <v>7.8299999999999995E-2</v>
      </c>
      <c r="EA16" s="230">
        <v>10615000</v>
      </c>
      <c r="EB16" s="229">
        <v>-4.1000000000000003E-3</v>
      </c>
      <c r="EC16" s="229">
        <v>7.8299999999999995E-2</v>
      </c>
      <c r="ED16" s="228">
        <v>-1.1100000000000001</v>
      </c>
      <c r="EE16" s="229">
        <v>-6.7000000000000002E-3</v>
      </c>
      <c r="EF16" s="230">
        <v>10965888</v>
      </c>
      <c r="EG16" s="230">
        <v>6089532</v>
      </c>
      <c r="EH16" s="229">
        <v>0.80079999999999996</v>
      </c>
      <c r="EI16" s="229">
        <v>0.46460000000000001</v>
      </c>
      <c r="EJ16" s="231">
        <v>316119.76</v>
      </c>
      <c r="EK16" s="231">
        <v>93650.69</v>
      </c>
      <c r="EL16" s="231">
        <v>92172.84</v>
      </c>
      <c r="EM16" s="231">
        <v>5781</v>
      </c>
      <c r="EN16" s="231">
        <v>501943.29</v>
      </c>
      <c r="EO16" s="231">
        <v>189423.97</v>
      </c>
      <c r="EP16" s="231">
        <v>312519.32</v>
      </c>
      <c r="EQ16" s="229">
        <v>1.6497999999999999</v>
      </c>
      <c r="ER16" s="231">
        <v>168083</v>
      </c>
      <c r="ES16" s="231">
        <v>85715</v>
      </c>
      <c r="ET16" s="231">
        <v>237055</v>
      </c>
      <c r="EU16" s="231">
        <v>423779104</v>
      </c>
      <c r="EV16" s="231">
        <v>490852</v>
      </c>
      <c r="EW16" s="231">
        <v>472563</v>
      </c>
      <c r="EX16" s="231">
        <v>18289</v>
      </c>
      <c r="EY16" s="229">
        <v>3.8699999999999998E-2</v>
      </c>
      <c r="EZ16" s="229">
        <v>0.6694</v>
      </c>
      <c r="FA16" s="227" t="s">
        <v>691</v>
      </c>
      <c r="FB16" s="161">
        <f t="shared" si="0"/>
        <v>11005000</v>
      </c>
    </row>
    <row r="17" spans="1:158" ht="17.25" thickBot="1" x14ac:dyDescent="0.3">
      <c r="A17" s="226">
        <v>46148</v>
      </c>
      <c r="B17" s="227" t="s">
        <v>168</v>
      </c>
      <c r="C17" s="227" t="s">
        <v>169</v>
      </c>
      <c r="D17" s="228">
        <v>250</v>
      </c>
      <c r="E17" s="231">
        <v>2530.5</v>
      </c>
      <c r="F17" s="231">
        <v>2441.1</v>
      </c>
      <c r="G17" s="228">
        <v>89.4</v>
      </c>
      <c r="H17" s="229">
        <v>3.6600000000000001E-2</v>
      </c>
      <c r="I17" s="231">
        <v>2519</v>
      </c>
      <c r="J17" s="231">
        <v>2430</v>
      </c>
      <c r="K17" s="228">
        <v>89</v>
      </c>
      <c r="L17" s="229">
        <v>3.6600000000000001E-2</v>
      </c>
      <c r="M17" s="231">
        <v>2530.5</v>
      </c>
      <c r="N17" s="231">
        <v>2441.1</v>
      </c>
      <c r="O17" s="228">
        <v>89.4</v>
      </c>
      <c r="P17" s="229">
        <v>3.6600000000000001E-2</v>
      </c>
      <c r="Q17" s="231">
        <v>2525.1999999999998</v>
      </c>
      <c r="R17" s="231">
        <v>2442.3000000000002</v>
      </c>
      <c r="S17" s="228">
        <v>82.9</v>
      </c>
      <c r="T17" s="229">
        <v>3.39E-2</v>
      </c>
      <c r="U17" s="231">
        <v>2536.1999999999998</v>
      </c>
      <c r="V17" s="231">
        <v>2450.6999999999998</v>
      </c>
      <c r="W17" s="228">
        <v>85.5</v>
      </c>
      <c r="X17" s="229">
        <v>3.49E-2</v>
      </c>
      <c r="Y17" s="228">
        <v>11.5</v>
      </c>
      <c r="Z17" s="228">
        <v>11.1</v>
      </c>
      <c r="AA17" s="228">
        <v>0.4</v>
      </c>
      <c r="AB17" s="229">
        <v>4.5999999999999999E-3</v>
      </c>
      <c r="AC17" s="228">
        <v>11.5</v>
      </c>
      <c r="AD17" s="228">
        <v>11.1</v>
      </c>
      <c r="AE17" s="228">
        <v>0.4</v>
      </c>
      <c r="AF17" s="229">
        <v>4.5999999999999999E-3</v>
      </c>
      <c r="AG17" s="228">
        <v>6.2</v>
      </c>
      <c r="AH17" s="228">
        <v>12.3</v>
      </c>
      <c r="AI17" s="228">
        <v>-6.1</v>
      </c>
      <c r="AJ17" s="229">
        <v>2.5000000000000001E-3</v>
      </c>
      <c r="AK17" s="228">
        <v>17.2</v>
      </c>
      <c r="AL17" s="228">
        <v>20.7</v>
      </c>
      <c r="AM17" s="228">
        <v>-3.5</v>
      </c>
      <c r="AN17" s="229">
        <v>6.7999999999999996E-3</v>
      </c>
      <c r="AO17" s="231">
        <v>2510.19</v>
      </c>
      <c r="AP17" s="231">
        <v>2497.44</v>
      </c>
      <c r="AQ17" s="228">
        <v>0</v>
      </c>
      <c r="AR17" s="230">
        <v>2098750</v>
      </c>
      <c r="AS17" s="230">
        <v>809250</v>
      </c>
      <c r="AT17" s="230">
        <v>1289500</v>
      </c>
      <c r="AU17" s="229">
        <v>1.5934999999999999</v>
      </c>
      <c r="AV17" s="230">
        <v>1957750</v>
      </c>
      <c r="AW17" s="230">
        <v>740250</v>
      </c>
      <c r="AX17" s="230">
        <v>1217500</v>
      </c>
      <c r="AY17" s="229">
        <v>1.6447000000000001</v>
      </c>
      <c r="AZ17" s="230">
        <v>123250</v>
      </c>
      <c r="BA17" s="230">
        <v>61750</v>
      </c>
      <c r="BB17" s="230">
        <v>61500</v>
      </c>
      <c r="BC17" s="229">
        <v>0.996</v>
      </c>
      <c r="BD17" s="230">
        <v>17750</v>
      </c>
      <c r="BE17" s="230">
        <v>7250</v>
      </c>
      <c r="BF17" s="230">
        <v>10500</v>
      </c>
      <c r="BG17" s="229">
        <v>1.4482999999999999</v>
      </c>
      <c r="BH17" s="230">
        <v>9175500</v>
      </c>
      <c r="BI17" s="230">
        <v>2976250</v>
      </c>
      <c r="BJ17" s="230">
        <v>6199250</v>
      </c>
      <c r="BK17" s="229">
        <v>2.0829</v>
      </c>
      <c r="BL17" s="230">
        <v>5496250</v>
      </c>
      <c r="BM17" s="230">
        <v>2137750</v>
      </c>
      <c r="BN17" s="230">
        <v>3358500</v>
      </c>
      <c r="BO17" s="229">
        <v>1.571</v>
      </c>
      <c r="BP17" s="230">
        <v>16770500</v>
      </c>
      <c r="BQ17" s="230">
        <v>5923250</v>
      </c>
      <c r="BR17" s="230">
        <v>10847250</v>
      </c>
      <c r="BS17" s="229">
        <v>1.8312999999999999</v>
      </c>
      <c r="BT17" s="230">
        <v>1454785</v>
      </c>
      <c r="BU17" s="230">
        <v>346674</v>
      </c>
      <c r="BV17" s="230">
        <v>1108111</v>
      </c>
      <c r="BW17" s="229">
        <v>3.1964000000000001</v>
      </c>
      <c r="BX17" s="230">
        <v>14144000</v>
      </c>
      <c r="BY17" s="230">
        <v>14318750</v>
      </c>
      <c r="BZ17" s="230">
        <v>-174750</v>
      </c>
      <c r="CA17" s="229">
        <v>-1.2200000000000001E-2</v>
      </c>
      <c r="CB17" s="230">
        <v>12915000</v>
      </c>
      <c r="CC17" s="230">
        <v>13111000</v>
      </c>
      <c r="CD17" s="230">
        <v>-196000</v>
      </c>
      <c r="CE17" s="229">
        <v>-1.49E-2</v>
      </c>
      <c r="CF17" s="230">
        <v>1205500</v>
      </c>
      <c r="CG17" s="230">
        <v>1186500</v>
      </c>
      <c r="CH17" s="230">
        <v>19000</v>
      </c>
      <c r="CI17" s="229">
        <v>1.6E-2</v>
      </c>
      <c r="CJ17" s="230">
        <v>23500</v>
      </c>
      <c r="CK17" s="230">
        <v>21250</v>
      </c>
      <c r="CL17" s="230">
        <v>2250</v>
      </c>
      <c r="CM17" s="229">
        <v>0.10589999999999999</v>
      </c>
      <c r="CN17" s="230">
        <v>4351000</v>
      </c>
      <c r="CO17" s="230">
        <v>3882750</v>
      </c>
      <c r="CP17" s="230">
        <v>468250</v>
      </c>
      <c r="CQ17" s="229">
        <v>0.1206</v>
      </c>
      <c r="CR17" s="230">
        <v>3411000</v>
      </c>
      <c r="CS17" s="230">
        <v>3311250</v>
      </c>
      <c r="CT17" s="230">
        <v>99750</v>
      </c>
      <c r="CU17" s="229">
        <v>3.0099999999999998E-2</v>
      </c>
      <c r="CV17" s="230">
        <v>21906000</v>
      </c>
      <c r="CW17" s="230">
        <v>21512750</v>
      </c>
      <c r="CX17" s="230">
        <v>393250</v>
      </c>
      <c r="CY17" s="229">
        <v>1.83E-2</v>
      </c>
      <c r="CZ17" s="228">
        <v>27.6</v>
      </c>
      <c r="DA17" s="228">
        <v>27.18</v>
      </c>
      <c r="DB17" s="228">
        <v>0.42</v>
      </c>
      <c r="DC17" s="228">
        <v>0.42</v>
      </c>
      <c r="DD17" s="228">
        <v>29.12</v>
      </c>
      <c r="DE17" s="228">
        <v>28.78</v>
      </c>
      <c r="DF17" s="228">
        <v>-1.52</v>
      </c>
      <c r="DG17" s="228">
        <v>0.34</v>
      </c>
      <c r="DH17" s="228">
        <v>25.96</v>
      </c>
      <c r="DI17" s="228">
        <v>26.22</v>
      </c>
      <c r="DJ17" s="228">
        <v>-0.26</v>
      </c>
      <c r="DK17" s="228">
        <v>-0.26</v>
      </c>
      <c r="DL17" s="228">
        <v>30.33</v>
      </c>
      <c r="DM17" s="228">
        <v>28.52</v>
      </c>
      <c r="DN17" s="228">
        <v>1.81</v>
      </c>
      <c r="DO17" s="228">
        <v>1.81</v>
      </c>
      <c r="DP17" s="228">
        <v>0.78</v>
      </c>
      <c r="DQ17" s="228">
        <v>0.85</v>
      </c>
      <c r="DR17" s="228">
        <v>-7.0000000000000007E-2</v>
      </c>
      <c r="DS17" s="229">
        <v>-8.2400000000000001E-2</v>
      </c>
      <c r="DT17" s="231">
        <v>2500</v>
      </c>
      <c r="DU17" s="231">
        <v>2300</v>
      </c>
      <c r="DV17" s="228">
        <v>0.6</v>
      </c>
      <c r="DW17" s="228">
        <v>0.72</v>
      </c>
      <c r="DX17" s="228">
        <v>-0.12</v>
      </c>
      <c r="DY17" s="229">
        <v>-0.16669999999999999</v>
      </c>
      <c r="DZ17" s="229">
        <v>8.6900000000000005E-2</v>
      </c>
      <c r="EA17" s="230">
        <v>1207750</v>
      </c>
      <c r="EB17" s="229">
        <v>-2.0999999999999999E-3</v>
      </c>
      <c r="EC17" s="229">
        <v>8.6900000000000005E-2</v>
      </c>
      <c r="ED17" s="228">
        <v>-12.75</v>
      </c>
      <c r="EE17" s="229">
        <v>-5.1000000000000004E-3</v>
      </c>
      <c r="EF17" s="230">
        <v>771892</v>
      </c>
      <c r="EG17" s="230">
        <v>107148</v>
      </c>
      <c r="EH17" s="229">
        <v>6.2039999999999997</v>
      </c>
      <c r="EI17" s="229">
        <v>0.53059999999999996</v>
      </c>
      <c r="EJ17" s="231">
        <v>239600.7</v>
      </c>
      <c r="EK17" s="231">
        <v>133403.29999999999</v>
      </c>
      <c r="EL17" s="231">
        <v>52666.07</v>
      </c>
      <c r="EM17" s="231">
        <v>5301</v>
      </c>
      <c r="EN17" s="231">
        <v>425670.07</v>
      </c>
      <c r="EO17" s="231">
        <v>148112.06</v>
      </c>
      <c r="EP17" s="231">
        <v>277558.01</v>
      </c>
      <c r="EQ17" s="229">
        <v>1.8740000000000001</v>
      </c>
      <c r="ER17" s="231">
        <v>112389</v>
      </c>
      <c r="ES17" s="231">
        <v>79877</v>
      </c>
      <c r="ET17" s="231">
        <v>357851</v>
      </c>
      <c r="EU17" s="231">
        <v>62818628</v>
      </c>
      <c r="EV17" s="231">
        <v>550117</v>
      </c>
      <c r="EW17" s="231">
        <v>526830</v>
      </c>
      <c r="EX17" s="231">
        <v>23287</v>
      </c>
      <c r="EY17" s="229">
        <v>4.4200000000000003E-2</v>
      </c>
      <c r="EZ17" s="229">
        <v>0.34870000000000001</v>
      </c>
      <c r="FA17" s="227" t="s">
        <v>691</v>
      </c>
      <c r="FB17" s="161">
        <f t="shared" si="0"/>
        <v>1229000</v>
      </c>
    </row>
    <row r="18" spans="1:158" ht="17.25" thickBot="1" x14ac:dyDescent="0.3">
      <c r="A18" s="226">
        <v>46148</v>
      </c>
      <c r="B18" s="227" t="s">
        <v>184</v>
      </c>
      <c r="C18" s="227" t="s">
        <v>503</v>
      </c>
      <c r="D18" s="228">
        <v>425</v>
      </c>
      <c r="E18" s="231">
        <v>1583.4</v>
      </c>
      <c r="F18" s="231">
        <v>1535.1</v>
      </c>
      <c r="G18" s="228">
        <v>48.3</v>
      </c>
      <c r="H18" s="229">
        <v>3.15E-2</v>
      </c>
      <c r="I18" s="231">
        <v>1576.1</v>
      </c>
      <c r="J18" s="231">
        <v>1531.6</v>
      </c>
      <c r="K18" s="228">
        <v>44.5</v>
      </c>
      <c r="L18" s="229">
        <v>2.9100000000000001E-2</v>
      </c>
      <c r="M18" s="231">
        <v>1583.4</v>
      </c>
      <c r="N18" s="231">
        <v>1535.1</v>
      </c>
      <c r="O18" s="228">
        <v>48.3</v>
      </c>
      <c r="P18" s="229">
        <v>3.15E-2</v>
      </c>
      <c r="Q18" s="231">
        <v>1560.6</v>
      </c>
      <c r="R18" s="231">
        <v>1507.9</v>
      </c>
      <c r="S18" s="228">
        <v>52.7</v>
      </c>
      <c r="T18" s="229">
        <v>3.49E-2</v>
      </c>
      <c r="U18" s="231">
        <v>1540.1</v>
      </c>
      <c r="V18" s="231">
        <v>1490</v>
      </c>
      <c r="W18" s="228">
        <v>50.1</v>
      </c>
      <c r="X18" s="229">
        <v>3.3599999999999998E-2</v>
      </c>
      <c r="Y18" s="228">
        <v>7.3</v>
      </c>
      <c r="Z18" s="228">
        <v>3.5</v>
      </c>
      <c r="AA18" s="228">
        <v>3.8</v>
      </c>
      <c r="AB18" s="229">
        <v>4.5999999999999999E-3</v>
      </c>
      <c r="AC18" s="228">
        <v>7.3</v>
      </c>
      <c r="AD18" s="228">
        <v>3.5</v>
      </c>
      <c r="AE18" s="228">
        <v>3.8</v>
      </c>
      <c r="AF18" s="229">
        <v>4.5999999999999999E-3</v>
      </c>
      <c r="AG18" s="228">
        <v>-15.5</v>
      </c>
      <c r="AH18" s="228">
        <v>-23.7</v>
      </c>
      <c r="AI18" s="228">
        <v>8.1999999999999993</v>
      </c>
      <c r="AJ18" s="229">
        <v>-9.7999999999999997E-3</v>
      </c>
      <c r="AK18" s="228">
        <v>-36</v>
      </c>
      <c r="AL18" s="228">
        <v>-41.6</v>
      </c>
      <c r="AM18" s="228">
        <v>5.6</v>
      </c>
      <c r="AN18" s="229">
        <v>-2.2800000000000001E-2</v>
      </c>
      <c r="AO18" s="231">
        <v>1567.71</v>
      </c>
      <c r="AP18" s="231">
        <v>1536.48</v>
      </c>
      <c r="AQ18" s="228">
        <v>0</v>
      </c>
      <c r="AR18" s="230">
        <v>1766725</v>
      </c>
      <c r="AS18" s="230">
        <v>544850</v>
      </c>
      <c r="AT18" s="230">
        <v>1221875</v>
      </c>
      <c r="AU18" s="229">
        <v>2.2425999999999999</v>
      </c>
      <c r="AV18" s="230">
        <v>1479425</v>
      </c>
      <c r="AW18" s="230">
        <v>436900</v>
      </c>
      <c r="AX18" s="230">
        <v>1042525</v>
      </c>
      <c r="AY18" s="229">
        <v>2.3862000000000001</v>
      </c>
      <c r="AZ18" s="230">
        <v>269875</v>
      </c>
      <c r="BA18" s="230">
        <v>101575</v>
      </c>
      <c r="BB18" s="230">
        <v>168300</v>
      </c>
      <c r="BC18" s="229">
        <v>1.6569</v>
      </c>
      <c r="BD18" s="230">
        <v>17425</v>
      </c>
      <c r="BE18" s="230">
        <v>6375</v>
      </c>
      <c r="BF18" s="230">
        <v>11050</v>
      </c>
      <c r="BG18" s="229">
        <v>1.7333000000000001</v>
      </c>
      <c r="BH18" s="230">
        <v>5827600</v>
      </c>
      <c r="BI18" s="230">
        <v>1380400</v>
      </c>
      <c r="BJ18" s="230">
        <v>4447200</v>
      </c>
      <c r="BK18" s="229">
        <v>3.2216999999999998</v>
      </c>
      <c r="BL18" s="230">
        <v>1810500</v>
      </c>
      <c r="BM18" s="230">
        <v>482375</v>
      </c>
      <c r="BN18" s="230">
        <v>1328125</v>
      </c>
      <c r="BO18" s="229">
        <v>2.7532999999999999</v>
      </c>
      <c r="BP18" s="230">
        <v>9404825</v>
      </c>
      <c r="BQ18" s="230">
        <v>2407625</v>
      </c>
      <c r="BR18" s="230">
        <v>6997200</v>
      </c>
      <c r="BS18" s="229">
        <v>2.9062999999999999</v>
      </c>
      <c r="BT18" s="230">
        <v>557942</v>
      </c>
      <c r="BU18" s="230">
        <v>269928</v>
      </c>
      <c r="BV18" s="230">
        <v>288014</v>
      </c>
      <c r="BW18" s="229">
        <v>1.0669999999999999</v>
      </c>
      <c r="BX18" s="230">
        <v>9054200</v>
      </c>
      <c r="BY18" s="230">
        <v>9267975</v>
      </c>
      <c r="BZ18" s="230">
        <v>-213775</v>
      </c>
      <c r="CA18" s="229">
        <v>-2.3099999999999999E-2</v>
      </c>
      <c r="CB18" s="230">
        <v>8501700</v>
      </c>
      <c r="CC18" s="230">
        <v>8782200</v>
      </c>
      <c r="CD18" s="230">
        <v>-280500</v>
      </c>
      <c r="CE18" s="229">
        <v>-3.1899999999999998E-2</v>
      </c>
      <c r="CF18" s="230">
        <v>524875</v>
      </c>
      <c r="CG18" s="230">
        <v>456025</v>
      </c>
      <c r="CH18" s="230">
        <v>68850</v>
      </c>
      <c r="CI18" s="229">
        <v>0.151</v>
      </c>
      <c r="CJ18" s="230">
        <v>27625</v>
      </c>
      <c r="CK18" s="230">
        <v>29750</v>
      </c>
      <c r="CL18" s="230">
        <v>-2125</v>
      </c>
      <c r="CM18" s="229">
        <v>-7.1400000000000005E-2</v>
      </c>
      <c r="CN18" s="230">
        <v>1773950</v>
      </c>
      <c r="CO18" s="230">
        <v>1587375</v>
      </c>
      <c r="CP18" s="230">
        <v>186575</v>
      </c>
      <c r="CQ18" s="229">
        <v>0.11749999999999999</v>
      </c>
      <c r="CR18" s="230">
        <v>1023825</v>
      </c>
      <c r="CS18" s="230">
        <v>959650</v>
      </c>
      <c r="CT18" s="230">
        <v>64175</v>
      </c>
      <c r="CU18" s="229">
        <v>6.6900000000000001E-2</v>
      </c>
      <c r="CV18" s="230">
        <v>11851975</v>
      </c>
      <c r="CW18" s="230">
        <v>11815000</v>
      </c>
      <c r="CX18" s="230">
        <v>36975</v>
      </c>
      <c r="CY18" s="229">
        <v>3.0999999999999999E-3</v>
      </c>
      <c r="CZ18" s="228">
        <v>33.57</v>
      </c>
      <c r="DA18" s="228">
        <v>34.6</v>
      </c>
      <c r="DB18" s="228">
        <v>-1.03</v>
      </c>
      <c r="DC18" s="228">
        <v>-1.03</v>
      </c>
      <c r="DD18" s="228">
        <v>35.56</v>
      </c>
      <c r="DE18" s="228">
        <v>35.43</v>
      </c>
      <c r="DF18" s="228">
        <v>-1.99</v>
      </c>
      <c r="DG18" s="228">
        <v>0.13</v>
      </c>
      <c r="DH18" s="228">
        <v>33.409999999999997</v>
      </c>
      <c r="DI18" s="228">
        <v>34.6</v>
      </c>
      <c r="DJ18" s="228">
        <v>-1.19</v>
      </c>
      <c r="DK18" s="228">
        <v>-1.19</v>
      </c>
      <c r="DL18" s="228">
        <v>34.090000000000003</v>
      </c>
      <c r="DM18" s="228">
        <v>34.619999999999997</v>
      </c>
      <c r="DN18" s="228">
        <v>-0.53</v>
      </c>
      <c r="DO18" s="228">
        <v>-0.53</v>
      </c>
      <c r="DP18" s="228">
        <v>0.57999999999999996</v>
      </c>
      <c r="DQ18" s="228">
        <v>0.6</v>
      </c>
      <c r="DR18" s="228">
        <v>-0.02</v>
      </c>
      <c r="DS18" s="229">
        <v>-3.3300000000000003E-2</v>
      </c>
      <c r="DT18" s="231">
        <v>1600</v>
      </c>
      <c r="DU18" s="231">
        <v>1560</v>
      </c>
      <c r="DV18" s="228">
        <v>0.31</v>
      </c>
      <c r="DW18" s="228">
        <v>0.35</v>
      </c>
      <c r="DX18" s="228">
        <v>-0.04</v>
      </c>
      <c r="DY18" s="229">
        <v>-0.1143</v>
      </c>
      <c r="DZ18" s="229">
        <v>6.0999999999999999E-2</v>
      </c>
      <c r="EA18" s="230">
        <v>485775</v>
      </c>
      <c r="EB18" s="229">
        <v>-1.44E-2</v>
      </c>
      <c r="EC18" s="229">
        <v>6.0999999999999999E-2</v>
      </c>
      <c r="ED18" s="228">
        <v>-31.23</v>
      </c>
      <c r="EE18" s="229">
        <v>-1.9900000000000001E-2</v>
      </c>
      <c r="EF18" s="230">
        <v>237243</v>
      </c>
      <c r="EG18" s="230">
        <v>123556</v>
      </c>
      <c r="EH18" s="229">
        <v>0.92010000000000003</v>
      </c>
      <c r="EI18" s="229">
        <v>0.42520000000000002</v>
      </c>
      <c r="EJ18" s="231">
        <v>97428.32</v>
      </c>
      <c r="EK18" s="231">
        <v>27800.65</v>
      </c>
      <c r="EL18" s="231">
        <v>27606.560000000001</v>
      </c>
      <c r="EM18" s="231">
        <v>2646</v>
      </c>
      <c r="EN18" s="231">
        <v>152835.53</v>
      </c>
      <c r="EO18" s="231">
        <v>39018.94</v>
      </c>
      <c r="EP18" s="231">
        <v>113816.59</v>
      </c>
      <c r="EQ18" s="229">
        <v>2.9169999999999998</v>
      </c>
      <c r="ER18" s="231">
        <v>29165</v>
      </c>
      <c r="ES18" s="231">
        <v>15479</v>
      </c>
      <c r="ET18" s="231">
        <v>143233</v>
      </c>
      <c r="EU18" s="231">
        <v>17577908</v>
      </c>
      <c r="EV18" s="231">
        <v>187877</v>
      </c>
      <c r="EW18" s="231">
        <v>182590</v>
      </c>
      <c r="EX18" s="231">
        <v>5287</v>
      </c>
      <c r="EY18" s="229">
        <v>2.9000000000000001E-2</v>
      </c>
      <c r="EZ18" s="229">
        <v>0.67430000000000001</v>
      </c>
      <c r="FA18" s="227" t="s">
        <v>691</v>
      </c>
      <c r="FB18" s="161">
        <f t="shared" si="0"/>
        <v>552500</v>
      </c>
    </row>
    <row r="19" spans="1:158" ht="17.25" thickBot="1" x14ac:dyDescent="0.3">
      <c r="A19" s="226">
        <v>46148</v>
      </c>
      <c r="B19" s="227" t="s">
        <v>172</v>
      </c>
      <c r="C19" s="227" t="s">
        <v>495</v>
      </c>
      <c r="D19" s="228">
        <v>1000</v>
      </c>
      <c r="E19" s="231">
        <v>1031.2</v>
      </c>
      <c r="F19" s="231">
        <v>1012.9</v>
      </c>
      <c r="G19" s="228">
        <v>18.3</v>
      </c>
      <c r="H19" s="229">
        <v>1.8100000000000002E-2</v>
      </c>
      <c r="I19" s="231">
        <v>1024</v>
      </c>
      <c r="J19" s="231">
        <v>1007.1</v>
      </c>
      <c r="K19" s="228">
        <v>16.899999999999999</v>
      </c>
      <c r="L19" s="229">
        <v>1.6799999999999999E-2</v>
      </c>
      <c r="M19" s="231">
        <v>1031.2</v>
      </c>
      <c r="N19" s="231">
        <v>1012.9</v>
      </c>
      <c r="O19" s="228">
        <v>18.3</v>
      </c>
      <c r="P19" s="229">
        <v>1.8100000000000002E-2</v>
      </c>
      <c r="Q19" s="231">
        <v>1039.4000000000001</v>
      </c>
      <c r="R19" s="231">
        <v>1019.5</v>
      </c>
      <c r="S19" s="228">
        <v>19.899999999999999</v>
      </c>
      <c r="T19" s="229">
        <v>1.95E-2</v>
      </c>
      <c r="U19" s="231">
        <v>1036.5999999999999</v>
      </c>
      <c r="V19" s="231">
        <v>1027.0999999999999</v>
      </c>
      <c r="W19" s="228">
        <v>9.5</v>
      </c>
      <c r="X19" s="229">
        <v>9.1999999999999998E-3</v>
      </c>
      <c r="Y19" s="228">
        <v>7.2</v>
      </c>
      <c r="Z19" s="228">
        <v>5.8</v>
      </c>
      <c r="AA19" s="228">
        <v>1.4</v>
      </c>
      <c r="AB19" s="229">
        <v>7.0000000000000001E-3</v>
      </c>
      <c r="AC19" s="228">
        <v>7.2</v>
      </c>
      <c r="AD19" s="228">
        <v>5.8</v>
      </c>
      <c r="AE19" s="228">
        <v>1.4</v>
      </c>
      <c r="AF19" s="229">
        <v>7.0000000000000001E-3</v>
      </c>
      <c r="AG19" s="228">
        <v>15.4</v>
      </c>
      <c r="AH19" s="228">
        <v>12.4</v>
      </c>
      <c r="AI19" s="228">
        <v>3</v>
      </c>
      <c r="AJ19" s="229">
        <v>1.4999999999999999E-2</v>
      </c>
      <c r="AK19" s="228">
        <v>12.6</v>
      </c>
      <c r="AL19" s="228">
        <v>20</v>
      </c>
      <c r="AM19" s="228">
        <v>-7.4</v>
      </c>
      <c r="AN19" s="229">
        <v>1.23E-2</v>
      </c>
      <c r="AO19" s="231">
        <v>1024.03</v>
      </c>
      <c r="AP19" s="231">
        <v>1028.5</v>
      </c>
      <c r="AQ19" s="228">
        <v>0</v>
      </c>
      <c r="AR19" s="230">
        <v>4529000</v>
      </c>
      <c r="AS19" s="230">
        <v>2533000</v>
      </c>
      <c r="AT19" s="230">
        <v>1996000</v>
      </c>
      <c r="AU19" s="229">
        <v>0.78800000000000003</v>
      </c>
      <c r="AV19" s="230">
        <v>4238000</v>
      </c>
      <c r="AW19" s="230">
        <v>2266000</v>
      </c>
      <c r="AX19" s="230">
        <v>1972000</v>
      </c>
      <c r="AY19" s="229">
        <v>0.87029999999999996</v>
      </c>
      <c r="AZ19" s="230">
        <v>286000</v>
      </c>
      <c r="BA19" s="230">
        <v>256000</v>
      </c>
      <c r="BB19" s="230">
        <v>30000</v>
      </c>
      <c r="BC19" s="229">
        <v>0.1172</v>
      </c>
      <c r="BD19" s="230">
        <v>5000</v>
      </c>
      <c r="BE19" s="230">
        <v>11000</v>
      </c>
      <c r="BF19" s="230">
        <v>-6000</v>
      </c>
      <c r="BG19" s="229">
        <v>-0.54549999999999998</v>
      </c>
      <c r="BH19" s="230">
        <v>11605000</v>
      </c>
      <c r="BI19" s="230">
        <v>5553000</v>
      </c>
      <c r="BJ19" s="230">
        <v>6052000</v>
      </c>
      <c r="BK19" s="229">
        <v>1.0899000000000001</v>
      </c>
      <c r="BL19" s="230">
        <v>5019000</v>
      </c>
      <c r="BM19" s="230">
        <v>2274000</v>
      </c>
      <c r="BN19" s="230">
        <v>2745000</v>
      </c>
      <c r="BO19" s="229">
        <v>1.2071000000000001</v>
      </c>
      <c r="BP19" s="230">
        <v>21153000</v>
      </c>
      <c r="BQ19" s="230">
        <v>10360000</v>
      </c>
      <c r="BR19" s="230">
        <v>10793000</v>
      </c>
      <c r="BS19" s="229">
        <v>1.0418000000000001</v>
      </c>
      <c r="BT19" s="230">
        <v>2517438</v>
      </c>
      <c r="BU19" s="230">
        <v>1624238</v>
      </c>
      <c r="BV19" s="230">
        <v>893200</v>
      </c>
      <c r="BW19" s="229">
        <v>0.54990000000000006</v>
      </c>
      <c r="BX19" s="230">
        <v>27717000</v>
      </c>
      <c r="BY19" s="230">
        <v>27387000</v>
      </c>
      <c r="BZ19" s="230">
        <v>330000</v>
      </c>
      <c r="CA19" s="229">
        <v>1.2E-2</v>
      </c>
      <c r="CB19" s="230">
        <v>26145000</v>
      </c>
      <c r="CC19" s="230">
        <v>25964000</v>
      </c>
      <c r="CD19" s="230">
        <v>181000</v>
      </c>
      <c r="CE19" s="229">
        <v>7.0000000000000001E-3</v>
      </c>
      <c r="CF19" s="230">
        <v>1552000</v>
      </c>
      <c r="CG19" s="230">
        <v>1406000</v>
      </c>
      <c r="CH19" s="230">
        <v>146000</v>
      </c>
      <c r="CI19" s="229">
        <v>0.1038</v>
      </c>
      <c r="CJ19" s="230">
        <v>20000</v>
      </c>
      <c r="CK19" s="230">
        <v>17000</v>
      </c>
      <c r="CL19" s="230">
        <v>3000</v>
      </c>
      <c r="CM19" s="229">
        <v>0.17649999999999999</v>
      </c>
      <c r="CN19" s="230">
        <v>8129000</v>
      </c>
      <c r="CO19" s="230">
        <v>8159000</v>
      </c>
      <c r="CP19" s="230">
        <v>-30000</v>
      </c>
      <c r="CQ19" s="229">
        <v>-3.7000000000000002E-3</v>
      </c>
      <c r="CR19" s="230">
        <v>4473000</v>
      </c>
      <c r="CS19" s="230">
        <v>4276000</v>
      </c>
      <c r="CT19" s="230">
        <v>197000</v>
      </c>
      <c r="CU19" s="229">
        <v>4.6100000000000002E-2</v>
      </c>
      <c r="CV19" s="230">
        <v>40319000</v>
      </c>
      <c r="CW19" s="230">
        <v>39822000</v>
      </c>
      <c r="CX19" s="230">
        <v>497000</v>
      </c>
      <c r="CY19" s="229">
        <v>1.2500000000000001E-2</v>
      </c>
      <c r="CZ19" s="228">
        <v>31.11</v>
      </c>
      <c r="DA19" s="228">
        <v>31.69</v>
      </c>
      <c r="DB19" s="228">
        <v>-0.57999999999999996</v>
      </c>
      <c r="DC19" s="228">
        <v>-0.57999999999999996</v>
      </c>
      <c r="DD19" s="228">
        <v>37.89</v>
      </c>
      <c r="DE19" s="228">
        <v>37.92</v>
      </c>
      <c r="DF19" s="228">
        <v>-6.78</v>
      </c>
      <c r="DG19" s="228">
        <v>-0.03</v>
      </c>
      <c r="DH19" s="228">
        <v>31.01</v>
      </c>
      <c r="DI19" s="228">
        <v>31.58</v>
      </c>
      <c r="DJ19" s="228">
        <v>-0.56999999999999995</v>
      </c>
      <c r="DK19" s="228">
        <v>-0.56999999999999995</v>
      </c>
      <c r="DL19" s="228">
        <v>31.33</v>
      </c>
      <c r="DM19" s="228">
        <v>31.98</v>
      </c>
      <c r="DN19" s="228">
        <v>-0.65</v>
      </c>
      <c r="DO19" s="228">
        <v>-0.65</v>
      </c>
      <c r="DP19" s="228">
        <v>0.55000000000000004</v>
      </c>
      <c r="DQ19" s="228">
        <v>0.52</v>
      </c>
      <c r="DR19" s="228">
        <v>0.03</v>
      </c>
      <c r="DS19" s="229">
        <v>5.7700000000000001E-2</v>
      </c>
      <c r="DT19" s="231">
        <v>1100</v>
      </c>
      <c r="DU19" s="231">
        <v>1000</v>
      </c>
      <c r="DV19" s="228">
        <v>0.43</v>
      </c>
      <c r="DW19" s="228">
        <v>0.41</v>
      </c>
      <c r="DX19" s="228">
        <v>0.02</v>
      </c>
      <c r="DY19" s="229">
        <v>4.8800000000000003E-2</v>
      </c>
      <c r="DZ19" s="229">
        <v>5.67E-2</v>
      </c>
      <c r="EA19" s="230">
        <v>1423000</v>
      </c>
      <c r="EB19" s="229">
        <v>8.0000000000000002E-3</v>
      </c>
      <c r="EC19" s="229">
        <v>5.67E-2</v>
      </c>
      <c r="ED19" s="228">
        <v>4.47</v>
      </c>
      <c r="EE19" s="229">
        <v>4.4000000000000003E-3</v>
      </c>
      <c r="EF19" s="230">
        <v>1488627</v>
      </c>
      <c r="EG19" s="230">
        <v>942881</v>
      </c>
      <c r="EH19" s="229">
        <v>0.57879999999999998</v>
      </c>
      <c r="EI19" s="229">
        <v>0.59130000000000005</v>
      </c>
      <c r="EJ19" s="231">
        <v>125057.5</v>
      </c>
      <c r="EK19" s="231">
        <v>50766.77</v>
      </c>
      <c r="EL19" s="231">
        <v>46391.68</v>
      </c>
      <c r="EM19" s="231">
        <v>3532</v>
      </c>
      <c r="EN19" s="231">
        <v>222215.95</v>
      </c>
      <c r="EO19" s="231">
        <v>108504.86</v>
      </c>
      <c r="EP19" s="231">
        <v>113711.09</v>
      </c>
      <c r="EQ19" s="229">
        <v>1.048</v>
      </c>
      <c r="ER19" s="231">
        <v>87736</v>
      </c>
      <c r="ES19" s="231">
        <v>43831</v>
      </c>
      <c r="ET19" s="231">
        <v>285946</v>
      </c>
      <c r="EU19" s="231">
        <v>86532345</v>
      </c>
      <c r="EV19" s="231">
        <v>417514</v>
      </c>
      <c r="EW19" s="231">
        <v>407433</v>
      </c>
      <c r="EX19" s="231">
        <v>10081</v>
      </c>
      <c r="EY19" s="229">
        <v>2.47E-2</v>
      </c>
      <c r="EZ19" s="229">
        <v>0.46589999999999998</v>
      </c>
      <c r="FA19" s="227" t="s">
        <v>555</v>
      </c>
      <c r="FB19" s="161">
        <f t="shared" si="0"/>
        <v>1572000</v>
      </c>
    </row>
    <row r="20" spans="1:158" ht="17.25" thickBot="1" x14ac:dyDescent="0.3">
      <c r="A20" s="226">
        <v>46148</v>
      </c>
      <c r="B20" s="227" t="s">
        <v>170</v>
      </c>
      <c r="C20" s="227" t="s">
        <v>171</v>
      </c>
      <c r="D20" s="228">
        <v>550</v>
      </c>
      <c r="E20" s="231">
        <v>1491.4</v>
      </c>
      <c r="F20" s="231">
        <v>1431.7</v>
      </c>
      <c r="G20" s="228">
        <v>59.7</v>
      </c>
      <c r="H20" s="229">
        <v>4.1700000000000001E-2</v>
      </c>
      <c r="I20" s="231">
        <v>1484</v>
      </c>
      <c r="J20" s="231">
        <v>1428.1</v>
      </c>
      <c r="K20" s="228">
        <v>55.9</v>
      </c>
      <c r="L20" s="229">
        <v>3.9100000000000003E-2</v>
      </c>
      <c r="M20" s="231">
        <v>1491.4</v>
      </c>
      <c r="N20" s="231">
        <v>1431.7</v>
      </c>
      <c r="O20" s="228">
        <v>59.7</v>
      </c>
      <c r="P20" s="229">
        <v>4.1700000000000001E-2</v>
      </c>
      <c r="Q20" s="231">
        <v>1499.4</v>
      </c>
      <c r="R20" s="231">
        <v>1439.5</v>
      </c>
      <c r="S20" s="228">
        <v>59.9</v>
      </c>
      <c r="T20" s="229">
        <v>4.1599999999999998E-2</v>
      </c>
      <c r="U20" s="231">
        <v>1495.6</v>
      </c>
      <c r="V20" s="231">
        <v>1440.2</v>
      </c>
      <c r="W20" s="228">
        <v>55.4</v>
      </c>
      <c r="X20" s="229">
        <v>3.85E-2</v>
      </c>
      <c r="Y20" s="228">
        <v>7.4</v>
      </c>
      <c r="Z20" s="228">
        <v>3.6</v>
      </c>
      <c r="AA20" s="228">
        <v>3.8</v>
      </c>
      <c r="AB20" s="229">
        <v>5.0000000000000001E-3</v>
      </c>
      <c r="AC20" s="228">
        <v>7.4</v>
      </c>
      <c r="AD20" s="228">
        <v>3.6</v>
      </c>
      <c r="AE20" s="228">
        <v>3.8</v>
      </c>
      <c r="AF20" s="229">
        <v>5.0000000000000001E-3</v>
      </c>
      <c r="AG20" s="228">
        <v>15.4</v>
      </c>
      <c r="AH20" s="228">
        <v>11.4</v>
      </c>
      <c r="AI20" s="228">
        <v>4</v>
      </c>
      <c r="AJ20" s="229">
        <v>1.04E-2</v>
      </c>
      <c r="AK20" s="228">
        <v>11.6</v>
      </c>
      <c r="AL20" s="228">
        <v>12.1</v>
      </c>
      <c r="AM20" s="228">
        <v>-0.5</v>
      </c>
      <c r="AN20" s="229">
        <v>7.7999999999999996E-3</v>
      </c>
      <c r="AO20" s="231">
        <v>1474.57</v>
      </c>
      <c r="AP20" s="231">
        <v>1484.97</v>
      </c>
      <c r="AQ20" s="228">
        <v>0</v>
      </c>
      <c r="AR20" s="230">
        <v>4037550</v>
      </c>
      <c r="AS20" s="230">
        <v>1828200</v>
      </c>
      <c r="AT20" s="230">
        <v>2209350</v>
      </c>
      <c r="AU20" s="229">
        <v>1.2084999999999999</v>
      </c>
      <c r="AV20" s="230">
        <v>3873650</v>
      </c>
      <c r="AW20" s="230">
        <v>1783100</v>
      </c>
      <c r="AX20" s="230">
        <v>2090550</v>
      </c>
      <c r="AY20" s="229">
        <v>1.1724000000000001</v>
      </c>
      <c r="AZ20" s="230">
        <v>143000</v>
      </c>
      <c r="BA20" s="230">
        <v>40150</v>
      </c>
      <c r="BB20" s="230">
        <v>102850</v>
      </c>
      <c r="BC20" s="229">
        <v>2.5615999999999999</v>
      </c>
      <c r="BD20" s="230">
        <v>20900</v>
      </c>
      <c r="BE20" s="230">
        <v>4950</v>
      </c>
      <c r="BF20" s="230">
        <v>15950</v>
      </c>
      <c r="BG20" s="229">
        <v>3.2222</v>
      </c>
      <c r="BH20" s="230">
        <v>12554300</v>
      </c>
      <c r="BI20" s="230">
        <v>6734750</v>
      </c>
      <c r="BJ20" s="230">
        <v>5819550</v>
      </c>
      <c r="BK20" s="229">
        <v>0.86409999999999998</v>
      </c>
      <c r="BL20" s="230">
        <v>5190900</v>
      </c>
      <c r="BM20" s="230">
        <v>1691250</v>
      </c>
      <c r="BN20" s="230">
        <v>3499650</v>
      </c>
      <c r="BO20" s="229">
        <v>2.0693000000000001</v>
      </c>
      <c r="BP20" s="230">
        <v>21782750</v>
      </c>
      <c r="BQ20" s="230">
        <v>10254200</v>
      </c>
      <c r="BR20" s="230">
        <v>11528550</v>
      </c>
      <c r="BS20" s="229">
        <v>1.1243000000000001</v>
      </c>
      <c r="BT20" s="230">
        <v>2506513</v>
      </c>
      <c r="BU20" s="230">
        <v>1879791</v>
      </c>
      <c r="BV20" s="230">
        <v>626722</v>
      </c>
      <c r="BW20" s="229">
        <v>0.33339999999999997</v>
      </c>
      <c r="BX20" s="230">
        <v>18731900</v>
      </c>
      <c r="BY20" s="230">
        <v>19241200</v>
      </c>
      <c r="BZ20" s="230">
        <v>-509300</v>
      </c>
      <c r="CA20" s="229">
        <v>-2.6499999999999999E-2</v>
      </c>
      <c r="CB20" s="230">
        <v>18588900</v>
      </c>
      <c r="CC20" s="230">
        <v>19179600</v>
      </c>
      <c r="CD20" s="230">
        <v>-590700</v>
      </c>
      <c r="CE20" s="229">
        <v>-3.0800000000000001E-2</v>
      </c>
      <c r="CF20" s="230">
        <v>128150</v>
      </c>
      <c r="CG20" s="230">
        <v>56650</v>
      </c>
      <c r="CH20" s="230">
        <v>71500</v>
      </c>
      <c r="CI20" s="229">
        <v>1.2621</v>
      </c>
      <c r="CJ20" s="230">
        <v>14850</v>
      </c>
      <c r="CK20" s="230">
        <v>4950</v>
      </c>
      <c r="CL20" s="230">
        <v>9900</v>
      </c>
      <c r="CM20" s="229">
        <v>2</v>
      </c>
      <c r="CN20" s="230">
        <v>3065150</v>
      </c>
      <c r="CO20" s="230">
        <v>2843500</v>
      </c>
      <c r="CP20" s="230">
        <v>221650</v>
      </c>
      <c r="CQ20" s="229">
        <v>7.7899999999999997E-2</v>
      </c>
      <c r="CR20" s="230">
        <v>2463450</v>
      </c>
      <c r="CS20" s="230">
        <v>1694000</v>
      </c>
      <c r="CT20" s="230">
        <v>769450</v>
      </c>
      <c r="CU20" s="229">
        <v>0.45419999999999999</v>
      </c>
      <c r="CV20" s="230">
        <v>24260500</v>
      </c>
      <c r="CW20" s="230">
        <v>23778700</v>
      </c>
      <c r="CX20" s="230">
        <v>481800</v>
      </c>
      <c r="CY20" s="229">
        <v>2.0299999999999999E-2</v>
      </c>
      <c r="CZ20" s="228">
        <v>29.75</v>
      </c>
      <c r="DA20" s="228">
        <v>31.39</v>
      </c>
      <c r="DB20" s="228">
        <v>-1.64</v>
      </c>
      <c r="DC20" s="228">
        <v>-1.64</v>
      </c>
      <c r="DD20" s="228">
        <v>33.619999999999997</v>
      </c>
      <c r="DE20" s="228">
        <v>33.270000000000003</v>
      </c>
      <c r="DF20" s="228">
        <v>-3.87</v>
      </c>
      <c r="DG20" s="228">
        <v>0.35</v>
      </c>
      <c r="DH20" s="228">
        <v>29.05</v>
      </c>
      <c r="DI20" s="228">
        <v>31.24</v>
      </c>
      <c r="DJ20" s="228">
        <v>-2.19</v>
      </c>
      <c r="DK20" s="228">
        <v>-2.19</v>
      </c>
      <c r="DL20" s="228">
        <v>31.44</v>
      </c>
      <c r="DM20" s="228">
        <v>31.96</v>
      </c>
      <c r="DN20" s="228">
        <v>-0.52</v>
      </c>
      <c r="DO20" s="228">
        <v>-0.52</v>
      </c>
      <c r="DP20" s="228">
        <v>0.8</v>
      </c>
      <c r="DQ20" s="228">
        <v>0.6</v>
      </c>
      <c r="DR20" s="228">
        <v>0.2</v>
      </c>
      <c r="DS20" s="229">
        <v>0.33329999999999999</v>
      </c>
      <c r="DT20" s="231">
        <v>1400</v>
      </c>
      <c r="DU20" s="231">
        <v>1400</v>
      </c>
      <c r="DV20" s="228">
        <v>0.41</v>
      </c>
      <c r="DW20" s="228">
        <v>0.25</v>
      </c>
      <c r="DX20" s="228">
        <v>0.16</v>
      </c>
      <c r="DY20" s="229">
        <v>0.64</v>
      </c>
      <c r="DZ20" s="229">
        <v>7.6E-3</v>
      </c>
      <c r="EA20" s="230">
        <v>61600</v>
      </c>
      <c r="EB20" s="229">
        <v>5.4000000000000003E-3</v>
      </c>
      <c r="EC20" s="229">
        <v>7.6E-3</v>
      </c>
      <c r="ED20" s="228">
        <v>10.4</v>
      </c>
      <c r="EE20" s="229">
        <v>7.1000000000000004E-3</v>
      </c>
      <c r="EF20" s="230">
        <v>1304405</v>
      </c>
      <c r="EG20" s="230">
        <v>880145</v>
      </c>
      <c r="EH20" s="229">
        <v>0.48199999999999998</v>
      </c>
      <c r="EI20" s="229">
        <v>0.52039999999999997</v>
      </c>
      <c r="EJ20" s="231">
        <v>192295.45</v>
      </c>
      <c r="EK20" s="231">
        <v>74150.69</v>
      </c>
      <c r="EL20" s="231">
        <v>59552.639999999999</v>
      </c>
      <c r="EM20" s="231">
        <v>2994</v>
      </c>
      <c r="EN20" s="231">
        <v>325998.78000000003</v>
      </c>
      <c r="EO20" s="231">
        <v>148987.43</v>
      </c>
      <c r="EP20" s="231">
        <v>177011.35</v>
      </c>
      <c r="EQ20" s="229">
        <v>1.1880999999999999</v>
      </c>
      <c r="ER20" s="231">
        <v>45299</v>
      </c>
      <c r="ES20" s="231">
        <v>34151</v>
      </c>
      <c r="ET20" s="231">
        <v>279378</v>
      </c>
      <c r="EU20" s="231">
        <v>41977935</v>
      </c>
      <c r="EV20" s="231">
        <v>358829</v>
      </c>
      <c r="EW20" s="231">
        <v>339934</v>
      </c>
      <c r="EX20" s="231">
        <v>18895</v>
      </c>
      <c r="EY20" s="229">
        <v>5.5599999999999997E-2</v>
      </c>
      <c r="EZ20" s="229">
        <v>0.57789999999999997</v>
      </c>
      <c r="FA20" s="227" t="s">
        <v>691</v>
      </c>
      <c r="FB20" s="161">
        <f t="shared" si="0"/>
        <v>143000</v>
      </c>
    </row>
    <row r="21" spans="1:158" ht="17.25" thickBot="1" x14ac:dyDescent="0.3">
      <c r="A21" s="226">
        <v>46148</v>
      </c>
      <c r="B21" s="227" t="s">
        <v>172</v>
      </c>
      <c r="C21" s="227" t="s">
        <v>173</v>
      </c>
      <c r="D21" s="228">
        <v>625</v>
      </c>
      <c r="E21" s="231">
        <v>1304.0999999999999</v>
      </c>
      <c r="F21" s="231">
        <v>1265.7</v>
      </c>
      <c r="G21" s="228">
        <v>38.4</v>
      </c>
      <c r="H21" s="229">
        <v>3.0300000000000001E-2</v>
      </c>
      <c r="I21" s="231">
        <v>1294.2</v>
      </c>
      <c r="J21" s="231">
        <v>1259.7</v>
      </c>
      <c r="K21" s="228">
        <v>34.5</v>
      </c>
      <c r="L21" s="229">
        <v>2.7400000000000001E-2</v>
      </c>
      <c r="M21" s="231">
        <v>1304.0999999999999</v>
      </c>
      <c r="N21" s="231">
        <v>1265.7</v>
      </c>
      <c r="O21" s="228">
        <v>38.4</v>
      </c>
      <c r="P21" s="229">
        <v>3.0300000000000001E-2</v>
      </c>
      <c r="Q21" s="231">
        <v>1312.4</v>
      </c>
      <c r="R21" s="231">
        <v>1275.7</v>
      </c>
      <c r="S21" s="228">
        <v>36.700000000000003</v>
      </c>
      <c r="T21" s="229">
        <v>2.8799999999999999E-2</v>
      </c>
      <c r="U21" s="231">
        <v>1317.9</v>
      </c>
      <c r="V21" s="231">
        <v>1279.5999999999999</v>
      </c>
      <c r="W21" s="228">
        <v>38.299999999999997</v>
      </c>
      <c r="X21" s="229">
        <v>2.9899999999999999E-2</v>
      </c>
      <c r="Y21" s="228">
        <v>9.9</v>
      </c>
      <c r="Z21" s="228">
        <v>6</v>
      </c>
      <c r="AA21" s="228">
        <v>3.9</v>
      </c>
      <c r="AB21" s="229">
        <v>7.6E-3</v>
      </c>
      <c r="AC21" s="228">
        <v>9.9</v>
      </c>
      <c r="AD21" s="228">
        <v>6</v>
      </c>
      <c r="AE21" s="228">
        <v>3.9</v>
      </c>
      <c r="AF21" s="229">
        <v>7.6E-3</v>
      </c>
      <c r="AG21" s="228">
        <v>18.2</v>
      </c>
      <c r="AH21" s="228">
        <v>16</v>
      </c>
      <c r="AI21" s="228">
        <v>2.2000000000000002</v>
      </c>
      <c r="AJ21" s="229">
        <v>1.41E-2</v>
      </c>
      <c r="AK21" s="228">
        <v>23.7</v>
      </c>
      <c r="AL21" s="228">
        <v>19.899999999999999</v>
      </c>
      <c r="AM21" s="228">
        <v>3.8</v>
      </c>
      <c r="AN21" s="229">
        <v>1.83E-2</v>
      </c>
      <c r="AO21" s="231">
        <v>1288.99</v>
      </c>
      <c r="AP21" s="231">
        <v>1289.1500000000001</v>
      </c>
      <c r="AQ21" s="228">
        <v>0</v>
      </c>
      <c r="AR21" s="230">
        <v>8875625</v>
      </c>
      <c r="AS21" s="230">
        <v>6811875</v>
      </c>
      <c r="AT21" s="230">
        <v>2063750</v>
      </c>
      <c r="AU21" s="229">
        <v>0.30299999999999999</v>
      </c>
      <c r="AV21" s="230">
        <v>8053125</v>
      </c>
      <c r="AW21" s="230">
        <v>5653750</v>
      </c>
      <c r="AX21" s="230">
        <v>2399375</v>
      </c>
      <c r="AY21" s="229">
        <v>0.4244</v>
      </c>
      <c r="AZ21" s="230">
        <v>768125</v>
      </c>
      <c r="BA21" s="230">
        <v>1120625</v>
      </c>
      <c r="BB21" s="230">
        <v>-352500</v>
      </c>
      <c r="BC21" s="229">
        <v>-0.31459999999999999</v>
      </c>
      <c r="BD21" s="230">
        <v>54375</v>
      </c>
      <c r="BE21" s="230">
        <v>37500</v>
      </c>
      <c r="BF21" s="230">
        <v>16875</v>
      </c>
      <c r="BG21" s="229">
        <v>0.45</v>
      </c>
      <c r="BH21" s="230">
        <v>35583750</v>
      </c>
      <c r="BI21" s="230">
        <v>18495625</v>
      </c>
      <c r="BJ21" s="230">
        <v>17088125</v>
      </c>
      <c r="BK21" s="229">
        <v>0.92390000000000005</v>
      </c>
      <c r="BL21" s="230">
        <v>19863125</v>
      </c>
      <c r="BM21" s="230">
        <v>8957500</v>
      </c>
      <c r="BN21" s="230">
        <v>10905625</v>
      </c>
      <c r="BO21" s="229">
        <v>1.2175</v>
      </c>
      <c r="BP21" s="230">
        <v>64322500</v>
      </c>
      <c r="BQ21" s="230">
        <v>34265000</v>
      </c>
      <c r="BR21" s="230">
        <v>30057500</v>
      </c>
      <c r="BS21" s="229">
        <v>0.87719999999999998</v>
      </c>
      <c r="BT21" s="230">
        <v>7476815</v>
      </c>
      <c r="BU21" s="230">
        <v>10690137</v>
      </c>
      <c r="BV21" s="230">
        <v>-3213322</v>
      </c>
      <c r="BW21" s="229">
        <v>-0.30059999999999998</v>
      </c>
      <c r="BX21" s="230">
        <v>68474375</v>
      </c>
      <c r="BY21" s="230">
        <v>67488125</v>
      </c>
      <c r="BZ21" s="230">
        <v>986250</v>
      </c>
      <c r="CA21" s="229">
        <v>1.46E-2</v>
      </c>
      <c r="CB21" s="230">
        <v>59293125</v>
      </c>
      <c r="CC21" s="230">
        <v>58832500</v>
      </c>
      <c r="CD21" s="230">
        <v>460625</v>
      </c>
      <c r="CE21" s="229">
        <v>7.7999999999999996E-3</v>
      </c>
      <c r="CF21" s="230">
        <v>9074375</v>
      </c>
      <c r="CG21" s="230">
        <v>8573125</v>
      </c>
      <c r="CH21" s="230">
        <v>501250</v>
      </c>
      <c r="CI21" s="229">
        <v>5.8500000000000003E-2</v>
      </c>
      <c r="CJ21" s="230">
        <v>106875</v>
      </c>
      <c r="CK21" s="230">
        <v>82500</v>
      </c>
      <c r="CL21" s="230">
        <v>24375</v>
      </c>
      <c r="CM21" s="229">
        <v>0.29549999999999998</v>
      </c>
      <c r="CN21" s="230">
        <v>15970000</v>
      </c>
      <c r="CO21" s="230">
        <v>16861875</v>
      </c>
      <c r="CP21" s="230">
        <v>-891875</v>
      </c>
      <c r="CQ21" s="229">
        <v>-5.2900000000000003E-2</v>
      </c>
      <c r="CR21" s="230">
        <v>11578750</v>
      </c>
      <c r="CS21" s="230">
        <v>11182500</v>
      </c>
      <c r="CT21" s="230">
        <v>396250</v>
      </c>
      <c r="CU21" s="229">
        <v>3.5400000000000001E-2</v>
      </c>
      <c r="CV21" s="230">
        <v>96023125</v>
      </c>
      <c r="CW21" s="230">
        <v>95532500</v>
      </c>
      <c r="CX21" s="230">
        <v>490625</v>
      </c>
      <c r="CY21" s="229">
        <v>5.1000000000000004E-3</v>
      </c>
      <c r="CZ21" s="228">
        <v>24.25</v>
      </c>
      <c r="DA21" s="228">
        <v>25.91</v>
      </c>
      <c r="DB21" s="228">
        <v>-1.66</v>
      </c>
      <c r="DC21" s="228">
        <v>-1.66</v>
      </c>
      <c r="DD21" s="228">
        <v>30.21</v>
      </c>
      <c r="DE21" s="228">
        <v>30.07</v>
      </c>
      <c r="DF21" s="228">
        <v>-5.96</v>
      </c>
      <c r="DG21" s="228">
        <v>0.14000000000000001</v>
      </c>
      <c r="DH21" s="228">
        <v>23.55</v>
      </c>
      <c r="DI21" s="228">
        <v>25.68</v>
      </c>
      <c r="DJ21" s="228">
        <v>-2.13</v>
      </c>
      <c r="DK21" s="228">
        <v>-2.13</v>
      </c>
      <c r="DL21" s="228">
        <v>25.51</v>
      </c>
      <c r="DM21" s="228">
        <v>26.39</v>
      </c>
      <c r="DN21" s="228">
        <v>-0.88</v>
      </c>
      <c r="DO21" s="228">
        <v>-0.88</v>
      </c>
      <c r="DP21" s="228">
        <v>0.73</v>
      </c>
      <c r="DQ21" s="228">
        <v>0.66</v>
      </c>
      <c r="DR21" s="228">
        <v>7.0000000000000007E-2</v>
      </c>
      <c r="DS21" s="229">
        <v>0.1061</v>
      </c>
      <c r="DT21" s="231">
        <v>1300</v>
      </c>
      <c r="DU21" s="231">
        <v>1200</v>
      </c>
      <c r="DV21" s="228">
        <v>0.56000000000000005</v>
      </c>
      <c r="DW21" s="228">
        <v>0.48</v>
      </c>
      <c r="DX21" s="228">
        <v>0.08</v>
      </c>
      <c r="DY21" s="229">
        <v>0.16669999999999999</v>
      </c>
      <c r="DZ21" s="229">
        <v>0.1341</v>
      </c>
      <c r="EA21" s="230">
        <v>8655625</v>
      </c>
      <c r="EB21" s="229">
        <v>6.4000000000000003E-3</v>
      </c>
      <c r="EC21" s="229">
        <v>0.1341</v>
      </c>
      <c r="ED21" s="228">
        <v>0.16</v>
      </c>
      <c r="EE21" s="229">
        <v>1E-4</v>
      </c>
      <c r="EF21" s="230">
        <v>4719280</v>
      </c>
      <c r="EG21" s="230">
        <v>5580368</v>
      </c>
      <c r="EH21" s="229">
        <v>-0.15429999999999999</v>
      </c>
      <c r="EI21" s="229">
        <v>0.63119999999999998</v>
      </c>
      <c r="EJ21" s="231">
        <v>476898.76</v>
      </c>
      <c r="EK21" s="231">
        <v>251853.66</v>
      </c>
      <c r="EL21" s="231">
        <v>114413.45</v>
      </c>
      <c r="EM21" s="231">
        <v>12619</v>
      </c>
      <c r="EN21" s="231">
        <v>843165.87</v>
      </c>
      <c r="EO21" s="231">
        <v>447176.21</v>
      </c>
      <c r="EP21" s="231">
        <v>395989.66</v>
      </c>
      <c r="EQ21" s="229">
        <v>0.88549999999999995</v>
      </c>
      <c r="ER21" s="231">
        <v>215027</v>
      </c>
      <c r="ES21" s="231">
        <v>144385</v>
      </c>
      <c r="ET21" s="231">
        <v>893742</v>
      </c>
      <c r="EU21" s="231">
        <v>331596880</v>
      </c>
      <c r="EV21" s="231">
        <v>1253154</v>
      </c>
      <c r="EW21" s="231">
        <v>1221809</v>
      </c>
      <c r="EX21" s="231">
        <v>31345</v>
      </c>
      <c r="EY21" s="229">
        <v>2.5700000000000001E-2</v>
      </c>
      <c r="EZ21" s="229">
        <v>0.28960000000000002</v>
      </c>
      <c r="FA21" s="227" t="s">
        <v>555</v>
      </c>
      <c r="FB21" s="161">
        <f t="shared" si="0"/>
        <v>9181250</v>
      </c>
    </row>
    <row r="22" spans="1:158" ht="17.25" thickBot="1" x14ac:dyDescent="0.3">
      <c r="A22" s="226">
        <v>46148</v>
      </c>
      <c r="B22" s="227" t="s">
        <v>162</v>
      </c>
      <c r="C22" s="227" t="s">
        <v>174</v>
      </c>
      <c r="D22" s="228">
        <v>75</v>
      </c>
      <c r="E22" s="231">
        <v>10361</v>
      </c>
      <c r="F22" s="231">
        <v>10090</v>
      </c>
      <c r="G22" s="228">
        <v>271</v>
      </c>
      <c r="H22" s="229">
        <v>2.69E-2</v>
      </c>
      <c r="I22" s="231">
        <v>10319</v>
      </c>
      <c r="J22" s="231">
        <v>10046</v>
      </c>
      <c r="K22" s="228">
        <v>273</v>
      </c>
      <c r="L22" s="229">
        <v>2.7199999999999998E-2</v>
      </c>
      <c r="M22" s="231">
        <v>10361</v>
      </c>
      <c r="N22" s="231">
        <v>10090</v>
      </c>
      <c r="O22" s="228">
        <v>271</v>
      </c>
      <c r="P22" s="229">
        <v>2.69E-2</v>
      </c>
      <c r="Q22" s="231">
        <v>10238.5</v>
      </c>
      <c r="R22" s="231">
        <v>10000</v>
      </c>
      <c r="S22" s="228">
        <v>238.5</v>
      </c>
      <c r="T22" s="229">
        <v>2.3800000000000002E-2</v>
      </c>
      <c r="U22" s="231">
        <v>10155.5</v>
      </c>
      <c r="V22" s="231">
        <v>9900</v>
      </c>
      <c r="W22" s="228">
        <v>255.5</v>
      </c>
      <c r="X22" s="229">
        <v>2.58E-2</v>
      </c>
      <c r="Y22" s="228">
        <v>42</v>
      </c>
      <c r="Z22" s="228">
        <v>44</v>
      </c>
      <c r="AA22" s="228">
        <v>-2</v>
      </c>
      <c r="AB22" s="229">
        <v>4.1000000000000003E-3</v>
      </c>
      <c r="AC22" s="228">
        <v>42</v>
      </c>
      <c r="AD22" s="228">
        <v>44</v>
      </c>
      <c r="AE22" s="228">
        <v>-2</v>
      </c>
      <c r="AF22" s="229">
        <v>4.1000000000000003E-3</v>
      </c>
      <c r="AG22" s="228">
        <v>-80.5</v>
      </c>
      <c r="AH22" s="228">
        <v>-46</v>
      </c>
      <c r="AI22" s="228">
        <v>-34.5</v>
      </c>
      <c r="AJ22" s="229">
        <v>-7.7999999999999996E-3</v>
      </c>
      <c r="AK22" s="228">
        <v>-163.5</v>
      </c>
      <c r="AL22" s="228">
        <v>-146</v>
      </c>
      <c r="AM22" s="228">
        <v>-17.5</v>
      </c>
      <c r="AN22" s="229">
        <v>-1.5800000000000002E-2</v>
      </c>
      <c r="AO22" s="231">
        <v>10272.719999999999</v>
      </c>
      <c r="AP22" s="231">
        <v>10156.07</v>
      </c>
      <c r="AQ22" s="228">
        <v>0</v>
      </c>
      <c r="AR22" s="230">
        <v>677775</v>
      </c>
      <c r="AS22" s="230">
        <v>338850</v>
      </c>
      <c r="AT22" s="230">
        <v>338925</v>
      </c>
      <c r="AU22" s="229">
        <v>1.0002</v>
      </c>
      <c r="AV22" s="230">
        <v>623625</v>
      </c>
      <c r="AW22" s="230">
        <v>314925</v>
      </c>
      <c r="AX22" s="230">
        <v>308700</v>
      </c>
      <c r="AY22" s="229">
        <v>0.98019999999999996</v>
      </c>
      <c r="AZ22" s="230">
        <v>48900</v>
      </c>
      <c r="BA22" s="230">
        <v>20100</v>
      </c>
      <c r="BB22" s="230">
        <v>28800</v>
      </c>
      <c r="BC22" s="229">
        <v>1.4328000000000001</v>
      </c>
      <c r="BD22" s="230">
        <v>5250</v>
      </c>
      <c r="BE22" s="230">
        <v>3825</v>
      </c>
      <c r="BF22" s="230">
        <v>1425</v>
      </c>
      <c r="BG22" s="229">
        <v>0.3725</v>
      </c>
      <c r="BH22" s="230">
        <v>6194850</v>
      </c>
      <c r="BI22" s="230">
        <v>1538925</v>
      </c>
      <c r="BJ22" s="230">
        <v>4655925</v>
      </c>
      <c r="BK22" s="229">
        <v>3.0253999999999999</v>
      </c>
      <c r="BL22" s="230">
        <v>2663175</v>
      </c>
      <c r="BM22" s="230">
        <v>1065450</v>
      </c>
      <c r="BN22" s="230">
        <v>1597725</v>
      </c>
      <c r="BO22" s="229">
        <v>1.4996</v>
      </c>
      <c r="BP22" s="230">
        <v>9535800</v>
      </c>
      <c r="BQ22" s="230">
        <v>2943225</v>
      </c>
      <c r="BR22" s="230">
        <v>6592575</v>
      </c>
      <c r="BS22" s="229">
        <v>2.2399</v>
      </c>
      <c r="BT22" s="230">
        <v>410572</v>
      </c>
      <c r="BU22" s="230">
        <v>239350</v>
      </c>
      <c r="BV22" s="230">
        <v>171222</v>
      </c>
      <c r="BW22" s="229">
        <v>0.71540000000000004</v>
      </c>
      <c r="BX22" s="230">
        <v>2649225</v>
      </c>
      <c r="BY22" s="230">
        <v>2628300</v>
      </c>
      <c r="BZ22" s="230">
        <v>20925</v>
      </c>
      <c r="CA22" s="229">
        <v>8.0000000000000002E-3</v>
      </c>
      <c r="CB22" s="230">
        <v>2510250</v>
      </c>
      <c r="CC22" s="230">
        <v>2502825</v>
      </c>
      <c r="CD22" s="230">
        <v>7425</v>
      </c>
      <c r="CE22" s="229">
        <v>3.0000000000000001E-3</v>
      </c>
      <c r="CF22" s="230">
        <v>130275</v>
      </c>
      <c r="CG22" s="230">
        <v>118125</v>
      </c>
      <c r="CH22" s="230">
        <v>12150</v>
      </c>
      <c r="CI22" s="229">
        <v>0.10290000000000001</v>
      </c>
      <c r="CJ22" s="230">
        <v>8700</v>
      </c>
      <c r="CK22" s="230">
        <v>7350</v>
      </c>
      <c r="CL22" s="230">
        <v>1350</v>
      </c>
      <c r="CM22" s="229">
        <v>0.1837</v>
      </c>
      <c r="CN22" s="230">
        <v>1755150</v>
      </c>
      <c r="CO22" s="230">
        <v>1490025</v>
      </c>
      <c r="CP22" s="230">
        <v>265125</v>
      </c>
      <c r="CQ22" s="229">
        <v>0.1779</v>
      </c>
      <c r="CR22" s="230">
        <v>1343625</v>
      </c>
      <c r="CS22" s="230">
        <v>1174575</v>
      </c>
      <c r="CT22" s="230">
        <v>169050</v>
      </c>
      <c r="CU22" s="229">
        <v>0.1439</v>
      </c>
      <c r="CV22" s="230">
        <v>5748000</v>
      </c>
      <c r="CW22" s="230">
        <v>5292900</v>
      </c>
      <c r="CX22" s="230">
        <v>455100</v>
      </c>
      <c r="CY22" s="229">
        <v>8.5999999999999993E-2</v>
      </c>
      <c r="CZ22" s="228">
        <v>32.1</v>
      </c>
      <c r="DA22" s="228">
        <v>32.47</v>
      </c>
      <c r="DB22" s="228">
        <v>-0.37</v>
      </c>
      <c r="DC22" s="228">
        <v>-0.37</v>
      </c>
      <c r="DD22" s="228">
        <v>30.05</v>
      </c>
      <c r="DE22" s="228">
        <v>29.91</v>
      </c>
      <c r="DF22" s="228">
        <v>2.0499999999999998</v>
      </c>
      <c r="DG22" s="228">
        <v>0.14000000000000001</v>
      </c>
      <c r="DH22" s="228">
        <v>31.85</v>
      </c>
      <c r="DI22" s="228">
        <v>32.49</v>
      </c>
      <c r="DJ22" s="228">
        <v>-0.64</v>
      </c>
      <c r="DK22" s="228">
        <v>-0.64</v>
      </c>
      <c r="DL22" s="228">
        <v>32.67</v>
      </c>
      <c r="DM22" s="228">
        <v>32.44</v>
      </c>
      <c r="DN22" s="228">
        <v>0.23</v>
      </c>
      <c r="DO22" s="228">
        <v>0.23</v>
      </c>
      <c r="DP22" s="228">
        <v>0.77</v>
      </c>
      <c r="DQ22" s="228">
        <v>0.79</v>
      </c>
      <c r="DR22" s="228">
        <v>-0.02</v>
      </c>
      <c r="DS22" s="229">
        <v>-2.53E-2</v>
      </c>
      <c r="DT22" s="231">
        <v>10500</v>
      </c>
      <c r="DU22" s="231">
        <v>9000</v>
      </c>
      <c r="DV22" s="228">
        <v>0.43</v>
      </c>
      <c r="DW22" s="228">
        <v>0.69</v>
      </c>
      <c r="DX22" s="228">
        <v>-0.26</v>
      </c>
      <c r="DY22" s="229">
        <v>-0.37680000000000002</v>
      </c>
      <c r="DZ22" s="229">
        <v>5.2499999999999998E-2</v>
      </c>
      <c r="EA22" s="230">
        <v>125475</v>
      </c>
      <c r="EB22" s="229">
        <v>-1.18E-2</v>
      </c>
      <c r="EC22" s="229">
        <v>5.2499999999999998E-2</v>
      </c>
      <c r="ED22" s="228">
        <v>-116.65</v>
      </c>
      <c r="EE22" s="229">
        <v>-1.14E-2</v>
      </c>
      <c r="EF22" s="230">
        <v>128885</v>
      </c>
      <c r="EG22" s="230">
        <v>100934</v>
      </c>
      <c r="EH22" s="229">
        <v>0.27689999999999998</v>
      </c>
      <c r="EI22" s="229">
        <v>0.31390000000000001</v>
      </c>
      <c r="EJ22" s="231">
        <v>674907.58</v>
      </c>
      <c r="EK22" s="231">
        <v>261854.14</v>
      </c>
      <c r="EL22" s="231">
        <v>69558.98</v>
      </c>
      <c r="EM22" s="231">
        <v>10387</v>
      </c>
      <c r="EN22" s="231">
        <v>1006320.7</v>
      </c>
      <c r="EO22" s="231">
        <v>301840.5</v>
      </c>
      <c r="EP22" s="231">
        <v>704480.2</v>
      </c>
      <c r="EQ22" s="229">
        <v>2.3338999999999999</v>
      </c>
      <c r="ER22" s="231">
        <v>184373</v>
      </c>
      <c r="ES22" s="231">
        <v>128059</v>
      </c>
      <c r="ET22" s="231">
        <v>274309</v>
      </c>
      <c r="EU22" s="231">
        <v>12553818</v>
      </c>
      <c r="EV22" s="231">
        <v>586741</v>
      </c>
      <c r="EW22" s="231">
        <v>530493</v>
      </c>
      <c r="EX22" s="231">
        <v>56248</v>
      </c>
      <c r="EY22" s="229">
        <v>0.106</v>
      </c>
      <c r="EZ22" s="229">
        <v>0.45789999999999997</v>
      </c>
      <c r="FA22" s="227" t="s">
        <v>555</v>
      </c>
      <c r="FB22" s="161">
        <f t="shared" si="0"/>
        <v>138975</v>
      </c>
    </row>
    <row r="23" spans="1:158" ht="17.25" thickBot="1" x14ac:dyDescent="0.3">
      <c r="A23" s="226">
        <v>46148</v>
      </c>
      <c r="B23" s="227" t="s">
        <v>175</v>
      </c>
      <c r="C23" s="227" t="s">
        <v>176</v>
      </c>
      <c r="D23" s="228">
        <v>250</v>
      </c>
      <c r="E23" s="231">
        <v>1846.9</v>
      </c>
      <c r="F23" s="231">
        <v>1800</v>
      </c>
      <c r="G23" s="228">
        <v>46.9</v>
      </c>
      <c r="H23" s="229">
        <v>2.6100000000000002E-2</v>
      </c>
      <c r="I23" s="231">
        <v>1836.1</v>
      </c>
      <c r="J23" s="231">
        <v>1794.6</v>
      </c>
      <c r="K23" s="228">
        <v>41.5</v>
      </c>
      <c r="L23" s="229">
        <v>2.3099999999999999E-2</v>
      </c>
      <c r="M23" s="231">
        <v>1846.9</v>
      </c>
      <c r="N23" s="231">
        <v>1800</v>
      </c>
      <c r="O23" s="228">
        <v>46.9</v>
      </c>
      <c r="P23" s="229">
        <v>2.6100000000000002E-2</v>
      </c>
      <c r="Q23" s="231">
        <v>1856.9</v>
      </c>
      <c r="R23" s="231">
        <v>1812</v>
      </c>
      <c r="S23" s="228">
        <v>44.9</v>
      </c>
      <c r="T23" s="229">
        <v>2.4799999999999999E-2</v>
      </c>
      <c r="U23" s="231">
        <v>1868.7</v>
      </c>
      <c r="V23" s="231">
        <v>1820.4</v>
      </c>
      <c r="W23" s="228">
        <v>48.3</v>
      </c>
      <c r="X23" s="229">
        <v>2.6499999999999999E-2</v>
      </c>
      <c r="Y23" s="228">
        <v>10.8</v>
      </c>
      <c r="Z23" s="228">
        <v>5.4</v>
      </c>
      <c r="AA23" s="228">
        <v>5.4</v>
      </c>
      <c r="AB23" s="229">
        <v>5.8999999999999999E-3</v>
      </c>
      <c r="AC23" s="228">
        <v>10.8</v>
      </c>
      <c r="AD23" s="228">
        <v>5.4</v>
      </c>
      <c r="AE23" s="228">
        <v>5.4</v>
      </c>
      <c r="AF23" s="229">
        <v>5.8999999999999999E-3</v>
      </c>
      <c r="AG23" s="228">
        <v>20.8</v>
      </c>
      <c r="AH23" s="228">
        <v>17.399999999999999</v>
      </c>
      <c r="AI23" s="228">
        <v>3.4</v>
      </c>
      <c r="AJ23" s="229">
        <v>1.1299999999999999E-2</v>
      </c>
      <c r="AK23" s="228">
        <v>32.6</v>
      </c>
      <c r="AL23" s="228">
        <v>25.8</v>
      </c>
      <c r="AM23" s="228">
        <v>6.8</v>
      </c>
      <c r="AN23" s="229">
        <v>1.78E-2</v>
      </c>
      <c r="AO23" s="231">
        <v>1831.73</v>
      </c>
      <c r="AP23" s="231">
        <v>1839.35</v>
      </c>
      <c r="AQ23" s="228">
        <v>0</v>
      </c>
      <c r="AR23" s="230">
        <v>1140000</v>
      </c>
      <c r="AS23" s="230">
        <v>823250</v>
      </c>
      <c r="AT23" s="230">
        <v>316750</v>
      </c>
      <c r="AU23" s="229">
        <v>0.38479999999999998</v>
      </c>
      <c r="AV23" s="230">
        <v>1029750</v>
      </c>
      <c r="AW23" s="230">
        <v>770750</v>
      </c>
      <c r="AX23" s="230">
        <v>259000</v>
      </c>
      <c r="AY23" s="229">
        <v>0.33600000000000002</v>
      </c>
      <c r="AZ23" s="230">
        <v>100500</v>
      </c>
      <c r="BA23" s="230">
        <v>51250</v>
      </c>
      <c r="BB23" s="230">
        <v>49250</v>
      </c>
      <c r="BC23" s="229">
        <v>0.96099999999999997</v>
      </c>
      <c r="BD23" s="230">
        <v>9750</v>
      </c>
      <c r="BE23" s="230">
        <v>1250</v>
      </c>
      <c r="BF23" s="230">
        <v>8500</v>
      </c>
      <c r="BG23" s="229">
        <v>6.8</v>
      </c>
      <c r="BH23" s="230">
        <v>5941000</v>
      </c>
      <c r="BI23" s="230">
        <v>3773500</v>
      </c>
      <c r="BJ23" s="230">
        <v>2167500</v>
      </c>
      <c r="BK23" s="229">
        <v>0.57440000000000002</v>
      </c>
      <c r="BL23" s="230">
        <v>2981000</v>
      </c>
      <c r="BM23" s="230">
        <v>2556500</v>
      </c>
      <c r="BN23" s="230">
        <v>424500</v>
      </c>
      <c r="BO23" s="229">
        <v>0.16600000000000001</v>
      </c>
      <c r="BP23" s="230">
        <v>10062000</v>
      </c>
      <c r="BQ23" s="230">
        <v>7153250</v>
      </c>
      <c r="BR23" s="230">
        <v>2908750</v>
      </c>
      <c r="BS23" s="229">
        <v>0.40660000000000002</v>
      </c>
      <c r="BT23" s="230">
        <v>1125230</v>
      </c>
      <c r="BU23" s="230">
        <v>1372034</v>
      </c>
      <c r="BV23" s="230">
        <v>-246804</v>
      </c>
      <c r="BW23" s="229">
        <v>-0.1799</v>
      </c>
      <c r="BX23" s="230">
        <v>11471550</v>
      </c>
      <c r="BY23" s="230">
        <v>11556550</v>
      </c>
      <c r="BZ23" s="230">
        <v>-85000</v>
      </c>
      <c r="CA23" s="229">
        <v>-7.4000000000000003E-3</v>
      </c>
      <c r="CB23" s="230">
        <v>10411750</v>
      </c>
      <c r="CC23" s="230">
        <v>10507250</v>
      </c>
      <c r="CD23" s="230">
        <v>-95500</v>
      </c>
      <c r="CE23" s="229">
        <v>-9.1000000000000004E-3</v>
      </c>
      <c r="CF23" s="230">
        <v>1037000</v>
      </c>
      <c r="CG23" s="230">
        <v>1025000</v>
      </c>
      <c r="CH23" s="230">
        <v>12000</v>
      </c>
      <c r="CI23" s="229">
        <v>1.17E-2</v>
      </c>
      <c r="CJ23" s="230">
        <v>22800</v>
      </c>
      <c r="CK23" s="230">
        <v>24300</v>
      </c>
      <c r="CL23" s="230">
        <v>-1500</v>
      </c>
      <c r="CM23" s="229">
        <v>-6.1699999999999998E-2</v>
      </c>
      <c r="CN23" s="230">
        <v>2966250</v>
      </c>
      <c r="CO23" s="230">
        <v>3012500</v>
      </c>
      <c r="CP23" s="230">
        <v>-46250</v>
      </c>
      <c r="CQ23" s="229">
        <v>-1.54E-2</v>
      </c>
      <c r="CR23" s="230">
        <v>2923250</v>
      </c>
      <c r="CS23" s="230">
        <v>2921500</v>
      </c>
      <c r="CT23" s="230">
        <v>1750</v>
      </c>
      <c r="CU23" s="229">
        <v>5.9999999999999995E-4</v>
      </c>
      <c r="CV23" s="230">
        <v>17361050</v>
      </c>
      <c r="CW23" s="230">
        <v>17490550</v>
      </c>
      <c r="CX23" s="230">
        <v>-129500</v>
      </c>
      <c r="CY23" s="229">
        <v>-7.4000000000000003E-3</v>
      </c>
      <c r="CZ23" s="228">
        <v>26.4</v>
      </c>
      <c r="DA23" s="228">
        <v>27.64</v>
      </c>
      <c r="DB23" s="228">
        <v>-1.24</v>
      </c>
      <c r="DC23" s="228">
        <v>-1.24</v>
      </c>
      <c r="DD23" s="228">
        <v>30.45</v>
      </c>
      <c r="DE23" s="228">
        <v>30.33</v>
      </c>
      <c r="DF23" s="228">
        <v>-4.05</v>
      </c>
      <c r="DG23" s="228">
        <v>0.12</v>
      </c>
      <c r="DH23" s="228">
        <v>25.27</v>
      </c>
      <c r="DI23" s="228">
        <v>26.58</v>
      </c>
      <c r="DJ23" s="228">
        <v>-1.31</v>
      </c>
      <c r="DK23" s="228">
        <v>-1.31</v>
      </c>
      <c r="DL23" s="228">
        <v>28.66</v>
      </c>
      <c r="DM23" s="228">
        <v>29.19</v>
      </c>
      <c r="DN23" s="228">
        <v>-0.53</v>
      </c>
      <c r="DO23" s="228">
        <v>-0.53</v>
      </c>
      <c r="DP23" s="228">
        <v>0.99</v>
      </c>
      <c r="DQ23" s="228">
        <v>0.97</v>
      </c>
      <c r="DR23" s="228">
        <v>0.02</v>
      </c>
      <c r="DS23" s="229">
        <v>2.06E-2</v>
      </c>
      <c r="DT23" s="231">
        <v>2000</v>
      </c>
      <c r="DU23" s="231">
        <v>1680</v>
      </c>
      <c r="DV23" s="228">
        <v>0.5</v>
      </c>
      <c r="DW23" s="228">
        <v>0.68</v>
      </c>
      <c r="DX23" s="228">
        <v>-0.18</v>
      </c>
      <c r="DY23" s="229">
        <v>-0.26469999999999999</v>
      </c>
      <c r="DZ23" s="229">
        <v>9.2399999999999996E-2</v>
      </c>
      <c r="EA23" s="230">
        <v>1049300</v>
      </c>
      <c r="EB23" s="229">
        <v>5.4000000000000003E-3</v>
      </c>
      <c r="EC23" s="229">
        <v>9.2399999999999996E-2</v>
      </c>
      <c r="ED23" s="228">
        <v>7.62</v>
      </c>
      <c r="EE23" s="229">
        <v>4.1999999999999997E-3</v>
      </c>
      <c r="EF23" s="230">
        <v>526706</v>
      </c>
      <c r="EG23" s="230">
        <v>726424</v>
      </c>
      <c r="EH23" s="229">
        <v>-0.27489999999999998</v>
      </c>
      <c r="EI23" s="229">
        <v>0.46810000000000002</v>
      </c>
      <c r="EJ23" s="231">
        <v>113657.58</v>
      </c>
      <c r="EK23" s="231">
        <v>53023.12</v>
      </c>
      <c r="EL23" s="231">
        <v>20926.8</v>
      </c>
      <c r="EM23" s="231">
        <v>5855</v>
      </c>
      <c r="EN23" s="231">
        <v>187607.5</v>
      </c>
      <c r="EO23" s="231">
        <v>130399.42</v>
      </c>
      <c r="EP23" s="231">
        <v>57208.08</v>
      </c>
      <c r="EQ23" s="229">
        <v>0.43869999999999998</v>
      </c>
      <c r="ER23" s="231">
        <v>55679</v>
      </c>
      <c r="ES23" s="231">
        <v>51166</v>
      </c>
      <c r="ET23" s="231">
        <v>211977</v>
      </c>
      <c r="EU23" s="231">
        <v>65784745</v>
      </c>
      <c r="EV23" s="231">
        <v>318822</v>
      </c>
      <c r="EW23" s="231">
        <v>315364</v>
      </c>
      <c r="EX23" s="231">
        <v>3458</v>
      </c>
      <c r="EY23" s="229">
        <v>1.0999999999999999E-2</v>
      </c>
      <c r="EZ23" s="229">
        <v>0.26390000000000002</v>
      </c>
      <c r="FA23" s="227" t="s">
        <v>691</v>
      </c>
      <c r="FB23" s="161">
        <f t="shared" si="0"/>
        <v>1059800</v>
      </c>
    </row>
    <row r="24" spans="1:158" ht="17.25" thickBot="1" x14ac:dyDescent="0.3">
      <c r="A24" s="226">
        <v>46148</v>
      </c>
      <c r="B24" s="227" t="s">
        <v>175</v>
      </c>
      <c r="C24" s="227" t="s">
        <v>687</v>
      </c>
      <c r="D24" s="228">
        <v>50</v>
      </c>
      <c r="E24" s="231">
        <v>10685</v>
      </c>
      <c r="F24" s="231">
        <v>10531</v>
      </c>
      <c r="G24" s="228">
        <v>154</v>
      </c>
      <c r="H24" s="229">
        <v>1.46E-2</v>
      </c>
      <c r="I24" s="231">
        <v>10612</v>
      </c>
      <c r="J24" s="231">
        <v>10469</v>
      </c>
      <c r="K24" s="228">
        <v>143</v>
      </c>
      <c r="L24" s="229">
        <v>1.37E-2</v>
      </c>
      <c r="M24" s="231">
        <v>10685</v>
      </c>
      <c r="N24" s="231">
        <v>10531</v>
      </c>
      <c r="O24" s="228">
        <v>154</v>
      </c>
      <c r="P24" s="229">
        <v>1.46E-2</v>
      </c>
      <c r="Q24" s="231">
        <v>10712</v>
      </c>
      <c r="R24" s="231">
        <v>10551</v>
      </c>
      <c r="S24" s="228">
        <v>161</v>
      </c>
      <c r="T24" s="229">
        <v>1.5299999999999999E-2</v>
      </c>
      <c r="U24" s="228">
        <v>0</v>
      </c>
      <c r="V24" s="228">
        <v>0</v>
      </c>
      <c r="W24" s="228">
        <v>0</v>
      </c>
      <c r="X24" s="229">
        <v>0</v>
      </c>
      <c r="Y24" s="228">
        <v>73</v>
      </c>
      <c r="Z24" s="228">
        <v>62</v>
      </c>
      <c r="AA24" s="228">
        <v>11</v>
      </c>
      <c r="AB24" s="229">
        <v>6.8999999999999999E-3</v>
      </c>
      <c r="AC24" s="228">
        <v>73</v>
      </c>
      <c r="AD24" s="228">
        <v>62</v>
      </c>
      <c r="AE24" s="228">
        <v>11</v>
      </c>
      <c r="AF24" s="229">
        <v>6.8999999999999999E-3</v>
      </c>
      <c r="AG24" s="228">
        <v>100</v>
      </c>
      <c r="AH24" s="228">
        <v>82</v>
      </c>
      <c r="AI24" s="228">
        <v>18</v>
      </c>
      <c r="AJ24" s="229">
        <v>9.4000000000000004E-3</v>
      </c>
      <c r="AK24" s="228">
        <v>0</v>
      </c>
      <c r="AL24" s="228">
        <v>0</v>
      </c>
      <c r="AM24" s="228">
        <v>0</v>
      </c>
      <c r="AN24" s="229">
        <v>0</v>
      </c>
      <c r="AO24" s="231">
        <v>10722.86</v>
      </c>
      <c r="AP24" s="231">
        <v>10727.22</v>
      </c>
      <c r="AQ24" s="228">
        <v>0</v>
      </c>
      <c r="AR24" s="230">
        <v>44050</v>
      </c>
      <c r="AS24" s="230">
        <v>25950</v>
      </c>
      <c r="AT24" s="230">
        <v>18100</v>
      </c>
      <c r="AU24" s="229">
        <v>0.69750000000000001</v>
      </c>
      <c r="AV24" s="230">
        <v>42250</v>
      </c>
      <c r="AW24" s="230">
        <v>25100</v>
      </c>
      <c r="AX24" s="230">
        <v>17150</v>
      </c>
      <c r="AY24" s="229">
        <v>0.68330000000000002</v>
      </c>
      <c r="AZ24" s="230">
        <v>1800</v>
      </c>
      <c r="BA24" s="228">
        <v>850</v>
      </c>
      <c r="BB24" s="228">
        <v>950</v>
      </c>
      <c r="BC24" s="229">
        <v>1.1175999999999999</v>
      </c>
      <c r="BD24" s="228">
        <v>0</v>
      </c>
      <c r="BE24" s="228">
        <v>0</v>
      </c>
      <c r="BF24" s="228">
        <v>0</v>
      </c>
      <c r="BG24" s="229">
        <v>0</v>
      </c>
      <c r="BH24" s="230">
        <v>185900</v>
      </c>
      <c r="BI24" s="230">
        <v>73650</v>
      </c>
      <c r="BJ24" s="230">
        <v>112250</v>
      </c>
      <c r="BK24" s="229">
        <v>1.5241</v>
      </c>
      <c r="BL24" s="230">
        <v>21350</v>
      </c>
      <c r="BM24" s="230">
        <v>19550</v>
      </c>
      <c r="BN24" s="230">
        <v>1800</v>
      </c>
      <c r="BO24" s="229">
        <v>9.2100000000000001E-2</v>
      </c>
      <c r="BP24" s="230">
        <v>251300</v>
      </c>
      <c r="BQ24" s="230">
        <v>119150</v>
      </c>
      <c r="BR24" s="230">
        <v>132150</v>
      </c>
      <c r="BS24" s="229">
        <v>1.1091</v>
      </c>
      <c r="BT24" s="230">
        <v>49718</v>
      </c>
      <c r="BU24" s="230">
        <v>30288</v>
      </c>
      <c r="BV24" s="230">
        <v>19430</v>
      </c>
      <c r="BW24" s="229">
        <v>0.64149999999999996</v>
      </c>
      <c r="BX24" s="230">
        <v>270700</v>
      </c>
      <c r="BY24" s="230">
        <v>259900</v>
      </c>
      <c r="BZ24" s="230">
        <v>10800</v>
      </c>
      <c r="CA24" s="229">
        <v>4.1599999999999998E-2</v>
      </c>
      <c r="CB24" s="230">
        <v>267800</v>
      </c>
      <c r="CC24" s="230">
        <v>257300</v>
      </c>
      <c r="CD24" s="230">
        <v>10500</v>
      </c>
      <c r="CE24" s="229">
        <v>4.0800000000000003E-2</v>
      </c>
      <c r="CF24" s="230">
        <v>2900</v>
      </c>
      <c r="CG24" s="230">
        <v>2600</v>
      </c>
      <c r="CH24" s="228">
        <v>300</v>
      </c>
      <c r="CI24" s="229">
        <v>0.1154</v>
      </c>
      <c r="CJ24" s="228">
        <v>0</v>
      </c>
      <c r="CK24" s="228">
        <v>0</v>
      </c>
      <c r="CL24" s="228">
        <v>0</v>
      </c>
      <c r="CM24" s="229">
        <v>0</v>
      </c>
      <c r="CN24" s="230">
        <v>69150</v>
      </c>
      <c r="CO24" s="230">
        <v>62500</v>
      </c>
      <c r="CP24" s="230">
        <v>6650</v>
      </c>
      <c r="CQ24" s="229">
        <v>0.10639999999999999</v>
      </c>
      <c r="CR24" s="230">
        <v>30200</v>
      </c>
      <c r="CS24" s="230">
        <v>25150</v>
      </c>
      <c r="CT24" s="230">
        <v>5050</v>
      </c>
      <c r="CU24" s="229">
        <v>0.20080000000000001</v>
      </c>
      <c r="CV24" s="230">
        <v>370050</v>
      </c>
      <c r="CW24" s="230">
        <v>347550</v>
      </c>
      <c r="CX24" s="230">
        <v>22500</v>
      </c>
      <c r="CY24" s="229">
        <v>6.4699999999999994E-2</v>
      </c>
      <c r="CZ24" s="228">
        <v>36.57</v>
      </c>
      <c r="DA24" s="228">
        <v>38.03</v>
      </c>
      <c r="DB24" s="228">
        <v>-1.46</v>
      </c>
      <c r="DC24" s="228">
        <v>-1.46</v>
      </c>
      <c r="DD24" s="228">
        <v>38.01</v>
      </c>
      <c r="DE24" s="228">
        <v>38.06</v>
      </c>
      <c r="DF24" s="228">
        <v>-1.44</v>
      </c>
      <c r="DG24" s="228">
        <v>-0.05</v>
      </c>
      <c r="DH24" s="228">
        <v>36.4</v>
      </c>
      <c r="DI24" s="228">
        <v>37.67</v>
      </c>
      <c r="DJ24" s="228">
        <v>-1.27</v>
      </c>
      <c r="DK24" s="228">
        <v>-1.27</v>
      </c>
      <c r="DL24" s="228">
        <v>38.03</v>
      </c>
      <c r="DM24" s="228">
        <v>39.409999999999997</v>
      </c>
      <c r="DN24" s="228">
        <v>-1.38</v>
      </c>
      <c r="DO24" s="228">
        <v>-1.38</v>
      </c>
      <c r="DP24" s="228">
        <v>0.44</v>
      </c>
      <c r="DQ24" s="228">
        <v>0.4</v>
      </c>
      <c r="DR24" s="228">
        <v>0.04</v>
      </c>
      <c r="DS24" s="229">
        <v>0.1</v>
      </c>
      <c r="DT24" s="231">
        <v>11000</v>
      </c>
      <c r="DU24" s="231">
        <v>10000</v>
      </c>
      <c r="DV24" s="228">
        <v>0.11</v>
      </c>
      <c r="DW24" s="228">
        <v>0.27</v>
      </c>
      <c r="DX24" s="228">
        <v>-0.16</v>
      </c>
      <c r="DY24" s="229">
        <v>-0.59260000000000002</v>
      </c>
      <c r="DZ24" s="229">
        <v>1.0699999999999999E-2</v>
      </c>
      <c r="EA24" s="230">
        <v>2600</v>
      </c>
      <c r="EB24" s="229">
        <v>2.5000000000000001E-3</v>
      </c>
      <c r="EC24" s="229">
        <v>1.0699999999999999E-2</v>
      </c>
      <c r="ED24" s="228">
        <v>4.3600000000000003</v>
      </c>
      <c r="EE24" s="229">
        <v>4.0000000000000002E-4</v>
      </c>
      <c r="EF24" s="230">
        <v>16910</v>
      </c>
      <c r="EG24" s="230">
        <v>13568</v>
      </c>
      <c r="EH24" s="229">
        <v>0.24629999999999999</v>
      </c>
      <c r="EI24" s="229">
        <v>0.34010000000000001</v>
      </c>
      <c r="EJ24" s="231">
        <v>21087.69</v>
      </c>
      <c r="EK24" s="231">
        <v>2184.86</v>
      </c>
      <c r="EL24" s="231">
        <v>4723.5</v>
      </c>
      <c r="EM24" s="228">
        <v>605</v>
      </c>
      <c r="EN24" s="231">
        <v>27996.05</v>
      </c>
      <c r="EO24" s="231">
        <v>12912.75</v>
      </c>
      <c r="EP24" s="231">
        <v>15083.3</v>
      </c>
      <c r="EQ24" s="229">
        <v>1.1680999999999999</v>
      </c>
      <c r="ER24" s="231">
        <v>7617</v>
      </c>
      <c r="ES24" s="231">
        <v>3036</v>
      </c>
      <c r="ET24" s="231">
        <v>28925</v>
      </c>
      <c r="EU24" s="231">
        <v>5401993</v>
      </c>
      <c r="EV24" s="231">
        <v>39578</v>
      </c>
      <c r="EW24" s="231">
        <v>36785</v>
      </c>
      <c r="EX24" s="231">
        <v>2793</v>
      </c>
      <c r="EY24" s="229">
        <v>7.5899999999999995E-2</v>
      </c>
      <c r="EZ24" s="229">
        <v>6.8500000000000005E-2</v>
      </c>
      <c r="FA24" s="227" t="s">
        <v>555</v>
      </c>
      <c r="FB24" s="161">
        <f t="shared" si="0"/>
        <v>2900</v>
      </c>
    </row>
    <row r="25" spans="1:158" ht="17.25" thickBot="1" x14ac:dyDescent="0.3">
      <c r="A25" s="226">
        <v>46148</v>
      </c>
      <c r="B25" s="227" t="s">
        <v>175</v>
      </c>
      <c r="C25" s="227" t="s">
        <v>177</v>
      </c>
      <c r="D25" s="228">
        <v>750</v>
      </c>
      <c r="E25" s="228">
        <v>985.45</v>
      </c>
      <c r="F25" s="228">
        <v>960.6</v>
      </c>
      <c r="G25" s="228">
        <v>24.85</v>
      </c>
      <c r="H25" s="229">
        <v>2.5899999999999999E-2</v>
      </c>
      <c r="I25" s="228">
        <v>980.75</v>
      </c>
      <c r="J25" s="228">
        <v>958.6</v>
      </c>
      <c r="K25" s="228">
        <v>22.15</v>
      </c>
      <c r="L25" s="229">
        <v>2.3099999999999999E-2</v>
      </c>
      <c r="M25" s="228">
        <v>985.45</v>
      </c>
      <c r="N25" s="228">
        <v>960.6</v>
      </c>
      <c r="O25" s="228">
        <v>24.85</v>
      </c>
      <c r="P25" s="229">
        <v>2.5899999999999999E-2</v>
      </c>
      <c r="Q25" s="228">
        <v>985.25</v>
      </c>
      <c r="R25" s="228">
        <v>961.5</v>
      </c>
      <c r="S25" s="228">
        <v>23.75</v>
      </c>
      <c r="T25" s="229">
        <v>2.47E-2</v>
      </c>
      <c r="U25" s="228">
        <v>990.95</v>
      </c>
      <c r="V25" s="228">
        <v>966</v>
      </c>
      <c r="W25" s="228">
        <v>24.95</v>
      </c>
      <c r="X25" s="229">
        <v>2.58E-2</v>
      </c>
      <c r="Y25" s="228">
        <v>4.7</v>
      </c>
      <c r="Z25" s="228">
        <v>2</v>
      </c>
      <c r="AA25" s="228">
        <v>2.7</v>
      </c>
      <c r="AB25" s="229">
        <v>4.7999999999999996E-3</v>
      </c>
      <c r="AC25" s="228">
        <v>4.7</v>
      </c>
      <c r="AD25" s="228">
        <v>2</v>
      </c>
      <c r="AE25" s="228">
        <v>2.7</v>
      </c>
      <c r="AF25" s="229">
        <v>4.7999999999999996E-3</v>
      </c>
      <c r="AG25" s="228">
        <v>4.5</v>
      </c>
      <c r="AH25" s="228">
        <v>2.9</v>
      </c>
      <c r="AI25" s="228">
        <v>1.6</v>
      </c>
      <c r="AJ25" s="229">
        <v>4.5999999999999999E-3</v>
      </c>
      <c r="AK25" s="228">
        <v>10.199999999999999</v>
      </c>
      <c r="AL25" s="228">
        <v>7.4</v>
      </c>
      <c r="AM25" s="228">
        <v>2.8</v>
      </c>
      <c r="AN25" s="229">
        <v>1.04E-2</v>
      </c>
      <c r="AO25" s="228">
        <v>978.92</v>
      </c>
      <c r="AP25" s="228">
        <v>978.81</v>
      </c>
      <c r="AQ25" s="228">
        <v>0</v>
      </c>
      <c r="AR25" s="230">
        <v>9245250</v>
      </c>
      <c r="AS25" s="230">
        <v>6085500</v>
      </c>
      <c r="AT25" s="230">
        <v>3159750</v>
      </c>
      <c r="AU25" s="229">
        <v>0.51919999999999999</v>
      </c>
      <c r="AV25" s="230">
        <v>8526000</v>
      </c>
      <c r="AW25" s="230">
        <v>5656500</v>
      </c>
      <c r="AX25" s="230">
        <v>2869500</v>
      </c>
      <c r="AY25" s="229">
        <v>0.50729999999999997</v>
      </c>
      <c r="AZ25" s="230">
        <v>595500</v>
      </c>
      <c r="BA25" s="230">
        <v>365250</v>
      </c>
      <c r="BB25" s="230">
        <v>230250</v>
      </c>
      <c r="BC25" s="229">
        <v>0.63039999999999996</v>
      </c>
      <c r="BD25" s="230">
        <v>123750</v>
      </c>
      <c r="BE25" s="230">
        <v>63750</v>
      </c>
      <c r="BF25" s="230">
        <v>60000</v>
      </c>
      <c r="BG25" s="229">
        <v>0.94120000000000004</v>
      </c>
      <c r="BH25" s="230">
        <v>39501750</v>
      </c>
      <c r="BI25" s="230">
        <v>21155250</v>
      </c>
      <c r="BJ25" s="230">
        <v>18346500</v>
      </c>
      <c r="BK25" s="229">
        <v>0.86719999999999997</v>
      </c>
      <c r="BL25" s="230">
        <v>20139750</v>
      </c>
      <c r="BM25" s="230">
        <v>15707250</v>
      </c>
      <c r="BN25" s="230">
        <v>4432500</v>
      </c>
      <c r="BO25" s="229">
        <v>0.28220000000000001</v>
      </c>
      <c r="BP25" s="230">
        <v>68886750</v>
      </c>
      <c r="BQ25" s="230">
        <v>42948000</v>
      </c>
      <c r="BR25" s="230">
        <v>25938750</v>
      </c>
      <c r="BS25" s="229">
        <v>0.60399999999999998</v>
      </c>
      <c r="BT25" s="230">
        <v>8016598</v>
      </c>
      <c r="BU25" s="230">
        <v>7528249</v>
      </c>
      <c r="BV25" s="230">
        <v>488349</v>
      </c>
      <c r="BW25" s="229">
        <v>6.4899999999999999E-2</v>
      </c>
      <c r="BX25" s="230">
        <v>69825750</v>
      </c>
      <c r="BY25" s="230">
        <v>70683750</v>
      </c>
      <c r="BZ25" s="230">
        <v>-858000</v>
      </c>
      <c r="CA25" s="229">
        <v>-1.21E-2</v>
      </c>
      <c r="CB25" s="230">
        <v>58934250</v>
      </c>
      <c r="CC25" s="230">
        <v>59833500</v>
      </c>
      <c r="CD25" s="230">
        <v>-899250</v>
      </c>
      <c r="CE25" s="229">
        <v>-1.4999999999999999E-2</v>
      </c>
      <c r="CF25" s="230">
        <v>10722000</v>
      </c>
      <c r="CG25" s="230">
        <v>10716000</v>
      </c>
      <c r="CH25" s="230">
        <v>6000</v>
      </c>
      <c r="CI25" s="229">
        <v>5.9999999999999995E-4</v>
      </c>
      <c r="CJ25" s="230">
        <v>169500</v>
      </c>
      <c r="CK25" s="230">
        <v>134250</v>
      </c>
      <c r="CL25" s="230">
        <v>35250</v>
      </c>
      <c r="CM25" s="229">
        <v>0.2626</v>
      </c>
      <c r="CN25" s="230">
        <v>16050750</v>
      </c>
      <c r="CO25" s="230">
        <v>16617000</v>
      </c>
      <c r="CP25" s="230">
        <v>-566250</v>
      </c>
      <c r="CQ25" s="229">
        <v>-3.4099999999999998E-2</v>
      </c>
      <c r="CR25" s="230">
        <v>13792500</v>
      </c>
      <c r="CS25" s="230">
        <v>12960750</v>
      </c>
      <c r="CT25" s="230">
        <v>831750</v>
      </c>
      <c r="CU25" s="229">
        <v>6.4199999999999993E-2</v>
      </c>
      <c r="CV25" s="230">
        <v>99669000</v>
      </c>
      <c r="CW25" s="230">
        <v>100261500</v>
      </c>
      <c r="CX25" s="230">
        <v>-592500</v>
      </c>
      <c r="CY25" s="229">
        <v>-5.8999999999999999E-3</v>
      </c>
      <c r="CZ25" s="228">
        <v>28.86</v>
      </c>
      <c r="DA25" s="228">
        <v>30.97</v>
      </c>
      <c r="DB25" s="228">
        <v>-2.11</v>
      </c>
      <c r="DC25" s="228">
        <v>-2.11</v>
      </c>
      <c r="DD25" s="228">
        <v>35.409999999999997</v>
      </c>
      <c r="DE25" s="228">
        <v>35.36</v>
      </c>
      <c r="DF25" s="228">
        <v>-6.55</v>
      </c>
      <c r="DG25" s="228">
        <v>0.05</v>
      </c>
      <c r="DH25" s="228">
        <v>28.03</v>
      </c>
      <c r="DI25" s="228">
        <v>30.24</v>
      </c>
      <c r="DJ25" s="228">
        <v>-2.21</v>
      </c>
      <c r="DK25" s="228">
        <v>-2.21</v>
      </c>
      <c r="DL25" s="228">
        <v>30.48</v>
      </c>
      <c r="DM25" s="228">
        <v>31.95</v>
      </c>
      <c r="DN25" s="228">
        <v>-1.47</v>
      </c>
      <c r="DO25" s="228">
        <v>-1.47</v>
      </c>
      <c r="DP25" s="228">
        <v>0.86</v>
      </c>
      <c r="DQ25" s="228">
        <v>0.78</v>
      </c>
      <c r="DR25" s="228">
        <v>0.08</v>
      </c>
      <c r="DS25" s="229">
        <v>0.1026</v>
      </c>
      <c r="DT25" s="231">
        <v>1000</v>
      </c>
      <c r="DU25" s="228">
        <v>900</v>
      </c>
      <c r="DV25" s="228">
        <v>0.51</v>
      </c>
      <c r="DW25" s="228">
        <v>0.74</v>
      </c>
      <c r="DX25" s="228">
        <v>-0.23</v>
      </c>
      <c r="DY25" s="229">
        <v>-0.31080000000000002</v>
      </c>
      <c r="DZ25" s="229">
        <v>0.156</v>
      </c>
      <c r="EA25" s="230">
        <v>10850250</v>
      </c>
      <c r="EB25" s="229">
        <v>-2.0000000000000001E-4</v>
      </c>
      <c r="EC25" s="229">
        <v>0.156</v>
      </c>
      <c r="ED25" s="228">
        <v>-0.11</v>
      </c>
      <c r="EE25" s="229">
        <v>-1E-4</v>
      </c>
      <c r="EF25" s="230">
        <v>3754997</v>
      </c>
      <c r="EG25" s="230">
        <v>2529825</v>
      </c>
      <c r="EH25" s="229">
        <v>0.48430000000000001</v>
      </c>
      <c r="EI25" s="229">
        <v>0.46839999999999998</v>
      </c>
      <c r="EJ25" s="231">
        <v>401530.03</v>
      </c>
      <c r="EK25" s="231">
        <v>192507.51999999999</v>
      </c>
      <c r="EL25" s="231">
        <v>90510.43</v>
      </c>
      <c r="EM25" s="231">
        <v>18385</v>
      </c>
      <c r="EN25" s="231">
        <v>684547.98</v>
      </c>
      <c r="EO25" s="231">
        <v>415084.83</v>
      </c>
      <c r="EP25" s="231">
        <v>269463.15000000002</v>
      </c>
      <c r="EQ25" s="229">
        <v>0.6492</v>
      </c>
      <c r="ER25" s="231">
        <v>156323</v>
      </c>
      <c r="ES25" s="231">
        <v>126824</v>
      </c>
      <c r="ET25" s="231">
        <v>688086</v>
      </c>
      <c r="EU25" s="231">
        <v>387962395</v>
      </c>
      <c r="EV25" s="231">
        <v>971233</v>
      </c>
      <c r="EW25" s="231">
        <v>958277</v>
      </c>
      <c r="EX25" s="231">
        <v>12956</v>
      </c>
      <c r="EY25" s="229">
        <v>1.35E-2</v>
      </c>
      <c r="EZ25" s="229">
        <v>0.25690000000000002</v>
      </c>
      <c r="FA25" s="227" t="s">
        <v>691</v>
      </c>
      <c r="FB25" s="161">
        <f t="shared" si="0"/>
        <v>10891500</v>
      </c>
    </row>
    <row r="26" spans="1:158" ht="17.25" thickBot="1" x14ac:dyDescent="0.3">
      <c r="A26" s="226">
        <v>46148</v>
      </c>
      <c r="B26" s="227" t="s">
        <v>172</v>
      </c>
      <c r="C26" s="227" t="s">
        <v>179</v>
      </c>
      <c r="D26" s="228">
        <v>3600</v>
      </c>
      <c r="E26" s="228">
        <v>210.34</v>
      </c>
      <c r="F26" s="228">
        <v>207.7</v>
      </c>
      <c r="G26" s="228">
        <v>2.64</v>
      </c>
      <c r="H26" s="229">
        <v>1.2699999999999999E-2</v>
      </c>
      <c r="I26" s="228">
        <v>208.88</v>
      </c>
      <c r="J26" s="228">
        <v>206.44</v>
      </c>
      <c r="K26" s="228">
        <v>2.44</v>
      </c>
      <c r="L26" s="229">
        <v>1.18E-2</v>
      </c>
      <c r="M26" s="228">
        <v>210.34</v>
      </c>
      <c r="N26" s="228">
        <v>207.7</v>
      </c>
      <c r="O26" s="228">
        <v>2.64</v>
      </c>
      <c r="P26" s="229">
        <v>1.2699999999999999E-2</v>
      </c>
      <c r="Q26" s="228">
        <v>211.77</v>
      </c>
      <c r="R26" s="228">
        <v>208.88</v>
      </c>
      <c r="S26" s="228">
        <v>2.89</v>
      </c>
      <c r="T26" s="229">
        <v>1.38E-2</v>
      </c>
      <c r="U26" s="228">
        <v>212.62</v>
      </c>
      <c r="V26" s="228">
        <v>209.44</v>
      </c>
      <c r="W26" s="228">
        <v>3.18</v>
      </c>
      <c r="X26" s="229">
        <v>1.52E-2</v>
      </c>
      <c r="Y26" s="228">
        <v>1.46</v>
      </c>
      <c r="Z26" s="228">
        <v>1.26</v>
      </c>
      <c r="AA26" s="228">
        <v>0.2</v>
      </c>
      <c r="AB26" s="229">
        <v>7.0000000000000001E-3</v>
      </c>
      <c r="AC26" s="228">
        <v>1.46</v>
      </c>
      <c r="AD26" s="228">
        <v>1.26</v>
      </c>
      <c r="AE26" s="228">
        <v>0.2</v>
      </c>
      <c r="AF26" s="229">
        <v>7.0000000000000001E-3</v>
      </c>
      <c r="AG26" s="228">
        <v>2.89</v>
      </c>
      <c r="AH26" s="228">
        <v>2.44</v>
      </c>
      <c r="AI26" s="228">
        <v>0.45</v>
      </c>
      <c r="AJ26" s="229">
        <v>1.38E-2</v>
      </c>
      <c r="AK26" s="228">
        <v>3.74</v>
      </c>
      <c r="AL26" s="228">
        <v>3</v>
      </c>
      <c r="AM26" s="228">
        <v>0.74</v>
      </c>
      <c r="AN26" s="229">
        <v>1.7899999999999999E-2</v>
      </c>
      <c r="AO26" s="228">
        <v>209.55</v>
      </c>
      <c r="AP26" s="228">
        <v>210.52</v>
      </c>
      <c r="AQ26" s="228">
        <v>0</v>
      </c>
      <c r="AR26" s="230">
        <v>15066000</v>
      </c>
      <c r="AS26" s="230">
        <v>14616000</v>
      </c>
      <c r="AT26" s="230">
        <v>450000</v>
      </c>
      <c r="AU26" s="229">
        <v>3.0800000000000001E-2</v>
      </c>
      <c r="AV26" s="230">
        <v>14295600</v>
      </c>
      <c r="AW26" s="230">
        <v>14011200</v>
      </c>
      <c r="AX26" s="230">
        <v>284400</v>
      </c>
      <c r="AY26" s="229">
        <v>2.0299999999999999E-2</v>
      </c>
      <c r="AZ26" s="230">
        <v>644400</v>
      </c>
      <c r="BA26" s="230">
        <v>572400</v>
      </c>
      <c r="BB26" s="230">
        <v>72000</v>
      </c>
      <c r="BC26" s="229">
        <v>0.1258</v>
      </c>
      <c r="BD26" s="230">
        <v>126000</v>
      </c>
      <c r="BE26" s="230">
        <v>32400</v>
      </c>
      <c r="BF26" s="230">
        <v>93600</v>
      </c>
      <c r="BG26" s="229">
        <v>2.8889</v>
      </c>
      <c r="BH26" s="230">
        <v>41767200</v>
      </c>
      <c r="BI26" s="230">
        <v>40381200</v>
      </c>
      <c r="BJ26" s="230">
        <v>1386000</v>
      </c>
      <c r="BK26" s="229">
        <v>3.4299999999999997E-2</v>
      </c>
      <c r="BL26" s="230">
        <v>26506800</v>
      </c>
      <c r="BM26" s="230">
        <v>32634000</v>
      </c>
      <c r="BN26" s="230">
        <v>-6127200</v>
      </c>
      <c r="BO26" s="229">
        <v>-0.18779999999999999</v>
      </c>
      <c r="BP26" s="230">
        <v>83340000</v>
      </c>
      <c r="BQ26" s="230">
        <v>87631200</v>
      </c>
      <c r="BR26" s="230">
        <v>-4291200</v>
      </c>
      <c r="BS26" s="229">
        <v>-4.9000000000000002E-2</v>
      </c>
      <c r="BT26" s="230">
        <v>15299029</v>
      </c>
      <c r="BU26" s="230">
        <v>14670719</v>
      </c>
      <c r="BV26" s="230">
        <v>628310</v>
      </c>
      <c r="BW26" s="229">
        <v>4.2799999999999998E-2</v>
      </c>
      <c r="BX26" s="230">
        <v>98665200</v>
      </c>
      <c r="BY26" s="230">
        <v>96984000</v>
      </c>
      <c r="BZ26" s="230">
        <v>1681200</v>
      </c>
      <c r="CA26" s="229">
        <v>1.7299999999999999E-2</v>
      </c>
      <c r="CB26" s="230">
        <v>96228000</v>
      </c>
      <c r="CC26" s="230">
        <v>94755600</v>
      </c>
      <c r="CD26" s="230">
        <v>1472400</v>
      </c>
      <c r="CE26" s="229">
        <v>1.55E-2</v>
      </c>
      <c r="CF26" s="230">
        <v>2178000</v>
      </c>
      <c r="CG26" s="230">
        <v>1994400</v>
      </c>
      <c r="CH26" s="230">
        <v>183600</v>
      </c>
      <c r="CI26" s="229">
        <v>9.2100000000000001E-2</v>
      </c>
      <c r="CJ26" s="230">
        <v>259200</v>
      </c>
      <c r="CK26" s="230">
        <v>234000</v>
      </c>
      <c r="CL26" s="230">
        <v>25200</v>
      </c>
      <c r="CM26" s="229">
        <v>0.1077</v>
      </c>
      <c r="CN26" s="230">
        <v>43106400</v>
      </c>
      <c r="CO26" s="230">
        <v>45018000</v>
      </c>
      <c r="CP26" s="230">
        <v>-1911600</v>
      </c>
      <c r="CQ26" s="229">
        <v>-4.2500000000000003E-2</v>
      </c>
      <c r="CR26" s="230">
        <v>32623200</v>
      </c>
      <c r="CS26" s="230">
        <v>34200000</v>
      </c>
      <c r="CT26" s="230">
        <v>-1576800</v>
      </c>
      <c r="CU26" s="229">
        <v>-4.6100000000000002E-2</v>
      </c>
      <c r="CV26" s="230">
        <v>174394800</v>
      </c>
      <c r="CW26" s="230">
        <v>176202000</v>
      </c>
      <c r="CX26" s="230">
        <v>-1807200</v>
      </c>
      <c r="CY26" s="229">
        <v>-1.03E-2</v>
      </c>
      <c r="CZ26" s="228">
        <v>40.46</v>
      </c>
      <c r="DA26" s="228">
        <v>41.68</v>
      </c>
      <c r="DB26" s="228">
        <v>-1.22</v>
      </c>
      <c r="DC26" s="228">
        <v>-1.22</v>
      </c>
      <c r="DD26" s="228">
        <v>47.48</v>
      </c>
      <c r="DE26" s="228">
        <v>47.57</v>
      </c>
      <c r="DF26" s="228">
        <v>-7.02</v>
      </c>
      <c r="DG26" s="228">
        <v>-0.09</v>
      </c>
      <c r="DH26" s="228">
        <v>40.15</v>
      </c>
      <c r="DI26" s="228">
        <v>41.29</v>
      </c>
      <c r="DJ26" s="228">
        <v>-1.1399999999999999</v>
      </c>
      <c r="DK26" s="228">
        <v>-1.1399999999999999</v>
      </c>
      <c r="DL26" s="228">
        <v>40.96</v>
      </c>
      <c r="DM26" s="228">
        <v>42.16</v>
      </c>
      <c r="DN26" s="228">
        <v>-1.2</v>
      </c>
      <c r="DO26" s="228">
        <v>-1.2</v>
      </c>
      <c r="DP26" s="228">
        <v>0.76</v>
      </c>
      <c r="DQ26" s="228">
        <v>0.76</v>
      </c>
      <c r="DR26" s="228">
        <v>0</v>
      </c>
      <c r="DS26" s="229">
        <v>0</v>
      </c>
      <c r="DT26" s="228">
        <v>210</v>
      </c>
      <c r="DU26" s="228">
        <v>200</v>
      </c>
      <c r="DV26" s="228">
        <v>0.63</v>
      </c>
      <c r="DW26" s="228">
        <v>0.81</v>
      </c>
      <c r="DX26" s="228">
        <v>-0.18</v>
      </c>
      <c r="DY26" s="229">
        <v>-0.22220000000000001</v>
      </c>
      <c r="DZ26" s="229">
        <v>2.47E-2</v>
      </c>
      <c r="EA26" s="230">
        <v>2228400</v>
      </c>
      <c r="EB26" s="229">
        <v>6.7999999999999996E-3</v>
      </c>
      <c r="EC26" s="229">
        <v>2.47E-2</v>
      </c>
      <c r="ED26" s="228">
        <v>0.97</v>
      </c>
      <c r="EE26" s="229">
        <v>4.5999999999999999E-3</v>
      </c>
      <c r="EF26" s="230">
        <v>6205053</v>
      </c>
      <c r="EG26" s="230">
        <v>5474592</v>
      </c>
      <c r="EH26" s="229">
        <v>0.13339999999999999</v>
      </c>
      <c r="EI26" s="229">
        <v>0.40560000000000002</v>
      </c>
      <c r="EJ26" s="231">
        <v>92313.17</v>
      </c>
      <c r="EK26" s="231">
        <v>53534.99</v>
      </c>
      <c r="EL26" s="231">
        <v>31579.14</v>
      </c>
      <c r="EM26" s="231">
        <v>12905</v>
      </c>
      <c r="EN26" s="231">
        <v>177427.3</v>
      </c>
      <c r="EO26" s="231">
        <v>184640.44</v>
      </c>
      <c r="EP26" s="231">
        <v>-7213.14</v>
      </c>
      <c r="EQ26" s="229">
        <v>-3.9100000000000003E-2</v>
      </c>
      <c r="ER26" s="231">
        <v>87531</v>
      </c>
      <c r="ES26" s="231">
        <v>61975</v>
      </c>
      <c r="ET26" s="231">
        <v>207569</v>
      </c>
      <c r="EU26" s="231">
        <v>145616308</v>
      </c>
      <c r="EV26" s="231">
        <v>357075</v>
      </c>
      <c r="EW26" s="231">
        <v>357862</v>
      </c>
      <c r="EX26" s="228">
        <v>-787</v>
      </c>
      <c r="EY26" s="229">
        <v>-2.2000000000000001E-3</v>
      </c>
      <c r="EZ26" s="229">
        <v>1.1976</v>
      </c>
      <c r="FA26" s="227" t="s">
        <v>555</v>
      </c>
      <c r="FB26" s="161">
        <f t="shared" si="0"/>
        <v>2437200</v>
      </c>
    </row>
    <row r="27" spans="1:158" ht="17.25" thickBot="1" x14ac:dyDescent="0.3">
      <c r="A27" s="226">
        <v>46148</v>
      </c>
      <c r="B27" s="227" t="s">
        <v>172</v>
      </c>
      <c r="C27" s="227" t="s">
        <v>180</v>
      </c>
      <c r="D27" s="228">
        <v>2925</v>
      </c>
      <c r="E27" s="228">
        <v>272.39999999999998</v>
      </c>
      <c r="F27" s="228">
        <v>264.75</v>
      </c>
      <c r="G27" s="228">
        <v>7.65</v>
      </c>
      <c r="H27" s="229">
        <v>2.8899999999999999E-2</v>
      </c>
      <c r="I27" s="228">
        <v>270.3</v>
      </c>
      <c r="J27" s="228">
        <v>263.39999999999998</v>
      </c>
      <c r="K27" s="228">
        <v>6.9</v>
      </c>
      <c r="L27" s="229">
        <v>2.6200000000000001E-2</v>
      </c>
      <c r="M27" s="228">
        <v>272.39999999999998</v>
      </c>
      <c r="N27" s="228">
        <v>264.75</v>
      </c>
      <c r="O27" s="228">
        <v>7.65</v>
      </c>
      <c r="P27" s="229">
        <v>2.8899999999999999E-2</v>
      </c>
      <c r="Q27" s="228">
        <v>274</v>
      </c>
      <c r="R27" s="228">
        <v>266.5</v>
      </c>
      <c r="S27" s="228">
        <v>7.5</v>
      </c>
      <c r="T27" s="229">
        <v>2.81E-2</v>
      </c>
      <c r="U27" s="228">
        <v>275.45</v>
      </c>
      <c r="V27" s="228">
        <v>267.5</v>
      </c>
      <c r="W27" s="228">
        <v>7.95</v>
      </c>
      <c r="X27" s="229">
        <v>2.9700000000000001E-2</v>
      </c>
      <c r="Y27" s="228">
        <v>2.1</v>
      </c>
      <c r="Z27" s="228">
        <v>1.35</v>
      </c>
      <c r="AA27" s="228">
        <v>0.75</v>
      </c>
      <c r="AB27" s="229">
        <v>7.7999999999999996E-3</v>
      </c>
      <c r="AC27" s="228">
        <v>2.1</v>
      </c>
      <c r="AD27" s="228">
        <v>1.35</v>
      </c>
      <c r="AE27" s="228">
        <v>0.75</v>
      </c>
      <c r="AF27" s="229">
        <v>7.7999999999999996E-3</v>
      </c>
      <c r="AG27" s="228">
        <v>3.7</v>
      </c>
      <c r="AH27" s="228">
        <v>3.1</v>
      </c>
      <c r="AI27" s="228">
        <v>0.6</v>
      </c>
      <c r="AJ27" s="229">
        <v>1.37E-2</v>
      </c>
      <c r="AK27" s="228">
        <v>5.15</v>
      </c>
      <c r="AL27" s="228">
        <v>4.0999999999999996</v>
      </c>
      <c r="AM27" s="228">
        <v>1.05</v>
      </c>
      <c r="AN27" s="229">
        <v>1.9099999999999999E-2</v>
      </c>
      <c r="AO27" s="228">
        <v>270.27</v>
      </c>
      <c r="AP27" s="228">
        <v>270.52</v>
      </c>
      <c r="AQ27" s="228">
        <v>0</v>
      </c>
      <c r="AR27" s="230">
        <v>22753575</v>
      </c>
      <c r="AS27" s="230">
        <v>9064575</v>
      </c>
      <c r="AT27" s="230">
        <v>13689000</v>
      </c>
      <c r="AU27" s="229">
        <v>1.5102</v>
      </c>
      <c r="AV27" s="230">
        <v>21092175</v>
      </c>
      <c r="AW27" s="230">
        <v>7906275</v>
      </c>
      <c r="AX27" s="230">
        <v>13185900</v>
      </c>
      <c r="AY27" s="229">
        <v>1.6677999999999999</v>
      </c>
      <c r="AZ27" s="230">
        <v>1559025</v>
      </c>
      <c r="BA27" s="230">
        <v>1099800</v>
      </c>
      <c r="BB27" s="230">
        <v>459225</v>
      </c>
      <c r="BC27" s="229">
        <v>0.41760000000000003</v>
      </c>
      <c r="BD27" s="230">
        <v>102375</v>
      </c>
      <c r="BE27" s="230">
        <v>58500</v>
      </c>
      <c r="BF27" s="230">
        <v>43875</v>
      </c>
      <c r="BG27" s="229">
        <v>0.75</v>
      </c>
      <c r="BH27" s="230">
        <v>49479300</v>
      </c>
      <c r="BI27" s="230">
        <v>18108675</v>
      </c>
      <c r="BJ27" s="230">
        <v>31370625</v>
      </c>
      <c r="BK27" s="229">
        <v>1.7323999999999999</v>
      </c>
      <c r="BL27" s="230">
        <v>17523675</v>
      </c>
      <c r="BM27" s="230">
        <v>6803550</v>
      </c>
      <c r="BN27" s="230">
        <v>10720125</v>
      </c>
      <c r="BO27" s="229">
        <v>1.5757000000000001</v>
      </c>
      <c r="BP27" s="230">
        <v>89756550</v>
      </c>
      <c r="BQ27" s="230">
        <v>33976800</v>
      </c>
      <c r="BR27" s="230">
        <v>55779750</v>
      </c>
      <c r="BS27" s="229">
        <v>1.6416999999999999</v>
      </c>
      <c r="BT27" s="230">
        <v>18000691</v>
      </c>
      <c r="BU27" s="230">
        <v>6573355</v>
      </c>
      <c r="BV27" s="230">
        <v>11427336</v>
      </c>
      <c r="BW27" s="229">
        <v>1.7383999999999999</v>
      </c>
      <c r="BX27" s="230">
        <v>115955775</v>
      </c>
      <c r="BY27" s="230">
        <v>115280100</v>
      </c>
      <c r="BZ27" s="230">
        <v>675675</v>
      </c>
      <c r="CA27" s="229">
        <v>5.8999999999999999E-3</v>
      </c>
      <c r="CB27" s="230">
        <v>105516450</v>
      </c>
      <c r="CC27" s="230">
        <v>105346800</v>
      </c>
      <c r="CD27" s="230">
        <v>169650</v>
      </c>
      <c r="CE27" s="229">
        <v>1.6000000000000001E-3</v>
      </c>
      <c r="CF27" s="230">
        <v>10328175</v>
      </c>
      <c r="CG27" s="230">
        <v>9828000</v>
      </c>
      <c r="CH27" s="230">
        <v>500175</v>
      </c>
      <c r="CI27" s="229">
        <v>5.0900000000000001E-2</v>
      </c>
      <c r="CJ27" s="230">
        <v>111150</v>
      </c>
      <c r="CK27" s="230">
        <v>105300</v>
      </c>
      <c r="CL27" s="230">
        <v>5850</v>
      </c>
      <c r="CM27" s="229">
        <v>5.5599999999999997E-2</v>
      </c>
      <c r="CN27" s="230">
        <v>33684300</v>
      </c>
      <c r="CO27" s="230">
        <v>33508800</v>
      </c>
      <c r="CP27" s="230">
        <v>175500</v>
      </c>
      <c r="CQ27" s="229">
        <v>5.1999999999999998E-3</v>
      </c>
      <c r="CR27" s="230">
        <v>26690625</v>
      </c>
      <c r="CS27" s="230">
        <v>26047125</v>
      </c>
      <c r="CT27" s="230">
        <v>643500</v>
      </c>
      <c r="CU27" s="229">
        <v>2.47E-2</v>
      </c>
      <c r="CV27" s="230">
        <v>176330700</v>
      </c>
      <c r="CW27" s="230">
        <v>174836025</v>
      </c>
      <c r="CX27" s="230">
        <v>1494675</v>
      </c>
      <c r="CY27" s="229">
        <v>8.5000000000000006E-3</v>
      </c>
      <c r="CZ27" s="228">
        <v>36.090000000000003</v>
      </c>
      <c r="DA27" s="228">
        <v>36.020000000000003</v>
      </c>
      <c r="DB27" s="228">
        <v>7.0000000000000007E-2</v>
      </c>
      <c r="DC27" s="228">
        <v>7.0000000000000007E-2</v>
      </c>
      <c r="DD27" s="228">
        <v>36.49</v>
      </c>
      <c r="DE27" s="228">
        <v>36.380000000000003</v>
      </c>
      <c r="DF27" s="228">
        <v>-0.4</v>
      </c>
      <c r="DG27" s="228">
        <v>0.11</v>
      </c>
      <c r="DH27" s="228">
        <v>35.9</v>
      </c>
      <c r="DI27" s="228">
        <v>36.06</v>
      </c>
      <c r="DJ27" s="228">
        <v>-0.16</v>
      </c>
      <c r="DK27" s="228">
        <v>-0.16</v>
      </c>
      <c r="DL27" s="228">
        <v>36.65</v>
      </c>
      <c r="DM27" s="228">
        <v>35.93</v>
      </c>
      <c r="DN27" s="228">
        <v>0.72</v>
      </c>
      <c r="DO27" s="228">
        <v>0.72</v>
      </c>
      <c r="DP27" s="228">
        <v>0.79</v>
      </c>
      <c r="DQ27" s="228">
        <v>0.78</v>
      </c>
      <c r="DR27" s="228">
        <v>0.01</v>
      </c>
      <c r="DS27" s="229">
        <v>1.2800000000000001E-2</v>
      </c>
      <c r="DT27" s="228">
        <v>300</v>
      </c>
      <c r="DU27" s="228">
        <v>270</v>
      </c>
      <c r="DV27" s="228">
        <v>0.35</v>
      </c>
      <c r="DW27" s="228">
        <v>0.38</v>
      </c>
      <c r="DX27" s="228">
        <v>-0.03</v>
      </c>
      <c r="DY27" s="229">
        <v>-7.8899999999999998E-2</v>
      </c>
      <c r="DZ27" s="229">
        <v>0.09</v>
      </c>
      <c r="EA27" s="230">
        <v>9933300</v>
      </c>
      <c r="EB27" s="229">
        <v>5.8999999999999999E-3</v>
      </c>
      <c r="EC27" s="229">
        <v>0.09</v>
      </c>
      <c r="ED27" s="228">
        <v>0.25</v>
      </c>
      <c r="EE27" s="229">
        <v>8.9999999999999998E-4</v>
      </c>
      <c r="EF27" s="230">
        <v>9388709</v>
      </c>
      <c r="EG27" s="230">
        <v>3187724</v>
      </c>
      <c r="EH27" s="229">
        <v>1.9453</v>
      </c>
      <c r="EI27" s="229">
        <v>0.52159999999999995</v>
      </c>
      <c r="EJ27" s="231">
        <v>141876.38</v>
      </c>
      <c r="EK27" s="231">
        <v>47177.95</v>
      </c>
      <c r="EL27" s="231">
        <v>61502.65</v>
      </c>
      <c r="EM27" s="231">
        <v>4442</v>
      </c>
      <c r="EN27" s="231">
        <v>250556.98</v>
      </c>
      <c r="EO27" s="231">
        <v>93719.11</v>
      </c>
      <c r="EP27" s="231">
        <v>156837.87</v>
      </c>
      <c r="EQ27" s="229">
        <v>1.6735</v>
      </c>
      <c r="ER27" s="231">
        <v>95557</v>
      </c>
      <c r="ES27" s="231">
        <v>73417</v>
      </c>
      <c r="ET27" s="231">
        <v>316032</v>
      </c>
      <c r="EU27" s="231">
        <v>279476623</v>
      </c>
      <c r="EV27" s="231">
        <v>485006</v>
      </c>
      <c r="EW27" s="231">
        <v>471734</v>
      </c>
      <c r="EX27" s="231">
        <v>13272</v>
      </c>
      <c r="EY27" s="229">
        <v>2.81E-2</v>
      </c>
      <c r="EZ27" s="229">
        <v>0.63090000000000002</v>
      </c>
      <c r="FA27" s="227" t="s">
        <v>555</v>
      </c>
      <c r="FB27" s="161">
        <f t="shared" si="0"/>
        <v>10439325</v>
      </c>
    </row>
    <row r="28" spans="1:158" ht="17.25" thickBot="1" x14ac:dyDescent="0.3">
      <c r="A28" s="226">
        <v>46148</v>
      </c>
      <c r="B28" s="227" t="s">
        <v>172</v>
      </c>
      <c r="C28" s="227" t="s">
        <v>601</v>
      </c>
      <c r="D28" s="228">
        <v>5200</v>
      </c>
      <c r="E28" s="228">
        <v>143.44</v>
      </c>
      <c r="F28" s="228">
        <v>139.34</v>
      </c>
      <c r="G28" s="228">
        <v>4.0999999999999996</v>
      </c>
      <c r="H28" s="229">
        <v>2.9399999999999999E-2</v>
      </c>
      <c r="I28" s="228">
        <v>142.34</v>
      </c>
      <c r="J28" s="228">
        <v>138.58000000000001</v>
      </c>
      <c r="K28" s="228">
        <v>3.76</v>
      </c>
      <c r="L28" s="229">
        <v>2.7099999999999999E-2</v>
      </c>
      <c r="M28" s="228">
        <v>143.44</v>
      </c>
      <c r="N28" s="228">
        <v>139.34</v>
      </c>
      <c r="O28" s="228">
        <v>4.0999999999999996</v>
      </c>
      <c r="P28" s="229">
        <v>2.9399999999999999E-2</v>
      </c>
      <c r="Q28" s="228">
        <v>144.51</v>
      </c>
      <c r="R28" s="228">
        <v>140.4</v>
      </c>
      <c r="S28" s="228">
        <v>4.1100000000000003</v>
      </c>
      <c r="T28" s="229">
        <v>2.93E-2</v>
      </c>
      <c r="U28" s="228">
        <v>144.96</v>
      </c>
      <c r="V28" s="228">
        <v>141.28</v>
      </c>
      <c r="W28" s="228">
        <v>3.68</v>
      </c>
      <c r="X28" s="229">
        <v>2.5999999999999999E-2</v>
      </c>
      <c r="Y28" s="228">
        <v>1.1000000000000001</v>
      </c>
      <c r="Z28" s="228">
        <v>0.76</v>
      </c>
      <c r="AA28" s="228">
        <v>0.34</v>
      </c>
      <c r="AB28" s="229">
        <v>7.7000000000000002E-3</v>
      </c>
      <c r="AC28" s="228">
        <v>1.1000000000000001</v>
      </c>
      <c r="AD28" s="228">
        <v>0.76</v>
      </c>
      <c r="AE28" s="228">
        <v>0.34</v>
      </c>
      <c r="AF28" s="229">
        <v>7.7000000000000002E-3</v>
      </c>
      <c r="AG28" s="228">
        <v>2.17</v>
      </c>
      <c r="AH28" s="228">
        <v>1.82</v>
      </c>
      <c r="AI28" s="228">
        <v>0.35</v>
      </c>
      <c r="AJ28" s="229">
        <v>1.52E-2</v>
      </c>
      <c r="AK28" s="228">
        <v>2.62</v>
      </c>
      <c r="AL28" s="228">
        <v>2.7</v>
      </c>
      <c r="AM28" s="228">
        <v>-0.08</v>
      </c>
      <c r="AN28" s="229">
        <v>1.84E-2</v>
      </c>
      <c r="AO28" s="228">
        <v>142.52000000000001</v>
      </c>
      <c r="AP28" s="228">
        <v>143.24</v>
      </c>
      <c r="AQ28" s="228">
        <v>0</v>
      </c>
      <c r="AR28" s="230">
        <v>21897200</v>
      </c>
      <c r="AS28" s="230">
        <v>8736000</v>
      </c>
      <c r="AT28" s="230">
        <v>13161200</v>
      </c>
      <c r="AU28" s="229">
        <v>1.5065</v>
      </c>
      <c r="AV28" s="230">
        <v>20971600</v>
      </c>
      <c r="AW28" s="230">
        <v>8346000</v>
      </c>
      <c r="AX28" s="230">
        <v>12625600</v>
      </c>
      <c r="AY28" s="229">
        <v>1.5127999999999999</v>
      </c>
      <c r="AZ28" s="230">
        <v>759200</v>
      </c>
      <c r="BA28" s="230">
        <v>280800</v>
      </c>
      <c r="BB28" s="230">
        <v>478400</v>
      </c>
      <c r="BC28" s="229">
        <v>1.7037</v>
      </c>
      <c r="BD28" s="230">
        <v>166400</v>
      </c>
      <c r="BE28" s="230">
        <v>109200</v>
      </c>
      <c r="BF28" s="230">
        <v>57200</v>
      </c>
      <c r="BG28" s="229">
        <v>0.52380000000000004</v>
      </c>
      <c r="BH28" s="230">
        <v>26499200</v>
      </c>
      <c r="BI28" s="230">
        <v>15173600</v>
      </c>
      <c r="BJ28" s="230">
        <v>11325600</v>
      </c>
      <c r="BK28" s="229">
        <v>0.74639999999999995</v>
      </c>
      <c r="BL28" s="230">
        <v>12360400</v>
      </c>
      <c r="BM28" s="230">
        <v>6110000</v>
      </c>
      <c r="BN28" s="230">
        <v>6250400</v>
      </c>
      <c r="BO28" s="229">
        <v>1.0229999999999999</v>
      </c>
      <c r="BP28" s="230">
        <v>60756800</v>
      </c>
      <c r="BQ28" s="230">
        <v>30019600</v>
      </c>
      <c r="BR28" s="230">
        <v>30737200</v>
      </c>
      <c r="BS28" s="229">
        <v>1.0239</v>
      </c>
      <c r="BT28" s="230">
        <v>22380667</v>
      </c>
      <c r="BU28" s="230">
        <v>9421948</v>
      </c>
      <c r="BV28" s="230">
        <v>12958719</v>
      </c>
      <c r="BW28" s="229">
        <v>1.3754</v>
      </c>
      <c r="BX28" s="230">
        <v>60169200</v>
      </c>
      <c r="BY28" s="230">
        <v>56695600</v>
      </c>
      <c r="BZ28" s="230">
        <v>3473600</v>
      </c>
      <c r="CA28" s="229">
        <v>6.13E-2</v>
      </c>
      <c r="CB28" s="230">
        <v>58032000</v>
      </c>
      <c r="CC28" s="230">
        <v>54709200</v>
      </c>
      <c r="CD28" s="230">
        <v>3322800</v>
      </c>
      <c r="CE28" s="229">
        <v>6.0699999999999997E-2</v>
      </c>
      <c r="CF28" s="230">
        <v>1840800</v>
      </c>
      <c r="CG28" s="230">
        <v>1768000</v>
      </c>
      <c r="CH28" s="230">
        <v>72800</v>
      </c>
      <c r="CI28" s="229">
        <v>4.1200000000000001E-2</v>
      </c>
      <c r="CJ28" s="230">
        <v>296400</v>
      </c>
      <c r="CK28" s="230">
        <v>218400</v>
      </c>
      <c r="CL28" s="230">
        <v>78000</v>
      </c>
      <c r="CM28" s="229">
        <v>0.35709999999999997</v>
      </c>
      <c r="CN28" s="230">
        <v>21008000</v>
      </c>
      <c r="CO28" s="230">
        <v>19000800</v>
      </c>
      <c r="CP28" s="230">
        <v>2007200</v>
      </c>
      <c r="CQ28" s="229">
        <v>0.1056</v>
      </c>
      <c r="CR28" s="230">
        <v>14872000</v>
      </c>
      <c r="CS28" s="230">
        <v>14840800</v>
      </c>
      <c r="CT28" s="230">
        <v>31200</v>
      </c>
      <c r="CU28" s="229">
        <v>2.0999999999999999E-3</v>
      </c>
      <c r="CV28" s="230">
        <v>96049200</v>
      </c>
      <c r="CW28" s="230">
        <v>90537200</v>
      </c>
      <c r="CX28" s="230">
        <v>5512000</v>
      </c>
      <c r="CY28" s="229">
        <v>6.0900000000000003E-2</v>
      </c>
      <c r="CZ28" s="228">
        <v>42.72</v>
      </c>
      <c r="DA28" s="228">
        <v>42.89</v>
      </c>
      <c r="DB28" s="228">
        <v>-0.17</v>
      </c>
      <c r="DC28" s="228">
        <v>-0.17</v>
      </c>
      <c r="DD28" s="228">
        <v>42.4</v>
      </c>
      <c r="DE28" s="228">
        <v>42.33</v>
      </c>
      <c r="DF28" s="228">
        <v>0.32</v>
      </c>
      <c r="DG28" s="228">
        <v>7.0000000000000007E-2</v>
      </c>
      <c r="DH28" s="228">
        <v>42.64</v>
      </c>
      <c r="DI28" s="228">
        <v>42.86</v>
      </c>
      <c r="DJ28" s="228">
        <v>-0.22</v>
      </c>
      <c r="DK28" s="228">
        <v>-0.22</v>
      </c>
      <c r="DL28" s="228">
        <v>42.88</v>
      </c>
      <c r="DM28" s="228">
        <v>42.97</v>
      </c>
      <c r="DN28" s="228">
        <v>-0.09</v>
      </c>
      <c r="DO28" s="228">
        <v>-0.09</v>
      </c>
      <c r="DP28" s="228">
        <v>0.71</v>
      </c>
      <c r="DQ28" s="228">
        <v>0.78</v>
      </c>
      <c r="DR28" s="228">
        <v>-7.0000000000000007E-2</v>
      </c>
      <c r="DS28" s="229">
        <v>-8.9700000000000002E-2</v>
      </c>
      <c r="DT28" s="228">
        <v>150</v>
      </c>
      <c r="DU28" s="228">
        <v>150</v>
      </c>
      <c r="DV28" s="228">
        <v>0.47</v>
      </c>
      <c r="DW28" s="228">
        <v>0.4</v>
      </c>
      <c r="DX28" s="228">
        <v>7.0000000000000007E-2</v>
      </c>
      <c r="DY28" s="229">
        <v>0.17499999999999999</v>
      </c>
      <c r="DZ28" s="229">
        <v>3.5499999999999997E-2</v>
      </c>
      <c r="EA28" s="230">
        <v>1986400</v>
      </c>
      <c r="EB28" s="229">
        <v>7.4999999999999997E-3</v>
      </c>
      <c r="EC28" s="229">
        <v>3.5499999999999997E-2</v>
      </c>
      <c r="ED28" s="228">
        <v>0.72</v>
      </c>
      <c r="EE28" s="229">
        <v>5.1000000000000004E-3</v>
      </c>
      <c r="EF28" s="230">
        <v>11318375</v>
      </c>
      <c r="EG28" s="230">
        <v>3559228</v>
      </c>
      <c r="EH28" s="229">
        <v>2.1800000000000002</v>
      </c>
      <c r="EI28" s="229">
        <v>0.50570000000000004</v>
      </c>
      <c r="EJ28" s="231">
        <v>40342.14</v>
      </c>
      <c r="EK28" s="231">
        <v>17326.41</v>
      </c>
      <c r="EL28" s="231">
        <v>31214.720000000001</v>
      </c>
      <c r="EM28" s="231">
        <v>1919</v>
      </c>
      <c r="EN28" s="231">
        <v>88883.27</v>
      </c>
      <c r="EO28" s="231">
        <v>43393.74</v>
      </c>
      <c r="EP28" s="231">
        <v>45489.53</v>
      </c>
      <c r="EQ28" s="229">
        <v>1.0483</v>
      </c>
      <c r="ER28" s="231">
        <v>31538</v>
      </c>
      <c r="ES28" s="231">
        <v>21287</v>
      </c>
      <c r="ET28" s="231">
        <v>86331</v>
      </c>
      <c r="EU28" s="231">
        <v>181770921</v>
      </c>
      <c r="EV28" s="231">
        <v>139156</v>
      </c>
      <c r="EW28" s="231">
        <v>128739</v>
      </c>
      <c r="EX28" s="231">
        <v>10417</v>
      </c>
      <c r="EY28" s="229">
        <v>8.09E-2</v>
      </c>
      <c r="EZ28" s="229">
        <v>0.52839999999999998</v>
      </c>
      <c r="FA28" s="227" t="s">
        <v>555</v>
      </c>
      <c r="FB28" s="161">
        <f t="shared" si="0"/>
        <v>2137200</v>
      </c>
    </row>
    <row r="29" spans="1:158" ht="17.25" thickBot="1" x14ac:dyDescent="0.3">
      <c r="A29" s="226">
        <v>46148</v>
      </c>
      <c r="B29" s="227" t="s">
        <v>181</v>
      </c>
      <c r="C29" s="227" t="s">
        <v>182</v>
      </c>
      <c r="D29" s="228">
        <v>30</v>
      </c>
      <c r="E29" s="231">
        <v>56348.6</v>
      </c>
      <c r="F29" s="231">
        <v>54808</v>
      </c>
      <c r="G29" s="231">
        <v>1540.6</v>
      </c>
      <c r="H29" s="229">
        <v>2.81E-2</v>
      </c>
      <c r="I29" s="231">
        <v>55981.05</v>
      </c>
      <c r="J29" s="231">
        <v>54547.05</v>
      </c>
      <c r="K29" s="231">
        <v>1434</v>
      </c>
      <c r="L29" s="229">
        <v>2.63E-2</v>
      </c>
      <c r="M29" s="231">
        <v>56348.6</v>
      </c>
      <c r="N29" s="231">
        <v>54808</v>
      </c>
      <c r="O29" s="231">
        <v>1540.6</v>
      </c>
      <c r="P29" s="229">
        <v>2.81E-2</v>
      </c>
      <c r="Q29" s="231">
        <v>56532.4</v>
      </c>
      <c r="R29" s="231">
        <v>55005</v>
      </c>
      <c r="S29" s="231">
        <v>1527.4</v>
      </c>
      <c r="T29" s="229">
        <v>2.7799999999999998E-2</v>
      </c>
      <c r="U29" s="231">
        <v>56893.2</v>
      </c>
      <c r="V29" s="231">
        <v>55307.199999999997</v>
      </c>
      <c r="W29" s="231">
        <v>1586</v>
      </c>
      <c r="X29" s="229">
        <v>2.87E-2</v>
      </c>
      <c r="Y29" s="228">
        <v>367.55</v>
      </c>
      <c r="Z29" s="228">
        <v>260.95</v>
      </c>
      <c r="AA29" s="228">
        <v>106.6</v>
      </c>
      <c r="AB29" s="229">
        <v>6.6E-3</v>
      </c>
      <c r="AC29" s="228">
        <v>367.55</v>
      </c>
      <c r="AD29" s="228">
        <v>260.95</v>
      </c>
      <c r="AE29" s="228">
        <v>106.6</v>
      </c>
      <c r="AF29" s="229">
        <v>6.6E-3</v>
      </c>
      <c r="AG29" s="228">
        <v>551.35</v>
      </c>
      <c r="AH29" s="228">
        <v>457.95</v>
      </c>
      <c r="AI29" s="228">
        <v>93.4</v>
      </c>
      <c r="AJ29" s="229">
        <v>9.7999999999999997E-3</v>
      </c>
      <c r="AK29" s="228">
        <v>912.15</v>
      </c>
      <c r="AL29" s="228">
        <v>760.15</v>
      </c>
      <c r="AM29" s="228">
        <v>152</v>
      </c>
      <c r="AN29" s="229">
        <v>1.6299999999999999E-2</v>
      </c>
      <c r="AO29" s="231">
        <v>55712.56</v>
      </c>
      <c r="AP29" s="231">
        <v>55878.19</v>
      </c>
      <c r="AQ29" s="228">
        <v>0</v>
      </c>
      <c r="AR29" s="230">
        <v>1625880</v>
      </c>
      <c r="AS29" s="230">
        <v>934590</v>
      </c>
      <c r="AT29" s="230">
        <v>691290</v>
      </c>
      <c r="AU29" s="229">
        <v>0.73970000000000002</v>
      </c>
      <c r="AV29" s="230">
        <v>1461330</v>
      </c>
      <c r="AW29" s="230">
        <v>841260</v>
      </c>
      <c r="AX29" s="230">
        <v>620070</v>
      </c>
      <c r="AY29" s="229">
        <v>0.73709999999999998</v>
      </c>
      <c r="AZ29" s="230">
        <v>117840</v>
      </c>
      <c r="BA29" s="230">
        <v>72300</v>
      </c>
      <c r="BB29" s="230">
        <v>45540</v>
      </c>
      <c r="BC29" s="229">
        <v>0.62990000000000002</v>
      </c>
      <c r="BD29" s="230">
        <v>46710</v>
      </c>
      <c r="BE29" s="230">
        <v>21030</v>
      </c>
      <c r="BF29" s="230">
        <v>25680</v>
      </c>
      <c r="BG29" s="229">
        <v>1.2211000000000001</v>
      </c>
      <c r="BH29" s="230">
        <v>47099370</v>
      </c>
      <c r="BI29" s="230">
        <v>28427790</v>
      </c>
      <c r="BJ29" s="230">
        <v>18671580</v>
      </c>
      <c r="BK29" s="229">
        <v>0.65680000000000005</v>
      </c>
      <c r="BL29" s="230">
        <v>40181340</v>
      </c>
      <c r="BM29" s="230">
        <v>23821020</v>
      </c>
      <c r="BN29" s="230">
        <v>16360320</v>
      </c>
      <c r="BO29" s="229">
        <v>0.68679999999999997</v>
      </c>
      <c r="BP29" s="230">
        <v>88906590</v>
      </c>
      <c r="BQ29" s="230">
        <v>53183400</v>
      </c>
      <c r="BR29" s="230">
        <v>35723190</v>
      </c>
      <c r="BS29" s="229">
        <v>0.67169999999999996</v>
      </c>
      <c r="BT29" s="228">
        <v>0</v>
      </c>
      <c r="BU29" s="228">
        <v>0</v>
      </c>
      <c r="BV29" s="228">
        <v>0</v>
      </c>
      <c r="BW29" s="229">
        <v>0</v>
      </c>
      <c r="BX29" s="230">
        <v>2478420</v>
      </c>
      <c r="BY29" s="230">
        <v>2459310</v>
      </c>
      <c r="BZ29" s="230">
        <v>19110</v>
      </c>
      <c r="CA29" s="229">
        <v>7.7999999999999996E-3</v>
      </c>
      <c r="CB29" s="230">
        <v>2177550</v>
      </c>
      <c r="CC29" s="230">
        <v>2189730</v>
      </c>
      <c r="CD29" s="230">
        <v>-12180</v>
      </c>
      <c r="CE29" s="229">
        <v>-5.5999999999999999E-3</v>
      </c>
      <c r="CF29" s="230">
        <v>267060</v>
      </c>
      <c r="CG29" s="230">
        <v>246690</v>
      </c>
      <c r="CH29" s="230">
        <v>20370</v>
      </c>
      <c r="CI29" s="229">
        <v>8.2600000000000007E-2</v>
      </c>
      <c r="CJ29" s="230">
        <v>33810</v>
      </c>
      <c r="CK29" s="230">
        <v>22890</v>
      </c>
      <c r="CL29" s="230">
        <v>10920</v>
      </c>
      <c r="CM29" s="229">
        <v>0.47710000000000002</v>
      </c>
      <c r="CN29" s="230">
        <v>13784910</v>
      </c>
      <c r="CO29" s="230">
        <v>14439060</v>
      </c>
      <c r="CP29" s="230">
        <v>-654150</v>
      </c>
      <c r="CQ29" s="229">
        <v>-4.53E-2</v>
      </c>
      <c r="CR29" s="230">
        <v>13094130</v>
      </c>
      <c r="CS29" s="230">
        <v>12247650</v>
      </c>
      <c r="CT29" s="230">
        <v>846480</v>
      </c>
      <c r="CU29" s="229">
        <v>6.9099999999999995E-2</v>
      </c>
      <c r="CV29" s="230">
        <v>29357460</v>
      </c>
      <c r="CW29" s="230">
        <v>29146020</v>
      </c>
      <c r="CX29" s="230">
        <v>211440</v>
      </c>
      <c r="CY29" s="229">
        <v>7.3000000000000001E-3</v>
      </c>
      <c r="CZ29" s="228">
        <v>19.32</v>
      </c>
      <c r="DA29" s="228">
        <v>20.57</v>
      </c>
      <c r="DB29" s="228">
        <v>-1.25</v>
      </c>
      <c r="DC29" s="228">
        <v>-1.25</v>
      </c>
      <c r="DD29" s="228">
        <v>21.37</v>
      </c>
      <c r="DE29" s="228">
        <v>21.14</v>
      </c>
      <c r="DF29" s="228">
        <v>-2.0499999999999998</v>
      </c>
      <c r="DG29" s="228">
        <v>0.23</v>
      </c>
      <c r="DH29" s="228">
        <v>17.89</v>
      </c>
      <c r="DI29" s="228">
        <v>19.829999999999998</v>
      </c>
      <c r="DJ29" s="228">
        <v>-1.94</v>
      </c>
      <c r="DK29" s="228">
        <v>-1.94</v>
      </c>
      <c r="DL29" s="228">
        <v>20.99</v>
      </c>
      <c r="DM29" s="228">
        <v>21.45</v>
      </c>
      <c r="DN29" s="228">
        <v>-0.46</v>
      </c>
      <c r="DO29" s="228">
        <v>-0.46</v>
      </c>
      <c r="DP29" s="228">
        <v>0.95</v>
      </c>
      <c r="DQ29" s="228">
        <v>0.85</v>
      </c>
      <c r="DR29" s="228">
        <v>0.1</v>
      </c>
      <c r="DS29" s="229">
        <v>0.1176</v>
      </c>
      <c r="DT29" s="231">
        <v>60000</v>
      </c>
      <c r="DU29" s="231">
        <v>60000</v>
      </c>
      <c r="DV29" s="228">
        <v>0.85</v>
      </c>
      <c r="DW29" s="228">
        <v>0.84</v>
      </c>
      <c r="DX29" s="228">
        <v>0.01</v>
      </c>
      <c r="DY29" s="229">
        <v>1.1900000000000001E-2</v>
      </c>
      <c r="DZ29" s="229">
        <v>0.12139999999999999</v>
      </c>
      <c r="EA29" s="230">
        <v>269580</v>
      </c>
      <c r="EB29" s="229">
        <v>3.3E-3</v>
      </c>
      <c r="EC29" s="229">
        <v>0.12139999999999999</v>
      </c>
      <c r="ED29" s="228">
        <v>165.63</v>
      </c>
      <c r="EE29" s="229">
        <v>3.0000000000000001E-3</v>
      </c>
      <c r="EF29" s="228">
        <v>0</v>
      </c>
      <c r="EG29" s="228">
        <v>0</v>
      </c>
      <c r="EH29" s="229">
        <v>0</v>
      </c>
      <c r="EI29" s="229">
        <v>0</v>
      </c>
      <c r="EJ29" s="231">
        <v>27233074.699999999</v>
      </c>
      <c r="EK29" s="231">
        <v>21716052.039999999</v>
      </c>
      <c r="EL29" s="231">
        <v>906313.98</v>
      </c>
      <c r="EM29" s="228">
        <v>0</v>
      </c>
      <c r="EN29" s="231">
        <v>49855440.719999999</v>
      </c>
      <c r="EO29" s="231">
        <v>29712560.809999999</v>
      </c>
      <c r="EP29" s="231">
        <v>20142879.91</v>
      </c>
      <c r="EQ29" s="229">
        <v>0.67789999999999995</v>
      </c>
      <c r="ER29" s="231">
        <v>8034914</v>
      </c>
      <c r="ES29" s="231">
        <v>7105101</v>
      </c>
      <c r="ET29" s="231">
        <v>1397230</v>
      </c>
      <c r="EU29" s="228">
        <v>0</v>
      </c>
      <c r="EV29" s="231">
        <v>16537245</v>
      </c>
      <c r="EW29" s="231">
        <v>16381159</v>
      </c>
      <c r="EX29" s="231">
        <v>156086</v>
      </c>
      <c r="EY29" s="229">
        <v>9.4999999999999998E-3</v>
      </c>
      <c r="EZ29" s="229">
        <v>0</v>
      </c>
      <c r="FA29" s="227" t="s">
        <v>555</v>
      </c>
      <c r="FB29" s="161">
        <f t="shared" si="0"/>
        <v>300870</v>
      </c>
    </row>
    <row r="30" spans="1:158" ht="17.25" thickBot="1" x14ac:dyDescent="0.3">
      <c r="A30" s="226">
        <v>46148</v>
      </c>
      <c r="B30" s="227" t="s">
        <v>184</v>
      </c>
      <c r="C30" s="227" t="s">
        <v>668</v>
      </c>
      <c r="D30" s="228">
        <v>350</v>
      </c>
      <c r="E30" s="231">
        <v>1402.2</v>
      </c>
      <c r="F30" s="231">
        <v>1399.4</v>
      </c>
      <c r="G30" s="228">
        <v>2.8</v>
      </c>
      <c r="H30" s="229">
        <v>2E-3</v>
      </c>
      <c r="I30" s="231">
        <v>1401.5</v>
      </c>
      <c r="J30" s="231">
        <v>1398.6</v>
      </c>
      <c r="K30" s="228">
        <v>2.9</v>
      </c>
      <c r="L30" s="229">
        <v>2.0999999999999999E-3</v>
      </c>
      <c r="M30" s="231">
        <v>1402.2</v>
      </c>
      <c r="N30" s="231">
        <v>1399.4</v>
      </c>
      <c r="O30" s="228">
        <v>2.8</v>
      </c>
      <c r="P30" s="229">
        <v>2E-3</v>
      </c>
      <c r="Q30" s="231">
        <v>1395.8</v>
      </c>
      <c r="R30" s="231">
        <v>1390</v>
      </c>
      <c r="S30" s="228">
        <v>5.8</v>
      </c>
      <c r="T30" s="229">
        <v>4.1999999999999997E-3</v>
      </c>
      <c r="U30" s="231">
        <v>1393</v>
      </c>
      <c r="V30" s="231">
        <v>1384.9</v>
      </c>
      <c r="W30" s="228">
        <v>8.1</v>
      </c>
      <c r="X30" s="229">
        <v>5.7999999999999996E-3</v>
      </c>
      <c r="Y30" s="228">
        <v>0.7</v>
      </c>
      <c r="Z30" s="228">
        <v>0.8</v>
      </c>
      <c r="AA30" s="228">
        <v>-0.1</v>
      </c>
      <c r="AB30" s="229">
        <v>5.0000000000000001E-4</v>
      </c>
      <c r="AC30" s="228">
        <v>0.7</v>
      </c>
      <c r="AD30" s="228">
        <v>0.8</v>
      </c>
      <c r="AE30" s="228">
        <v>-0.1</v>
      </c>
      <c r="AF30" s="229">
        <v>5.0000000000000001E-4</v>
      </c>
      <c r="AG30" s="228">
        <v>-5.7</v>
      </c>
      <c r="AH30" s="228">
        <v>-8.6</v>
      </c>
      <c r="AI30" s="228">
        <v>2.9</v>
      </c>
      <c r="AJ30" s="229">
        <v>-4.1000000000000003E-3</v>
      </c>
      <c r="AK30" s="228">
        <v>-8.5</v>
      </c>
      <c r="AL30" s="228">
        <v>-13.7</v>
      </c>
      <c r="AM30" s="228">
        <v>5.2</v>
      </c>
      <c r="AN30" s="229">
        <v>-6.1000000000000004E-3</v>
      </c>
      <c r="AO30" s="231">
        <v>1405.94</v>
      </c>
      <c r="AP30" s="231">
        <v>1394.48</v>
      </c>
      <c r="AQ30" s="228">
        <v>0</v>
      </c>
      <c r="AR30" s="230">
        <v>949900</v>
      </c>
      <c r="AS30" s="230">
        <v>694750</v>
      </c>
      <c r="AT30" s="230">
        <v>255150</v>
      </c>
      <c r="AU30" s="229">
        <v>0.36730000000000002</v>
      </c>
      <c r="AV30" s="230">
        <v>827400</v>
      </c>
      <c r="AW30" s="230">
        <v>633150</v>
      </c>
      <c r="AX30" s="230">
        <v>194250</v>
      </c>
      <c r="AY30" s="229">
        <v>0.30680000000000002</v>
      </c>
      <c r="AZ30" s="230">
        <v>114100</v>
      </c>
      <c r="BA30" s="230">
        <v>57750</v>
      </c>
      <c r="BB30" s="230">
        <v>56350</v>
      </c>
      <c r="BC30" s="229">
        <v>0.9758</v>
      </c>
      <c r="BD30" s="230">
        <v>8400</v>
      </c>
      <c r="BE30" s="230">
        <v>3850</v>
      </c>
      <c r="BF30" s="230">
        <v>4550</v>
      </c>
      <c r="BG30" s="229">
        <v>1.1818</v>
      </c>
      <c r="BH30" s="230">
        <v>2992150</v>
      </c>
      <c r="BI30" s="230">
        <v>2821700</v>
      </c>
      <c r="BJ30" s="230">
        <v>170450</v>
      </c>
      <c r="BK30" s="229">
        <v>6.0400000000000002E-2</v>
      </c>
      <c r="BL30" s="230">
        <v>760900</v>
      </c>
      <c r="BM30" s="230">
        <v>849800</v>
      </c>
      <c r="BN30" s="230">
        <v>-88900</v>
      </c>
      <c r="BO30" s="229">
        <v>-0.1046</v>
      </c>
      <c r="BP30" s="230">
        <v>4702950</v>
      </c>
      <c r="BQ30" s="230">
        <v>4366250</v>
      </c>
      <c r="BR30" s="230">
        <v>336700</v>
      </c>
      <c r="BS30" s="229">
        <v>7.7100000000000002E-2</v>
      </c>
      <c r="BT30" s="230">
        <v>1163167</v>
      </c>
      <c r="BU30" s="230">
        <v>1019891</v>
      </c>
      <c r="BV30" s="230">
        <v>143276</v>
      </c>
      <c r="BW30" s="229">
        <v>0.14050000000000001</v>
      </c>
      <c r="BX30" s="230">
        <v>3488800</v>
      </c>
      <c r="BY30" s="230">
        <v>3389600</v>
      </c>
      <c r="BZ30" s="230">
        <v>99200</v>
      </c>
      <c r="CA30" s="229">
        <v>2.93E-2</v>
      </c>
      <c r="CB30" s="230">
        <v>3191300</v>
      </c>
      <c r="CC30" s="230">
        <v>3133550</v>
      </c>
      <c r="CD30" s="230">
        <v>57750</v>
      </c>
      <c r="CE30" s="229">
        <v>1.84E-2</v>
      </c>
      <c r="CF30" s="230">
        <v>273700</v>
      </c>
      <c r="CG30" s="230">
        <v>239050</v>
      </c>
      <c r="CH30" s="230">
        <v>34650</v>
      </c>
      <c r="CI30" s="229">
        <v>0.1449</v>
      </c>
      <c r="CJ30" s="230">
        <v>23800</v>
      </c>
      <c r="CK30" s="230">
        <v>17000</v>
      </c>
      <c r="CL30" s="230">
        <v>6800</v>
      </c>
      <c r="CM30" s="229">
        <v>0.4</v>
      </c>
      <c r="CN30" s="230">
        <v>2464700</v>
      </c>
      <c r="CO30" s="230">
        <v>2098250</v>
      </c>
      <c r="CP30" s="230">
        <v>366450</v>
      </c>
      <c r="CQ30" s="229">
        <v>0.17460000000000001</v>
      </c>
      <c r="CR30" s="230">
        <v>1312150</v>
      </c>
      <c r="CS30" s="230">
        <v>1237250</v>
      </c>
      <c r="CT30" s="230">
        <v>74900</v>
      </c>
      <c r="CU30" s="229">
        <v>6.0499999999999998E-2</v>
      </c>
      <c r="CV30" s="230">
        <v>7265650</v>
      </c>
      <c r="CW30" s="230">
        <v>6725100</v>
      </c>
      <c r="CX30" s="230">
        <v>540550</v>
      </c>
      <c r="CY30" s="229">
        <v>8.0399999999999999E-2</v>
      </c>
      <c r="CZ30" s="228">
        <v>42.78</v>
      </c>
      <c r="DA30" s="228">
        <v>44.27</v>
      </c>
      <c r="DB30" s="228">
        <v>-1.49</v>
      </c>
      <c r="DC30" s="228">
        <v>-1.49</v>
      </c>
      <c r="DD30" s="228">
        <v>52.25</v>
      </c>
      <c r="DE30" s="228">
        <v>52.38</v>
      </c>
      <c r="DF30" s="228">
        <v>-9.4700000000000006</v>
      </c>
      <c r="DG30" s="228">
        <v>-0.13</v>
      </c>
      <c r="DH30" s="228">
        <v>42.7</v>
      </c>
      <c r="DI30" s="228">
        <v>43.91</v>
      </c>
      <c r="DJ30" s="228">
        <v>-1.21</v>
      </c>
      <c r="DK30" s="228">
        <v>-1.21</v>
      </c>
      <c r="DL30" s="228">
        <v>43.08</v>
      </c>
      <c r="DM30" s="228">
        <v>45.48</v>
      </c>
      <c r="DN30" s="228">
        <v>-2.4</v>
      </c>
      <c r="DO30" s="228">
        <v>-2.4</v>
      </c>
      <c r="DP30" s="228">
        <v>0.53</v>
      </c>
      <c r="DQ30" s="228">
        <v>0.59</v>
      </c>
      <c r="DR30" s="228">
        <v>-0.06</v>
      </c>
      <c r="DS30" s="229">
        <v>-0.1017</v>
      </c>
      <c r="DT30" s="231">
        <v>1400</v>
      </c>
      <c r="DU30" s="231">
        <v>1400</v>
      </c>
      <c r="DV30" s="228">
        <v>0.25</v>
      </c>
      <c r="DW30" s="228">
        <v>0.3</v>
      </c>
      <c r="DX30" s="228">
        <v>-0.05</v>
      </c>
      <c r="DY30" s="229">
        <v>-0.16669999999999999</v>
      </c>
      <c r="DZ30" s="229">
        <v>8.5300000000000001E-2</v>
      </c>
      <c r="EA30" s="230">
        <v>256050</v>
      </c>
      <c r="EB30" s="229">
        <v>-4.5999999999999999E-3</v>
      </c>
      <c r="EC30" s="229">
        <v>8.5300000000000001E-2</v>
      </c>
      <c r="ED30" s="228">
        <v>-11.46</v>
      </c>
      <c r="EE30" s="229">
        <v>-8.2000000000000007E-3</v>
      </c>
      <c r="EF30" s="230">
        <v>357837</v>
      </c>
      <c r="EG30" s="230">
        <v>291564</v>
      </c>
      <c r="EH30" s="229">
        <v>0.2273</v>
      </c>
      <c r="EI30" s="229">
        <v>0.30759999999999998</v>
      </c>
      <c r="EJ30" s="231">
        <v>45017.47</v>
      </c>
      <c r="EK30" s="231">
        <v>10504.7</v>
      </c>
      <c r="EL30" s="231">
        <v>13366.5</v>
      </c>
      <c r="EM30" s="231">
        <v>3206</v>
      </c>
      <c r="EN30" s="231">
        <v>68888.67</v>
      </c>
      <c r="EO30" s="231">
        <v>63148.18</v>
      </c>
      <c r="EP30" s="231">
        <v>5740.49</v>
      </c>
      <c r="EQ30" s="229">
        <v>9.0899999999999995E-2</v>
      </c>
      <c r="ER30" s="231">
        <v>36070</v>
      </c>
      <c r="ES30" s="231">
        <v>17855</v>
      </c>
      <c r="ET30" s="231">
        <v>48900</v>
      </c>
      <c r="EU30" s="231">
        <v>13786716</v>
      </c>
      <c r="EV30" s="231">
        <v>102825</v>
      </c>
      <c r="EW30" s="231">
        <v>94832</v>
      </c>
      <c r="EX30" s="231">
        <v>7993</v>
      </c>
      <c r="EY30" s="229">
        <v>8.43E-2</v>
      </c>
      <c r="EZ30" s="229">
        <v>0.52700000000000002</v>
      </c>
      <c r="FA30" s="227" t="s">
        <v>555</v>
      </c>
      <c r="FB30" s="161">
        <f t="shared" si="0"/>
        <v>297500</v>
      </c>
    </row>
    <row r="31" spans="1:158" ht="17.25" thickBot="1" x14ac:dyDescent="0.3">
      <c r="A31" s="226">
        <v>46148</v>
      </c>
      <c r="B31" s="227" t="s">
        <v>184</v>
      </c>
      <c r="C31" s="227" t="s">
        <v>185</v>
      </c>
      <c r="D31" s="228">
        <v>1425</v>
      </c>
      <c r="E31" s="228">
        <v>439.95</v>
      </c>
      <c r="F31" s="228">
        <v>436.6</v>
      </c>
      <c r="G31" s="228">
        <v>3.35</v>
      </c>
      <c r="H31" s="229">
        <v>7.7000000000000002E-3</v>
      </c>
      <c r="I31" s="228">
        <v>438.2</v>
      </c>
      <c r="J31" s="228">
        <v>433.35</v>
      </c>
      <c r="K31" s="228">
        <v>4.8499999999999996</v>
      </c>
      <c r="L31" s="229">
        <v>1.12E-2</v>
      </c>
      <c r="M31" s="228">
        <v>439.95</v>
      </c>
      <c r="N31" s="228">
        <v>436.6</v>
      </c>
      <c r="O31" s="228">
        <v>3.35</v>
      </c>
      <c r="P31" s="229">
        <v>7.7000000000000002E-3</v>
      </c>
      <c r="Q31" s="228">
        <v>442.7</v>
      </c>
      <c r="R31" s="228">
        <v>438.75</v>
      </c>
      <c r="S31" s="228">
        <v>3.95</v>
      </c>
      <c r="T31" s="229">
        <v>8.9999999999999993E-3</v>
      </c>
      <c r="U31" s="228">
        <v>445.3</v>
      </c>
      <c r="V31" s="228">
        <v>441.85</v>
      </c>
      <c r="W31" s="228">
        <v>3.45</v>
      </c>
      <c r="X31" s="229">
        <v>7.7999999999999996E-3</v>
      </c>
      <c r="Y31" s="228">
        <v>1.75</v>
      </c>
      <c r="Z31" s="228">
        <v>3.25</v>
      </c>
      <c r="AA31" s="228">
        <v>-1.5</v>
      </c>
      <c r="AB31" s="229">
        <v>4.0000000000000001E-3</v>
      </c>
      <c r="AC31" s="228">
        <v>1.75</v>
      </c>
      <c r="AD31" s="228">
        <v>3.25</v>
      </c>
      <c r="AE31" s="228">
        <v>-1.5</v>
      </c>
      <c r="AF31" s="229">
        <v>4.0000000000000001E-3</v>
      </c>
      <c r="AG31" s="228">
        <v>4.5</v>
      </c>
      <c r="AH31" s="228">
        <v>5.4</v>
      </c>
      <c r="AI31" s="228">
        <v>-0.9</v>
      </c>
      <c r="AJ31" s="229">
        <v>1.03E-2</v>
      </c>
      <c r="AK31" s="228">
        <v>7.1</v>
      </c>
      <c r="AL31" s="228">
        <v>8.5</v>
      </c>
      <c r="AM31" s="228">
        <v>-1.4</v>
      </c>
      <c r="AN31" s="229">
        <v>1.6199999999999999E-2</v>
      </c>
      <c r="AO31" s="228">
        <v>439.09</v>
      </c>
      <c r="AP31" s="228">
        <v>442.04</v>
      </c>
      <c r="AQ31" s="228">
        <v>0</v>
      </c>
      <c r="AR31" s="230">
        <v>13298100</v>
      </c>
      <c r="AS31" s="230">
        <v>10781550</v>
      </c>
      <c r="AT31" s="230">
        <v>2516550</v>
      </c>
      <c r="AU31" s="229">
        <v>0.2334</v>
      </c>
      <c r="AV31" s="230">
        <v>12136725</v>
      </c>
      <c r="AW31" s="230">
        <v>9343725</v>
      </c>
      <c r="AX31" s="230">
        <v>2793000</v>
      </c>
      <c r="AY31" s="229">
        <v>0.2989</v>
      </c>
      <c r="AZ31" s="230">
        <v>973275</v>
      </c>
      <c r="BA31" s="230">
        <v>1293900</v>
      </c>
      <c r="BB31" s="230">
        <v>-320625</v>
      </c>
      <c r="BC31" s="229">
        <v>-0.24779999999999999</v>
      </c>
      <c r="BD31" s="230">
        <v>188100</v>
      </c>
      <c r="BE31" s="230">
        <v>143925</v>
      </c>
      <c r="BF31" s="230">
        <v>44175</v>
      </c>
      <c r="BG31" s="229">
        <v>0.30690000000000001</v>
      </c>
      <c r="BH31" s="230">
        <v>38872575</v>
      </c>
      <c r="BI31" s="230">
        <v>33266625</v>
      </c>
      <c r="BJ31" s="230">
        <v>5605950</v>
      </c>
      <c r="BK31" s="229">
        <v>0.16850000000000001</v>
      </c>
      <c r="BL31" s="230">
        <v>16769400</v>
      </c>
      <c r="BM31" s="230">
        <v>11298825</v>
      </c>
      <c r="BN31" s="230">
        <v>5470575</v>
      </c>
      <c r="BO31" s="229">
        <v>0.48420000000000002</v>
      </c>
      <c r="BP31" s="230">
        <v>68940075</v>
      </c>
      <c r="BQ31" s="230">
        <v>55347000</v>
      </c>
      <c r="BR31" s="230">
        <v>13593075</v>
      </c>
      <c r="BS31" s="229">
        <v>0.24560000000000001</v>
      </c>
      <c r="BT31" s="230">
        <v>10546832</v>
      </c>
      <c r="BU31" s="230">
        <v>12415807</v>
      </c>
      <c r="BV31" s="230">
        <v>-1868975</v>
      </c>
      <c r="BW31" s="229">
        <v>-0.15049999999999999</v>
      </c>
      <c r="BX31" s="230">
        <v>117479850</v>
      </c>
      <c r="BY31" s="230">
        <v>117095100</v>
      </c>
      <c r="BZ31" s="230">
        <v>384750</v>
      </c>
      <c r="CA31" s="229">
        <v>3.3E-3</v>
      </c>
      <c r="CB31" s="230">
        <v>102434700</v>
      </c>
      <c r="CC31" s="230">
        <v>102366300</v>
      </c>
      <c r="CD31" s="230">
        <v>68400</v>
      </c>
      <c r="CE31" s="229">
        <v>6.9999999999999999E-4</v>
      </c>
      <c r="CF31" s="230">
        <v>14690325</v>
      </c>
      <c r="CG31" s="230">
        <v>14460900</v>
      </c>
      <c r="CH31" s="230">
        <v>229425</v>
      </c>
      <c r="CI31" s="229">
        <v>1.5900000000000001E-2</v>
      </c>
      <c r="CJ31" s="230">
        <v>354825</v>
      </c>
      <c r="CK31" s="230">
        <v>267900</v>
      </c>
      <c r="CL31" s="230">
        <v>86925</v>
      </c>
      <c r="CM31" s="229">
        <v>0.32450000000000001</v>
      </c>
      <c r="CN31" s="230">
        <v>44065275</v>
      </c>
      <c r="CO31" s="230">
        <v>40643850</v>
      </c>
      <c r="CP31" s="230">
        <v>3421425</v>
      </c>
      <c r="CQ31" s="229">
        <v>8.4199999999999997E-2</v>
      </c>
      <c r="CR31" s="230">
        <v>25353600</v>
      </c>
      <c r="CS31" s="230">
        <v>25477575</v>
      </c>
      <c r="CT31" s="230">
        <v>-123975</v>
      </c>
      <c r="CU31" s="229">
        <v>-4.8999999999999998E-3</v>
      </c>
      <c r="CV31" s="230">
        <v>186898725</v>
      </c>
      <c r="CW31" s="230">
        <v>183216525</v>
      </c>
      <c r="CX31" s="230">
        <v>3682200</v>
      </c>
      <c r="CY31" s="229">
        <v>2.01E-2</v>
      </c>
      <c r="CZ31" s="228">
        <v>33.409999999999997</v>
      </c>
      <c r="DA31" s="228">
        <v>34.46</v>
      </c>
      <c r="DB31" s="228">
        <v>-1.05</v>
      </c>
      <c r="DC31" s="228">
        <v>-1.05</v>
      </c>
      <c r="DD31" s="228">
        <v>36.43</v>
      </c>
      <c r="DE31" s="228">
        <v>36.51</v>
      </c>
      <c r="DF31" s="228">
        <v>-3.02</v>
      </c>
      <c r="DG31" s="228">
        <v>-0.08</v>
      </c>
      <c r="DH31" s="228">
        <v>33.659999999999997</v>
      </c>
      <c r="DI31" s="228">
        <v>34.4</v>
      </c>
      <c r="DJ31" s="228">
        <v>-0.74</v>
      </c>
      <c r="DK31" s="228">
        <v>-0.74</v>
      </c>
      <c r="DL31" s="228">
        <v>32.83</v>
      </c>
      <c r="DM31" s="228">
        <v>34.64</v>
      </c>
      <c r="DN31" s="228">
        <v>-1.81</v>
      </c>
      <c r="DO31" s="228">
        <v>-1.81</v>
      </c>
      <c r="DP31" s="228">
        <v>0.57999999999999996</v>
      </c>
      <c r="DQ31" s="228">
        <v>0.63</v>
      </c>
      <c r="DR31" s="228">
        <v>-0.05</v>
      </c>
      <c r="DS31" s="229">
        <v>-7.9399999999999998E-2</v>
      </c>
      <c r="DT31" s="228">
        <v>450</v>
      </c>
      <c r="DU31" s="228">
        <v>430</v>
      </c>
      <c r="DV31" s="228">
        <v>0.43</v>
      </c>
      <c r="DW31" s="228">
        <v>0.34</v>
      </c>
      <c r="DX31" s="228">
        <v>0.09</v>
      </c>
      <c r="DY31" s="229">
        <v>0.26469999999999999</v>
      </c>
      <c r="DZ31" s="229">
        <v>0.12809999999999999</v>
      </c>
      <c r="EA31" s="230">
        <v>14728800</v>
      </c>
      <c r="EB31" s="229">
        <v>6.3E-3</v>
      </c>
      <c r="EC31" s="229">
        <v>0.12809999999999999</v>
      </c>
      <c r="ED31" s="228">
        <v>2.95</v>
      </c>
      <c r="EE31" s="229">
        <v>6.7000000000000002E-3</v>
      </c>
      <c r="EF31" s="230">
        <v>4976126</v>
      </c>
      <c r="EG31" s="230">
        <v>5748800</v>
      </c>
      <c r="EH31" s="229">
        <v>-0.13439999999999999</v>
      </c>
      <c r="EI31" s="229">
        <v>0.4718</v>
      </c>
      <c r="EJ31" s="231">
        <v>180655.26</v>
      </c>
      <c r="EK31" s="231">
        <v>72440.86</v>
      </c>
      <c r="EL31" s="231">
        <v>58430.26</v>
      </c>
      <c r="EM31" s="231">
        <v>8567</v>
      </c>
      <c r="EN31" s="231">
        <v>311526.38</v>
      </c>
      <c r="EO31" s="231">
        <v>249940.54</v>
      </c>
      <c r="EP31" s="231">
        <v>61585.84</v>
      </c>
      <c r="EQ31" s="229">
        <v>0.24640000000000001</v>
      </c>
      <c r="ER31" s="231">
        <v>204385</v>
      </c>
      <c r="ES31" s="231">
        <v>107848</v>
      </c>
      <c r="ET31" s="231">
        <v>517276</v>
      </c>
      <c r="EU31" s="231">
        <v>535778534</v>
      </c>
      <c r="EV31" s="231">
        <v>829509</v>
      </c>
      <c r="EW31" s="231">
        <v>808112</v>
      </c>
      <c r="EX31" s="231">
        <v>21397</v>
      </c>
      <c r="EY31" s="229">
        <v>2.6499999999999999E-2</v>
      </c>
      <c r="EZ31" s="229">
        <v>0.3488</v>
      </c>
      <c r="FA31" s="227" t="s">
        <v>555</v>
      </c>
      <c r="FB31" s="161">
        <f t="shared" si="0"/>
        <v>15045150</v>
      </c>
    </row>
    <row r="32" spans="1:158" ht="17.25" thickBot="1" x14ac:dyDescent="0.3">
      <c r="A32" s="226">
        <v>46148</v>
      </c>
      <c r="B32" s="227" t="s">
        <v>162</v>
      </c>
      <c r="C32" s="227" t="s">
        <v>187</v>
      </c>
      <c r="D32" s="228">
        <v>500</v>
      </c>
      <c r="E32" s="231">
        <v>1883.8</v>
      </c>
      <c r="F32" s="231">
        <v>1876.3</v>
      </c>
      <c r="G32" s="228">
        <v>7.5</v>
      </c>
      <c r="H32" s="229">
        <v>4.0000000000000001E-3</v>
      </c>
      <c r="I32" s="231">
        <v>1873.8</v>
      </c>
      <c r="J32" s="231">
        <v>1866.6</v>
      </c>
      <c r="K32" s="228">
        <v>7.2</v>
      </c>
      <c r="L32" s="229">
        <v>3.8999999999999998E-3</v>
      </c>
      <c r="M32" s="231">
        <v>1883.8</v>
      </c>
      <c r="N32" s="231">
        <v>1876.3</v>
      </c>
      <c r="O32" s="228">
        <v>7.5</v>
      </c>
      <c r="P32" s="229">
        <v>4.0000000000000001E-3</v>
      </c>
      <c r="Q32" s="231">
        <v>1885.6</v>
      </c>
      <c r="R32" s="231">
        <v>1879.5</v>
      </c>
      <c r="S32" s="228">
        <v>6.1</v>
      </c>
      <c r="T32" s="229">
        <v>3.2000000000000002E-3</v>
      </c>
      <c r="U32" s="231">
        <v>1885.4</v>
      </c>
      <c r="V32" s="231">
        <v>1887.1</v>
      </c>
      <c r="W32" s="228">
        <v>-1.7</v>
      </c>
      <c r="X32" s="229">
        <v>-8.9999999999999998E-4</v>
      </c>
      <c r="Y32" s="228">
        <v>10</v>
      </c>
      <c r="Z32" s="228">
        <v>9.6999999999999993</v>
      </c>
      <c r="AA32" s="228">
        <v>0.3</v>
      </c>
      <c r="AB32" s="229">
        <v>5.3E-3</v>
      </c>
      <c r="AC32" s="228">
        <v>10</v>
      </c>
      <c r="AD32" s="228">
        <v>9.6999999999999993</v>
      </c>
      <c r="AE32" s="228">
        <v>0.3</v>
      </c>
      <c r="AF32" s="229">
        <v>5.3E-3</v>
      </c>
      <c r="AG32" s="228">
        <v>11.8</v>
      </c>
      <c r="AH32" s="228">
        <v>12.9</v>
      </c>
      <c r="AI32" s="228">
        <v>-1.1000000000000001</v>
      </c>
      <c r="AJ32" s="229">
        <v>6.3E-3</v>
      </c>
      <c r="AK32" s="228">
        <v>11.6</v>
      </c>
      <c r="AL32" s="228">
        <v>20.5</v>
      </c>
      <c r="AM32" s="228">
        <v>-8.9</v>
      </c>
      <c r="AN32" s="229">
        <v>6.1999999999999998E-3</v>
      </c>
      <c r="AO32" s="231">
        <v>1872.64</v>
      </c>
      <c r="AP32" s="231">
        <v>1874.45</v>
      </c>
      <c r="AQ32" s="228">
        <v>0</v>
      </c>
      <c r="AR32" s="230">
        <v>3542500</v>
      </c>
      <c r="AS32" s="230">
        <v>1994000</v>
      </c>
      <c r="AT32" s="230">
        <v>1548500</v>
      </c>
      <c r="AU32" s="229">
        <v>0.77659999999999996</v>
      </c>
      <c r="AV32" s="230">
        <v>3422000</v>
      </c>
      <c r="AW32" s="230">
        <v>1944500</v>
      </c>
      <c r="AX32" s="230">
        <v>1477500</v>
      </c>
      <c r="AY32" s="229">
        <v>0.75980000000000003</v>
      </c>
      <c r="AZ32" s="230">
        <v>111500</v>
      </c>
      <c r="BA32" s="230">
        <v>45000</v>
      </c>
      <c r="BB32" s="230">
        <v>66500</v>
      </c>
      <c r="BC32" s="229">
        <v>1.4778</v>
      </c>
      <c r="BD32" s="230">
        <v>9000</v>
      </c>
      <c r="BE32" s="230">
        <v>4500</v>
      </c>
      <c r="BF32" s="230">
        <v>4500</v>
      </c>
      <c r="BG32" s="229">
        <v>1</v>
      </c>
      <c r="BH32" s="230">
        <v>6786000</v>
      </c>
      <c r="BI32" s="230">
        <v>4713000</v>
      </c>
      <c r="BJ32" s="230">
        <v>2073000</v>
      </c>
      <c r="BK32" s="229">
        <v>0.43980000000000002</v>
      </c>
      <c r="BL32" s="230">
        <v>4116500</v>
      </c>
      <c r="BM32" s="230">
        <v>2869500</v>
      </c>
      <c r="BN32" s="230">
        <v>1247000</v>
      </c>
      <c r="BO32" s="229">
        <v>0.43459999999999999</v>
      </c>
      <c r="BP32" s="230">
        <v>14445000</v>
      </c>
      <c r="BQ32" s="230">
        <v>9576500</v>
      </c>
      <c r="BR32" s="230">
        <v>4868500</v>
      </c>
      <c r="BS32" s="229">
        <v>0.50839999999999996</v>
      </c>
      <c r="BT32" s="230">
        <v>1433449</v>
      </c>
      <c r="BU32" s="230">
        <v>1059112</v>
      </c>
      <c r="BV32" s="230">
        <v>374337</v>
      </c>
      <c r="BW32" s="229">
        <v>0.35339999999999999</v>
      </c>
      <c r="BX32" s="230">
        <v>7615500</v>
      </c>
      <c r="BY32" s="230">
        <v>7474000</v>
      </c>
      <c r="BZ32" s="230">
        <v>141500</v>
      </c>
      <c r="CA32" s="229">
        <v>1.89E-2</v>
      </c>
      <c r="CB32" s="230">
        <v>7504000</v>
      </c>
      <c r="CC32" s="230">
        <v>7387000</v>
      </c>
      <c r="CD32" s="230">
        <v>117000</v>
      </c>
      <c r="CE32" s="229">
        <v>1.5800000000000002E-2</v>
      </c>
      <c r="CF32" s="230">
        <v>102500</v>
      </c>
      <c r="CG32" s="230">
        <v>80000</v>
      </c>
      <c r="CH32" s="230">
        <v>22500</v>
      </c>
      <c r="CI32" s="229">
        <v>0.28129999999999999</v>
      </c>
      <c r="CJ32" s="230">
        <v>9000</v>
      </c>
      <c r="CK32" s="230">
        <v>7000</v>
      </c>
      <c r="CL32" s="230">
        <v>2000</v>
      </c>
      <c r="CM32" s="229">
        <v>0.28570000000000001</v>
      </c>
      <c r="CN32" s="230">
        <v>3197000</v>
      </c>
      <c r="CO32" s="230">
        <v>2641500</v>
      </c>
      <c r="CP32" s="230">
        <v>555500</v>
      </c>
      <c r="CQ32" s="229">
        <v>0.21029999999999999</v>
      </c>
      <c r="CR32" s="230">
        <v>1750500</v>
      </c>
      <c r="CS32" s="230">
        <v>1579000</v>
      </c>
      <c r="CT32" s="230">
        <v>171500</v>
      </c>
      <c r="CU32" s="229">
        <v>0.1086</v>
      </c>
      <c r="CV32" s="230">
        <v>12563000</v>
      </c>
      <c r="CW32" s="230">
        <v>11694500</v>
      </c>
      <c r="CX32" s="230">
        <v>868500</v>
      </c>
      <c r="CY32" s="229">
        <v>7.4300000000000005E-2</v>
      </c>
      <c r="CZ32" s="228">
        <v>41.46</v>
      </c>
      <c r="DA32" s="228">
        <v>42.06</v>
      </c>
      <c r="DB32" s="228">
        <v>-0.6</v>
      </c>
      <c r="DC32" s="228">
        <v>-0.6</v>
      </c>
      <c r="DD32" s="228">
        <v>39.15</v>
      </c>
      <c r="DE32" s="228">
        <v>39.25</v>
      </c>
      <c r="DF32" s="228">
        <v>2.31</v>
      </c>
      <c r="DG32" s="228">
        <v>-0.1</v>
      </c>
      <c r="DH32" s="228">
        <v>41.34</v>
      </c>
      <c r="DI32" s="228">
        <v>41.97</v>
      </c>
      <c r="DJ32" s="228">
        <v>-0.63</v>
      </c>
      <c r="DK32" s="228">
        <v>-0.63</v>
      </c>
      <c r="DL32" s="228">
        <v>41.67</v>
      </c>
      <c r="DM32" s="228">
        <v>42.2</v>
      </c>
      <c r="DN32" s="228">
        <v>-0.53</v>
      </c>
      <c r="DO32" s="228">
        <v>-0.53</v>
      </c>
      <c r="DP32" s="228">
        <v>0.55000000000000004</v>
      </c>
      <c r="DQ32" s="228">
        <v>0.6</v>
      </c>
      <c r="DR32" s="228">
        <v>-0.05</v>
      </c>
      <c r="DS32" s="229">
        <v>-8.3299999999999999E-2</v>
      </c>
      <c r="DT32" s="231">
        <v>1900</v>
      </c>
      <c r="DU32" s="231">
        <v>1800</v>
      </c>
      <c r="DV32" s="228">
        <v>0.61</v>
      </c>
      <c r="DW32" s="228">
        <v>0.61</v>
      </c>
      <c r="DX32" s="228">
        <v>0</v>
      </c>
      <c r="DY32" s="229">
        <v>0</v>
      </c>
      <c r="DZ32" s="229">
        <v>1.46E-2</v>
      </c>
      <c r="EA32" s="230">
        <v>87000</v>
      </c>
      <c r="EB32" s="229">
        <v>1E-3</v>
      </c>
      <c r="EC32" s="229">
        <v>1.46E-2</v>
      </c>
      <c r="ED32" s="228">
        <v>1.81</v>
      </c>
      <c r="EE32" s="229">
        <v>1E-3</v>
      </c>
      <c r="EF32" s="230">
        <v>575048</v>
      </c>
      <c r="EG32" s="230">
        <v>381195</v>
      </c>
      <c r="EH32" s="229">
        <v>0.50849999999999995</v>
      </c>
      <c r="EI32" s="229">
        <v>0.4012</v>
      </c>
      <c r="EJ32" s="231">
        <v>135159.31</v>
      </c>
      <c r="EK32" s="231">
        <v>77683.34</v>
      </c>
      <c r="EL32" s="231">
        <v>66341.06</v>
      </c>
      <c r="EM32" s="231">
        <v>3832</v>
      </c>
      <c r="EN32" s="231">
        <v>279183.71000000002</v>
      </c>
      <c r="EO32" s="231">
        <v>183722.38</v>
      </c>
      <c r="EP32" s="231">
        <v>95461.33</v>
      </c>
      <c r="EQ32" s="229">
        <v>0.51959999999999995</v>
      </c>
      <c r="ER32" s="231">
        <v>61809</v>
      </c>
      <c r="ES32" s="231">
        <v>31635</v>
      </c>
      <c r="ET32" s="231">
        <v>143463</v>
      </c>
      <c r="EU32" s="231">
        <v>40107751</v>
      </c>
      <c r="EV32" s="231">
        <v>236907</v>
      </c>
      <c r="EW32" s="231">
        <v>219605</v>
      </c>
      <c r="EX32" s="231">
        <v>17302</v>
      </c>
      <c r="EY32" s="229">
        <v>7.8799999999999995E-2</v>
      </c>
      <c r="EZ32" s="229">
        <v>0.31319999999999998</v>
      </c>
      <c r="FA32" s="227" t="s">
        <v>555</v>
      </c>
      <c r="FB32" s="161">
        <f t="shared" si="0"/>
        <v>111500</v>
      </c>
    </row>
    <row r="33" spans="1:158" ht="17.25" thickBot="1" x14ac:dyDescent="0.3">
      <c r="A33" s="226">
        <v>46148</v>
      </c>
      <c r="B33" s="227" t="s">
        <v>188</v>
      </c>
      <c r="C33" s="227" t="s">
        <v>189</v>
      </c>
      <c r="D33" s="228">
        <v>475</v>
      </c>
      <c r="E33" s="231">
        <v>1844</v>
      </c>
      <c r="F33" s="231">
        <v>1816.4</v>
      </c>
      <c r="G33" s="228">
        <v>27.6</v>
      </c>
      <c r="H33" s="229">
        <v>1.52E-2</v>
      </c>
      <c r="I33" s="231">
        <v>1833.7</v>
      </c>
      <c r="J33" s="231">
        <v>1806.1</v>
      </c>
      <c r="K33" s="228">
        <v>27.6</v>
      </c>
      <c r="L33" s="229">
        <v>1.5299999999999999E-2</v>
      </c>
      <c r="M33" s="231">
        <v>1844</v>
      </c>
      <c r="N33" s="231">
        <v>1816.4</v>
      </c>
      <c r="O33" s="228">
        <v>27.6</v>
      </c>
      <c r="P33" s="229">
        <v>1.52E-2</v>
      </c>
      <c r="Q33" s="231">
        <v>1855</v>
      </c>
      <c r="R33" s="231">
        <v>1826.2</v>
      </c>
      <c r="S33" s="228">
        <v>28.8</v>
      </c>
      <c r="T33" s="229">
        <v>1.5800000000000002E-2</v>
      </c>
      <c r="U33" s="231">
        <v>1864</v>
      </c>
      <c r="V33" s="231">
        <v>1835.4</v>
      </c>
      <c r="W33" s="228">
        <v>28.6</v>
      </c>
      <c r="X33" s="229">
        <v>1.5599999999999999E-2</v>
      </c>
      <c r="Y33" s="228">
        <v>10.3</v>
      </c>
      <c r="Z33" s="228">
        <v>10.3</v>
      </c>
      <c r="AA33" s="228">
        <v>0</v>
      </c>
      <c r="AB33" s="229">
        <v>5.5999999999999999E-3</v>
      </c>
      <c r="AC33" s="228">
        <v>10.3</v>
      </c>
      <c r="AD33" s="228">
        <v>10.3</v>
      </c>
      <c r="AE33" s="228">
        <v>0</v>
      </c>
      <c r="AF33" s="229">
        <v>5.5999999999999999E-3</v>
      </c>
      <c r="AG33" s="228">
        <v>21.3</v>
      </c>
      <c r="AH33" s="228">
        <v>20.100000000000001</v>
      </c>
      <c r="AI33" s="228">
        <v>1.2</v>
      </c>
      <c r="AJ33" s="229">
        <v>1.1599999999999999E-2</v>
      </c>
      <c r="AK33" s="228">
        <v>30.3</v>
      </c>
      <c r="AL33" s="228">
        <v>29.3</v>
      </c>
      <c r="AM33" s="228">
        <v>1</v>
      </c>
      <c r="AN33" s="229">
        <v>1.6500000000000001E-2</v>
      </c>
      <c r="AO33" s="231">
        <v>1841.29</v>
      </c>
      <c r="AP33" s="231">
        <v>1850.97</v>
      </c>
      <c r="AQ33" s="228">
        <v>0</v>
      </c>
      <c r="AR33" s="230">
        <v>4062675</v>
      </c>
      <c r="AS33" s="230">
        <v>5441125</v>
      </c>
      <c r="AT33" s="230">
        <v>-1378450</v>
      </c>
      <c r="AU33" s="229">
        <v>-0.25330000000000003</v>
      </c>
      <c r="AV33" s="230">
        <v>3681725</v>
      </c>
      <c r="AW33" s="230">
        <v>4727200</v>
      </c>
      <c r="AX33" s="230">
        <v>-1045475</v>
      </c>
      <c r="AY33" s="229">
        <v>-0.22120000000000001</v>
      </c>
      <c r="AZ33" s="230">
        <v>322525</v>
      </c>
      <c r="BA33" s="230">
        <v>665475</v>
      </c>
      <c r="BB33" s="230">
        <v>-342950</v>
      </c>
      <c r="BC33" s="229">
        <v>-0.51529999999999998</v>
      </c>
      <c r="BD33" s="230">
        <v>58425</v>
      </c>
      <c r="BE33" s="230">
        <v>48450</v>
      </c>
      <c r="BF33" s="230">
        <v>9975</v>
      </c>
      <c r="BG33" s="229">
        <v>0.2059</v>
      </c>
      <c r="BH33" s="230">
        <v>18078025</v>
      </c>
      <c r="BI33" s="230">
        <v>25029650</v>
      </c>
      <c r="BJ33" s="230">
        <v>-6951625</v>
      </c>
      <c r="BK33" s="229">
        <v>-0.2777</v>
      </c>
      <c r="BL33" s="230">
        <v>9647250</v>
      </c>
      <c r="BM33" s="230">
        <v>10745925</v>
      </c>
      <c r="BN33" s="230">
        <v>-1098675</v>
      </c>
      <c r="BO33" s="229">
        <v>-0.1022</v>
      </c>
      <c r="BP33" s="230">
        <v>31787950</v>
      </c>
      <c r="BQ33" s="230">
        <v>41216700</v>
      </c>
      <c r="BR33" s="230">
        <v>-9428750</v>
      </c>
      <c r="BS33" s="229">
        <v>-0.2288</v>
      </c>
      <c r="BT33" s="230">
        <v>5744111</v>
      </c>
      <c r="BU33" s="230">
        <v>11623069</v>
      </c>
      <c r="BV33" s="230">
        <v>-5878958</v>
      </c>
      <c r="BW33" s="229">
        <v>-0.50580000000000003</v>
      </c>
      <c r="BX33" s="230">
        <v>62050200</v>
      </c>
      <c r="BY33" s="230">
        <v>61532925</v>
      </c>
      <c r="BZ33" s="230">
        <v>517275</v>
      </c>
      <c r="CA33" s="229">
        <v>8.3999999999999995E-3</v>
      </c>
      <c r="CB33" s="230">
        <v>51301425</v>
      </c>
      <c r="CC33" s="230">
        <v>50959900</v>
      </c>
      <c r="CD33" s="230">
        <v>341525</v>
      </c>
      <c r="CE33" s="229">
        <v>6.7000000000000002E-3</v>
      </c>
      <c r="CF33" s="230">
        <v>10574925</v>
      </c>
      <c r="CG33" s="230">
        <v>10421975</v>
      </c>
      <c r="CH33" s="230">
        <v>152950</v>
      </c>
      <c r="CI33" s="229">
        <v>1.47E-2</v>
      </c>
      <c r="CJ33" s="230">
        <v>173850</v>
      </c>
      <c r="CK33" s="230">
        <v>151050</v>
      </c>
      <c r="CL33" s="230">
        <v>22800</v>
      </c>
      <c r="CM33" s="229">
        <v>0.15090000000000001</v>
      </c>
      <c r="CN33" s="230">
        <v>12585600</v>
      </c>
      <c r="CO33" s="230">
        <v>12831650</v>
      </c>
      <c r="CP33" s="230">
        <v>-246050</v>
      </c>
      <c r="CQ33" s="229">
        <v>-1.9199999999999998E-2</v>
      </c>
      <c r="CR33" s="230">
        <v>7138300</v>
      </c>
      <c r="CS33" s="230">
        <v>7153500</v>
      </c>
      <c r="CT33" s="230">
        <v>-15200</v>
      </c>
      <c r="CU33" s="229">
        <v>-2.0999999999999999E-3</v>
      </c>
      <c r="CV33" s="230">
        <v>81774100</v>
      </c>
      <c r="CW33" s="230">
        <v>81518075</v>
      </c>
      <c r="CX33" s="230">
        <v>256025</v>
      </c>
      <c r="CY33" s="229">
        <v>3.0999999999999999E-3</v>
      </c>
      <c r="CZ33" s="228">
        <v>22.15</v>
      </c>
      <c r="DA33" s="228">
        <v>24.56</v>
      </c>
      <c r="DB33" s="228">
        <v>-2.41</v>
      </c>
      <c r="DC33" s="228">
        <v>-2.41</v>
      </c>
      <c r="DD33" s="228">
        <v>24.47</v>
      </c>
      <c r="DE33" s="228">
        <v>24.45</v>
      </c>
      <c r="DF33" s="228">
        <v>-2.3199999999999998</v>
      </c>
      <c r="DG33" s="228">
        <v>0.02</v>
      </c>
      <c r="DH33" s="228">
        <v>22.53</v>
      </c>
      <c r="DI33" s="228">
        <v>24.67</v>
      </c>
      <c r="DJ33" s="228">
        <v>-2.14</v>
      </c>
      <c r="DK33" s="228">
        <v>-2.14</v>
      </c>
      <c r="DL33" s="228">
        <v>21.43</v>
      </c>
      <c r="DM33" s="228">
        <v>24.32</v>
      </c>
      <c r="DN33" s="228">
        <v>-2.89</v>
      </c>
      <c r="DO33" s="228">
        <v>-2.89</v>
      </c>
      <c r="DP33" s="228">
        <v>0.56999999999999995</v>
      </c>
      <c r="DQ33" s="228">
        <v>0.56000000000000005</v>
      </c>
      <c r="DR33" s="228">
        <v>0.01</v>
      </c>
      <c r="DS33" s="229">
        <v>1.7899999999999999E-2</v>
      </c>
      <c r="DT33" s="231">
        <v>1900</v>
      </c>
      <c r="DU33" s="231">
        <v>1840</v>
      </c>
      <c r="DV33" s="228">
        <v>0.53</v>
      </c>
      <c r="DW33" s="228">
        <v>0.43</v>
      </c>
      <c r="DX33" s="228">
        <v>0.1</v>
      </c>
      <c r="DY33" s="229">
        <v>0.2326</v>
      </c>
      <c r="DZ33" s="229">
        <v>0.17319999999999999</v>
      </c>
      <c r="EA33" s="230">
        <v>10573025</v>
      </c>
      <c r="EB33" s="229">
        <v>6.0000000000000001E-3</v>
      </c>
      <c r="EC33" s="229">
        <v>0.17319999999999999</v>
      </c>
      <c r="ED33" s="228">
        <v>9.68</v>
      </c>
      <c r="EE33" s="229">
        <v>5.3E-3</v>
      </c>
      <c r="EF33" s="230">
        <v>3366232</v>
      </c>
      <c r="EG33" s="230">
        <v>5012788</v>
      </c>
      <c r="EH33" s="229">
        <v>-0.32850000000000001</v>
      </c>
      <c r="EI33" s="229">
        <v>0.58599999999999997</v>
      </c>
      <c r="EJ33" s="231">
        <v>345352.6</v>
      </c>
      <c r="EK33" s="231">
        <v>175947.22</v>
      </c>
      <c r="EL33" s="231">
        <v>74847.62</v>
      </c>
      <c r="EM33" s="231">
        <v>14024</v>
      </c>
      <c r="EN33" s="231">
        <v>596147.43999999994</v>
      </c>
      <c r="EO33" s="231">
        <v>773386.64</v>
      </c>
      <c r="EP33" s="231">
        <v>-177239.2</v>
      </c>
      <c r="EQ33" s="229">
        <v>-0.22919999999999999</v>
      </c>
      <c r="ER33" s="231">
        <v>240536</v>
      </c>
      <c r="ES33" s="231">
        <v>130633</v>
      </c>
      <c r="ET33" s="231">
        <v>1145404</v>
      </c>
      <c r="EU33" s="231">
        <v>342859930</v>
      </c>
      <c r="EV33" s="231">
        <v>1516573</v>
      </c>
      <c r="EW33" s="231">
        <v>1494522</v>
      </c>
      <c r="EX33" s="231">
        <v>22051</v>
      </c>
      <c r="EY33" s="229">
        <v>1.4800000000000001E-2</v>
      </c>
      <c r="EZ33" s="229">
        <v>0.23849999999999999</v>
      </c>
      <c r="FA33" s="227" t="s">
        <v>555</v>
      </c>
      <c r="FB33" s="161">
        <f t="shared" si="0"/>
        <v>10748775</v>
      </c>
    </row>
    <row r="34" spans="1:158" ht="17.25" thickBot="1" x14ac:dyDescent="0.3">
      <c r="A34" s="226">
        <v>46148</v>
      </c>
      <c r="B34" s="227" t="s">
        <v>184</v>
      </c>
      <c r="C34" s="227" t="s">
        <v>190</v>
      </c>
      <c r="D34" s="228">
        <v>2625</v>
      </c>
      <c r="E34" s="228">
        <v>387.65</v>
      </c>
      <c r="F34" s="228">
        <v>376.4</v>
      </c>
      <c r="G34" s="228">
        <v>11.25</v>
      </c>
      <c r="H34" s="229">
        <v>2.9899999999999999E-2</v>
      </c>
      <c r="I34" s="228">
        <v>385.95</v>
      </c>
      <c r="J34" s="228">
        <v>374.95</v>
      </c>
      <c r="K34" s="228">
        <v>11</v>
      </c>
      <c r="L34" s="229">
        <v>2.93E-2</v>
      </c>
      <c r="M34" s="228">
        <v>387.65</v>
      </c>
      <c r="N34" s="228">
        <v>376.4</v>
      </c>
      <c r="O34" s="228">
        <v>11.25</v>
      </c>
      <c r="P34" s="229">
        <v>2.9899999999999999E-2</v>
      </c>
      <c r="Q34" s="228">
        <v>389.85</v>
      </c>
      <c r="R34" s="228">
        <v>378.8</v>
      </c>
      <c r="S34" s="228">
        <v>11.05</v>
      </c>
      <c r="T34" s="229">
        <v>2.92E-2</v>
      </c>
      <c r="U34" s="228">
        <v>391.1</v>
      </c>
      <c r="V34" s="228">
        <v>380.55</v>
      </c>
      <c r="W34" s="228">
        <v>10.55</v>
      </c>
      <c r="X34" s="229">
        <v>2.7699999999999999E-2</v>
      </c>
      <c r="Y34" s="228">
        <v>1.7</v>
      </c>
      <c r="Z34" s="228">
        <v>1.45</v>
      </c>
      <c r="AA34" s="228">
        <v>0.25</v>
      </c>
      <c r="AB34" s="229">
        <v>4.4000000000000003E-3</v>
      </c>
      <c r="AC34" s="228">
        <v>1.7</v>
      </c>
      <c r="AD34" s="228">
        <v>1.45</v>
      </c>
      <c r="AE34" s="228">
        <v>0.25</v>
      </c>
      <c r="AF34" s="229">
        <v>4.4000000000000003E-3</v>
      </c>
      <c r="AG34" s="228">
        <v>3.9</v>
      </c>
      <c r="AH34" s="228">
        <v>3.85</v>
      </c>
      <c r="AI34" s="228">
        <v>0.05</v>
      </c>
      <c r="AJ34" s="229">
        <v>1.01E-2</v>
      </c>
      <c r="AK34" s="228">
        <v>5.15</v>
      </c>
      <c r="AL34" s="228">
        <v>5.6</v>
      </c>
      <c r="AM34" s="228">
        <v>-0.45</v>
      </c>
      <c r="AN34" s="229">
        <v>1.3299999999999999E-2</v>
      </c>
      <c r="AO34" s="228">
        <v>381.73</v>
      </c>
      <c r="AP34" s="228">
        <v>383.7</v>
      </c>
      <c r="AQ34" s="228">
        <v>0</v>
      </c>
      <c r="AR34" s="230">
        <v>27389250</v>
      </c>
      <c r="AS34" s="230">
        <v>33621000</v>
      </c>
      <c r="AT34" s="230">
        <v>-6231750</v>
      </c>
      <c r="AU34" s="229">
        <v>-0.18540000000000001</v>
      </c>
      <c r="AV34" s="230">
        <v>25575375</v>
      </c>
      <c r="AW34" s="230">
        <v>31809750</v>
      </c>
      <c r="AX34" s="230">
        <v>-6234375</v>
      </c>
      <c r="AY34" s="229">
        <v>-0.19600000000000001</v>
      </c>
      <c r="AZ34" s="230">
        <v>1590750</v>
      </c>
      <c r="BA34" s="230">
        <v>1575000</v>
      </c>
      <c r="BB34" s="230">
        <v>15750</v>
      </c>
      <c r="BC34" s="229">
        <v>0.01</v>
      </c>
      <c r="BD34" s="230">
        <v>223125</v>
      </c>
      <c r="BE34" s="230">
        <v>236250</v>
      </c>
      <c r="BF34" s="230">
        <v>-13125</v>
      </c>
      <c r="BG34" s="229">
        <v>-5.5599999999999997E-2</v>
      </c>
      <c r="BH34" s="230">
        <v>104112750</v>
      </c>
      <c r="BI34" s="230">
        <v>130961250</v>
      </c>
      <c r="BJ34" s="230">
        <v>-26848500</v>
      </c>
      <c r="BK34" s="229">
        <v>-0.20499999999999999</v>
      </c>
      <c r="BL34" s="230">
        <v>65181375</v>
      </c>
      <c r="BM34" s="230">
        <v>74376750</v>
      </c>
      <c r="BN34" s="230">
        <v>-9195375</v>
      </c>
      <c r="BO34" s="229">
        <v>-0.1236</v>
      </c>
      <c r="BP34" s="230">
        <v>196683375</v>
      </c>
      <c r="BQ34" s="230">
        <v>238959000</v>
      </c>
      <c r="BR34" s="230">
        <v>-42275625</v>
      </c>
      <c r="BS34" s="229">
        <v>-0.1769</v>
      </c>
      <c r="BT34" s="230">
        <v>22002942</v>
      </c>
      <c r="BU34" s="230">
        <v>34885951</v>
      </c>
      <c r="BV34" s="230">
        <v>-12883009</v>
      </c>
      <c r="BW34" s="229">
        <v>-0.36930000000000002</v>
      </c>
      <c r="BX34" s="230">
        <v>134796375</v>
      </c>
      <c r="BY34" s="230">
        <v>134751750</v>
      </c>
      <c r="BZ34" s="230">
        <v>44625</v>
      </c>
      <c r="CA34" s="229">
        <v>2.9999999999999997E-4</v>
      </c>
      <c r="CB34" s="230">
        <v>130289250</v>
      </c>
      <c r="CC34" s="230">
        <v>130231500</v>
      </c>
      <c r="CD34" s="230">
        <v>57750</v>
      </c>
      <c r="CE34" s="229">
        <v>4.0000000000000002E-4</v>
      </c>
      <c r="CF34" s="230">
        <v>4228875</v>
      </c>
      <c r="CG34" s="230">
        <v>4231500</v>
      </c>
      <c r="CH34" s="230">
        <v>-2625</v>
      </c>
      <c r="CI34" s="229">
        <v>-5.9999999999999995E-4</v>
      </c>
      <c r="CJ34" s="230">
        <v>278250</v>
      </c>
      <c r="CK34" s="230">
        <v>288750</v>
      </c>
      <c r="CL34" s="230">
        <v>-10500</v>
      </c>
      <c r="CM34" s="229">
        <v>-3.6400000000000002E-2</v>
      </c>
      <c r="CN34" s="230">
        <v>51725625</v>
      </c>
      <c r="CO34" s="230">
        <v>54736500</v>
      </c>
      <c r="CP34" s="230">
        <v>-3010875</v>
      </c>
      <c r="CQ34" s="229">
        <v>-5.5E-2</v>
      </c>
      <c r="CR34" s="230">
        <v>46809000</v>
      </c>
      <c r="CS34" s="230">
        <v>41270250</v>
      </c>
      <c r="CT34" s="230">
        <v>5538750</v>
      </c>
      <c r="CU34" s="229">
        <v>0.13420000000000001</v>
      </c>
      <c r="CV34" s="230">
        <v>233331000</v>
      </c>
      <c r="CW34" s="230">
        <v>230758500</v>
      </c>
      <c r="CX34" s="230">
        <v>2572500</v>
      </c>
      <c r="CY34" s="229">
        <v>1.11E-2</v>
      </c>
      <c r="CZ34" s="228">
        <v>39.880000000000003</v>
      </c>
      <c r="DA34" s="228">
        <v>39.07</v>
      </c>
      <c r="DB34" s="228">
        <v>0.81</v>
      </c>
      <c r="DC34" s="228">
        <v>0.81</v>
      </c>
      <c r="DD34" s="228">
        <v>47.77</v>
      </c>
      <c r="DE34" s="228">
        <v>47.72</v>
      </c>
      <c r="DF34" s="228">
        <v>-7.89</v>
      </c>
      <c r="DG34" s="228">
        <v>0.05</v>
      </c>
      <c r="DH34" s="228">
        <v>38.57</v>
      </c>
      <c r="DI34" s="228">
        <v>38.25</v>
      </c>
      <c r="DJ34" s="228">
        <v>0.32</v>
      </c>
      <c r="DK34" s="228">
        <v>0.32</v>
      </c>
      <c r="DL34" s="228">
        <v>41.97</v>
      </c>
      <c r="DM34" s="228">
        <v>40.53</v>
      </c>
      <c r="DN34" s="228">
        <v>1.44</v>
      </c>
      <c r="DO34" s="228">
        <v>1.44</v>
      </c>
      <c r="DP34" s="228">
        <v>0.9</v>
      </c>
      <c r="DQ34" s="228">
        <v>0.75</v>
      </c>
      <c r="DR34" s="228">
        <v>0.15</v>
      </c>
      <c r="DS34" s="229">
        <v>0.2</v>
      </c>
      <c r="DT34" s="228">
        <v>400</v>
      </c>
      <c r="DU34" s="228">
        <v>300</v>
      </c>
      <c r="DV34" s="228">
        <v>0.63</v>
      </c>
      <c r="DW34" s="228">
        <v>0.56999999999999995</v>
      </c>
      <c r="DX34" s="228">
        <v>0.06</v>
      </c>
      <c r="DY34" s="229">
        <v>0.1053</v>
      </c>
      <c r="DZ34" s="229">
        <v>3.3399999999999999E-2</v>
      </c>
      <c r="EA34" s="230">
        <v>4520250</v>
      </c>
      <c r="EB34" s="229">
        <v>5.7000000000000002E-3</v>
      </c>
      <c r="EC34" s="229">
        <v>3.3399999999999999E-2</v>
      </c>
      <c r="ED34" s="228">
        <v>1.97</v>
      </c>
      <c r="EE34" s="229">
        <v>5.1999999999999998E-3</v>
      </c>
      <c r="EF34" s="230">
        <v>7154028</v>
      </c>
      <c r="EG34" s="230">
        <v>9752320</v>
      </c>
      <c r="EH34" s="229">
        <v>-0.26640000000000003</v>
      </c>
      <c r="EI34" s="229">
        <v>0.3251</v>
      </c>
      <c r="EJ34" s="231">
        <v>422399.47</v>
      </c>
      <c r="EK34" s="231">
        <v>240060.17</v>
      </c>
      <c r="EL34" s="231">
        <v>104595.48</v>
      </c>
      <c r="EM34" s="231">
        <v>18347</v>
      </c>
      <c r="EN34" s="231">
        <v>767055.12</v>
      </c>
      <c r="EO34" s="231">
        <v>936981.19</v>
      </c>
      <c r="EP34" s="231">
        <v>-169926.07</v>
      </c>
      <c r="EQ34" s="229">
        <v>-0.18140000000000001</v>
      </c>
      <c r="ER34" s="231">
        <v>198767</v>
      </c>
      <c r="ES34" s="231">
        <v>160421</v>
      </c>
      <c r="ET34" s="231">
        <v>522641</v>
      </c>
      <c r="EU34" s="231">
        <v>192361942</v>
      </c>
      <c r="EV34" s="231">
        <v>881829</v>
      </c>
      <c r="EW34" s="231">
        <v>857865</v>
      </c>
      <c r="EX34" s="231">
        <v>23964</v>
      </c>
      <c r="EY34" s="229">
        <v>2.7900000000000001E-2</v>
      </c>
      <c r="EZ34" s="229">
        <v>1.2130000000000001</v>
      </c>
      <c r="FA34" s="227" t="s">
        <v>555</v>
      </c>
      <c r="FB34" s="161">
        <f t="shared" si="0"/>
        <v>4507125</v>
      </c>
    </row>
    <row r="35" spans="1:158" ht="17.25" thickBot="1" x14ac:dyDescent="0.3">
      <c r="A35" s="226">
        <v>46148</v>
      </c>
      <c r="B35" s="227" t="s">
        <v>170</v>
      </c>
      <c r="C35" s="227" t="s">
        <v>191</v>
      </c>
      <c r="D35" s="228">
        <v>2500</v>
      </c>
      <c r="E35" s="228">
        <v>382.15</v>
      </c>
      <c r="F35" s="228">
        <v>370.55</v>
      </c>
      <c r="G35" s="228">
        <v>11.6</v>
      </c>
      <c r="H35" s="229">
        <v>3.1300000000000001E-2</v>
      </c>
      <c r="I35" s="228">
        <v>380.6</v>
      </c>
      <c r="J35" s="228">
        <v>368.25</v>
      </c>
      <c r="K35" s="228">
        <v>12.35</v>
      </c>
      <c r="L35" s="229">
        <v>3.3500000000000002E-2</v>
      </c>
      <c r="M35" s="228">
        <v>382.15</v>
      </c>
      <c r="N35" s="228">
        <v>370.55</v>
      </c>
      <c r="O35" s="228">
        <v>11.6</v>
      </c>
      <c r="P35" s="229">
        <v>3.1300000000000001E-2</v>
      </c>
      <c r="Q35" s="228">
        <v>384.3</v>
      </c>
      <c r="R35" s="228">
        <v>372.45</v>
      </c>
      <c r="S35" s="228">
        <v>11.85</v>
      </c>
      <c r="T35" s="229">
        <v>3.1800000000000002E-2</v>
      </c>
      <c r="U35" s="228">
        <v>385.5</v>
      </c>
      <c r="V35" s="228">
        <v>374.7</v>
      </c>
      <c r="W35" s="228">
        <v>10.8</v>
      </c>
      <c r="X35" s="229">
        <v>2.8799999999999999E-2</v>
      </c>
      <c r="Y35" s="228">
        <v>1.55</v>
      </c>
      <c r="Z35" s="228">
        <v>2.2999999999999998</v>
      </c>
      <c r="AA35" s="228">
        <v>-0.75</v>
      </c>
      <c r="AB35" s="229">
        <v>4.1000000000000003E-3</v>
      </c>
      <c r="AC35" s="228">
        <v>1.55</v>
      </c>
      <c r="AD35" s="228">
        <v>2.2999999999999998</v>
      </c>
      <c r="AE35" s="228">
        <v>-0.75</v>
      </c>
      <c r="AF35" s="229">
        <v>4.1000000000000003E-3</v>
      </c>
      <c r="AG35" s="228">
        <v>3.7</v>
      </c>
      <c r="AH35" s="228">
        <v>4.2</v>
      </c>
      <c r="AI35" s="228">
        <v>-0.5</v>
      </c>
      <c r="AJ35" s="229">
        <v>9.7000000000000003E-3</v>
      </c>
      <c r="AK35" s="228">
        <v>4.9000000000000004</v>
      </c>
      <c r="AL35" s="228">
        <v>6.45</v>
      </c>
      <c r="AM35" s="228">
        <v>-1.55</v>
      </c>
      <c r="AN35" s="229">
        <v>1.29E-2</v>
      </c>
      <c r="AO35" s="228">
        <v>380.43</v>
      </c>
      <c r="AP35" s="228">
        <v>383.63</v>
      </c>
      <c r="AQ35" s="228">
        <v>0</v>
      </c>
      <c r="AR35" s="230">
        <v>12767500</v>
      </c>
      <c r="AS35" s="230">
        <v>6730000</v>
      </c>
      <c r="AT35" s="230">
        <v>6037500</v>
      </c>
      <c r="AU35" s="229">
        <v>0.89710000000000001</v>
      </c>
      <c r="AV35" s="230">
        <v>12112500</v>
      </c>
      <c r="AW35" s="230">
        <v>6455000</v>
      </c>
      <c r="AX35" s="230">
        <v>5657500</v>
      </c>
      <c r="AY35" s="229">
        <v>0.87649999999999995</v>
      </c>
      <c r="AZ35" s="230">
        <v>590000</v>
      </c>
      <c r="BA35" s="230">
        <v>237500</v>
      </c>
      <c r="BB35" s="230">
        <v>352500</v>
      </c>
      <c r="BC35" s="229">
        <v>1.4842</v>
      </c>
      <c r="BD35" s="230">
        <v>65000</v>
      </c>
      <c r="BE35" s="230">
        <v>37500</v>
      </c>
      <c r="BF35" s="230">
        <v>27500</v>
      </c>
      <c r="BG35" s="229">
        <v>0.73329999999999995</v>
      </c>
      <c r="BH35" s="230">
        <v>57317500</v>
      </c>
      <c r="BI35" s="230">
        <v>26037500</v>
      </c>
      <c r="BJ35" s="230">
        <v>31280000</v>
      </c>
      <c r="BK35" s="229">
        <v>1.2013</v>
      </c>
      <c r="BL35" s="230">
        <v>22192500</v>
      </c>
      <c r="BM35" s="230">
        <v>9640000</v>
      </c>
      <c r="BN35" s="230">
        <v>12552500</v>
      </c>
      <c r="BO35" s="229">
        <v>1.3021</v>
      </c>
      <c r="BP35" s="230">
        <v>92277500</v>
      </c>
      <c r="BQ35" s="230">
        <v>42407500</v>
      </c>
      <c r="BR35" s="230">
        <v>49870000</v>
      </c>
      <c r="BS35" s="229">
        <v>1.1759999999999999</v>
      </c>
      <c r="BT35" s="230">
        <v>6515668</v>
      </c>
      <c r="BU35" s="230">
        <v>2875047</v>
      </c>
      <c r="BV35" s="230">
        <v>3640621</v>
      </c>
      <c r="BW35" s="229">
        <v>1.2663</v>
      </c>
      <c r="BX35" s="230">
        <v>30665000</v>
      </c>
      <c r="BY35" s="230">
        <v>31667500</v>
      </c>
      <c r="BZ35" s="230">
        <v>-1002500</v>
      </c>
      <c r="CA35" s="229">
        <v>-3.1699999999999999E-2</v>
      </c>
      <c r="CB35" s="230">
        <v>29910000</v>
      </c>
      <c r="CC35" s="230">
        <v>30905000</v>
      </c>
      <c r="CD35" s="230">
        <v>-995000</v>
      </c>
      <c r="CE35" s="229">
        <v>-3.2199999999999999E-2</v>
      </c>
      <c r="CF35" s="230">
        <v>690000</v>
      </c>
      <c r="CG35" s="230">
        <v>720000</v>
      </c>
      <c r="CH35" s="230">
        <v>-30000</v>
      </c>
      <c r="CI35" s="229">
        <v>-4.1700000000000001E-2</v>
      </c>
      <c r="CJ35" s="230">
        <v>65000</v>
      </c>
      <c r="CK35" s="230">
        <v>42500</v>
      </c>
      <c r="CL35" s="230">
        <v>22500</v>
      </c>
      <c r="CM35" s="229">
        <v>0.52939999999999998</v>
      </c>
      <c r="CN35" s="230">
        <v>16950000</v>
      </c>
      <c r="CO35" s="230">
        <v>22395000</v>
      </c>
      <c r="CP35" s="230">
        <v>-5445000</v>
      </c>
      <c r="CQ35" s="229">
        <v>-0.24310000000000001</v>
      </c>
      <c r="CR35" s="230">
        <v>11312500</v>
      </c>
      <c r="CS35" s="230">
        <v>11155000</v>
      </c>
      <c r="CT35" s="230">
        <v>157500</v>
      </c>
      <c r="CU35" s="229">
        <v>1.41E-2</v>
      </c>
      <c r="CV35" s="230">
        <v>58927500</v>
      </c>
      <c r="CW35" s="230">
        <v>65217500</v>
      </c>
      <c r="CX35" s="230">
        <v>-6290000</v>
      </c>
      <c r="CY35" s="229">
        <v>-9.64E-2</v>
      </c>
      <c r="CZ35" s="228">
        <v>33.6</v>
      </c>
      <c r="DA35" s="228">
        <v>36.020000000000003</v>
      </c>
      <c r="DB35" s="228">
        <v>-2.42</v>
      </c>
      <c r="DC35" s="228">
        <v>-2.42</v>
      </c>
      <c r="DD35" s="228">
        <v>36.11</v>
      </c>
      <c r="DE35" s="228">
        <v>35.96</v>
      </c>
      <c r="DF35" s="228">
        <v>-2.5099999999999998</v>
      </c>
      <c r="DG35" s="228">
        <v>0.15</v>
      </c>
      <c r="DH35" s="228">
        <v>33.15</v>
      </c>
      <c r="DI35" s="228">
        <v>35.549999999999997</v>
      </c>
      <c r="DJ35" s="228">
        <v>-2.4</v>
      </c>
      <c r="DK35" s="228">
        <v>-2.4</v>
      </c>
      <c r="DL35" s="228">
        <v>34.770000000000003</v>
      </c>
      <c r="DM35" s="228">
        <v>37.28</v>
      </c>
      <c r="DN35" s="228">
        <v>-2.5099999999999998</v>
      </c>
      <c r="DO35" s="228">
        <v>-2.5099999999999998</v>
      </c>
      <c r="DP35" s="228">
        <v>0.67</v>
      </c>
      <c r="DQ35" s="228">
        <v>0.5</v>
      </c>
      <c r="DR35" s="228">
        <v>0.17</v>
      </c>
      <c r="DS35" s="229">
        <v>0.34</v>
      </c>
      <c r="DT35" s="228">
        <v>380</v>
      </c>
      <c r="DU35" s="228">
        <v>350</v>
      </c>
      <c r="DV35" s="228">
        <v>0.39</v>
      </c>
      <c r="DW35" s="228">
        <v>0.37</v>
      </c>
      <c r="DX35" s="228">
        <v>0.02</v>
      </c>
      <c r="DY35" s="229">
        <v>5.4100000000000002E-2</v>
      </c>
      <c r="DZ35" s="229">
        <v>2.46E-2</v>
      </c>
      <c r="EA35" s="230">
        <v>762500</v>
      </c>
      <c r="EB35" s="229">
        <v>5.5999999999999999E-3</v>
      </c>
      <c r="EC35" s="229">
        <v>2.46E-2</v>
      </c>
      <c r="ED35" s="228">
        <v>3.2</v>
      </c>
      <c r="EE35" s="229">
        <v>8.3999999999999995E-3</v>
      </c>
      <c r="EF35" s="230">
        <v>3088667</v>
      </c>
      <c r="EG35" s="230">
        <v>1257505</v>
      </c>
      <c r="EH35" s="229">
        <v>1.4561999999999999</v>
      </c>
      <c r="EI35" s="229">
        <v>0.47399999999999998</v>
      </c>
      <c r="EJ35" s="231">
        <v>229728.13</v>
      </c>
      <c r="EK35" s="231">
        <v>82359.03</v>
      </c>
      <c r="EL35" s="231">
        <v>48592.63</v>
      </c>
      <c r="EM35" s="231">
        <v>1963</v>
      </c>
      <c r="EN35" s="231">
        <v>360679.79</v>
      </c>
      <c r="EO35" s="231">
        <v>161031.99</v>
      </c>
      <c r="EP35" s="231">
        <v>199647.8</v>
      </c>
      <c r="EQ35" s="229">
        <v>1.2398</v>
      </c>
      <c r="ER35" s="231">
        <v>65391</v>
      </c>
      <c r="ES35" s="231">
        <v>40803</v>
      </c>
      <c r="ET35" s="231">
        <v>117203</v>
      </c>
      <c r="EU35" s="231">
        <v>108004143</v>
      </c>
      <c r="EV35" s="231">
        <v>223398</v>
      </c>
      <c r="EW35" s="231">
        <v>243511</v>
      </c>
      <c r="EX35" s="231">
        <v>-20113</v>
      </c>
      <c r="EY35" s="229">
        <v>-8.2600000000000007E-2</v>
      </c>
      <c r="EZ35" s="229">
        <v>0.54559999999999997</v>
      </c>
      <c r="FA35" s="227" t="s">
        <v>691</v>
      </c>
      <c r="FB35" s="161">
        <f t="shared" si="0"/>
        <v>755000</v>
      </c>
    </row>
    <row r="36" spans="1:158" ht="17.25" thickBot="1" x14ac:dyDescent="0.3">
      <c r="A36" s="226">
        <v>46148</v>
      </c>
      <c r="B36" s="227" t="s">
        <v>184</v>
      </c>
      <c r="C36" s="227" t="s">
        <v>675</v>
      </c>
      <c r="D36" s="228">
        <v>325</v>
      </c>
      <c r="E36" s="231">
        <v>1812.3</v>
      </c>
      <c r="F36" s="231">
        <v>1805.4</v>
      </c>
      <c r="G36" s="228">
        <v>6.9</v>
      </c>
      <c r="H36" s="229">
        <v>3.8E-3</v>
      </c>
      <c r="I36" s="231">
        <v>1806.6</v>
      </c>
      <c r="J36" s="231">
        <v>1802.3</v>
      </c>
      <c r="K36" s="228">
        <v>4.3</v>
      </c>
      <c r="L36" s="229">
        <v>2.3999999999999998E-3</v>
      </c>
      <c r="M36" s="231">
        <v>1812.3</v>
      </c>
      <c r="N36" s="231">
        <v>1805.4</v>
      </c>
      <c r="O36" s="228">
        <v>6.9</v>
      </c>
      <c r="P36" s="229">
        <v>3.8E-3</v>
      </c>
      <c r="Q36" s="231">
        <v>1800.6</v>
      </c>
      <c r="R36" s="231">
        <v>1784.7</v>
      </c>
      <c r="S36" s="228">
        <v>15.9</v>
      </c>
      <c r="T36" s="229">
        <v>8.8999999999999999E-3</v>
      </c>
      <c r="U36" s="231">
        <v>1787.1</v>
      </c>
      <c r="V36" s="231">
        <v>1770.4</v>
      </c>
      <c r="W36" s="228">
        <v>16.7</v>
      </c>
      <c r="X36" s="229">
        <v>9.4000000000000004E-3</v>
      </c>
      <c r="Y36" s="228">
        <v>5.7</v>
      </c>
      <c r="Z36" s="228">
        <v>3.1</v>
      </c>
      <c r="AA36" s="228">
        <v>2.6</v>
      </c>
      <c r="AB36" s="229">
        <v>3.2000000000000002E-3</v>
      </c>
      <c r="AC36" s="228">
        <v>5.7</v>
      </c>
      <c r="AD36" s="228">
        <v>3.1</v>
      </c>
      <c r="AE36" s="228">
        <v>2.6</v>
      </c>
      <c r="AF36" s="229">
        <v>3.2000000000000002E-3</v>
      </c>
      <c r="AG36" s="228">
        <v>-6</v>
      </c>
      <c r="AH36" s="228">
        <v>-17.600000000000001</v>
      </c>
      <c r="AI36" s="228">
        <v>11.6</v>
      </c>
      <c r="AJ36" s="229">
        <v>-3.3E-3</v>
      </c>
      <c r="AK36" s="228">
        <v>-19.5</v>
      </c>
      <c r="AL36" s="228">
        <v>-31.9</v>
      </c>
      <c r="AM36" s="228">
        <v>12.4</v>
      </c>
      <c r="AN36" s="229">
        <v>-1.0800000000000001E-2</v>
      </c>
      <c r="AO36" s="231">
        <v>1789.61</v>
      </c>
      <c r="AP36" s="231">
        <v>1774.61</v>
      </c>
      <c r="AQ36" s="228">
        <v>0</v>
      </c>
      <c r="AR36" s="230">
        <v>1486550</v>
      </c>
      <c r="AS36" s="230">
        <v>798200</v>
      </c>
      <c r="AT36" s="230">
        <v>688350</v>
      </c>
      <c r="AU36" s="229">
        <v>0.86240000000000006</v>
      </c>
      <c r="AV36" s="230">
        <v>1297725</v>
      </c>
      <c r="AW36" s="230">
        <v>778050</v>
      </c>
      <c r="AX36" s="230">
        <v>519675</v>
      </c>
      <c r="AY36" s="229">
        <v>0.66790000000000005</v>
      </c>
      <c r="AZ36" s="230">
        <v>187850</v>
      </c>
      <c r="BA36" s="230">
        <v>19500</v>
      </c>
      <c r="BB36" s="230">
        <v>168350</v>
      </c>
      <c r="BC36" s="229">
        <v>8.6333000000000002</v>
      </c>
      <c r="BD36" s="228">
        <v>975</v>
      </c>
      <c r="BE36" s="228">
        <v>650</v>
      </c>
      <c r="BF36" s="228">
        <v>325</v>
      </c>
      <c r="BG36" s="229">
        <v>0.5</v>
      </c>
      <c r="BH36" s="230">
        <v>2673125</v>
      </c>
      <c r="BI36" s="230">
        <v>845650</v>
      </c>
      <c r="BJ36" s="230">
        <v>1827475</v>
      </c>
      <c r="BK36" s="229">
        <v>2.161</v>
      </c>
      <c r="BL36" s="230">
        <v>907075</v>
      </c>
      <c r="BM36" s="230">
        <v>338325</v>
      </c>
      <c r="BN36" s="230">
        <v>568750</v>
      </c>
      <c r="BO36" s="229">
        <v>1.6811</v>
      </c>
      <c r="BP36" s="230">
        <v>5066750</v>
      </c>
      <c r="BQ36" s="230">
        <v>1982175</v>
      </c>
      <c r="BR36" s="230">
        <v>3084575</v>
      </c>
      <c r="BS36" s="229">
        <v>1.5562</v>
      </c>
      <c r="BT36" s="230">
        <v>499408</v>
      </c>
      <c r="BU36" s="230">
        <v>500927</v>
      </c>
      <c r="BV36" s="230">
        <v>-1519</v>
      </c>
      <c r="BW36" s="229">
        <v>-3.0000000000000001E-3</v>
      </c>
      <c r="BX36" s="230">
        <v>3003975</v>
      </c>
      <c r="BY36" s="230">
        <v>2796300</v>
      </c>
      <c r="BZ36" s="230">
        <v>207675</v>
      </c>
      <c r="CA36" s="229">
        <v>7.4300000000000005E-2</v>
      </c>
      <c r="CB36" s="230">
        <v>2791750</v>
      </c>
      <c r="CC36" s="230">
        <v>2722200</v>
      </c>
      <c r="CD36" s="230">
        <v>69550</v>
      </c>
      <c r="CE36" s="229">
        <v>2.5499999999999998E-2</v>
      </c>
      <c r="CF36" s="230">
        <v>210925</v>
      </c>
      <c r="CG36" s="230">
        <v>73450</v>
      </c>
      <c r="CH36" s="230">
        <v>137475</v>
      </c>
      <c r="CI36" s="229">
        <v>1.8716999999999999</v>
      </c>
      <c r="CJ36" s="230">
        <v>1300</v>
      </c>
      <c r="CK36" s="228">
        <v>650</v>
      </c>
      <c r="CL36" s="228">
        <v>650</v>
      </c>
      <c r="CM36" s="229">
        <v>1</v>
      </c>
      <c r="CN36" s="230">
        <v>1571375</v>
      </c>
      <c r="CO36" s="230">
        <v>1111500</v>
      </c>
      <c r="CP36" s="230">
        <v>459875</v>
      </c>
      <c r="CQ36" s="229">
        <v>0.41370000000000001</v>
      </c>
      <c r="CR36" s="230">
        <v>953875</v>
      </c>
      <c r="CS36" s="230">
        <v>709800</v>
      </c>
      <c r="CT36" s="230">
        <v>244075</v>
      </c>
      <c r="CU36" s="229">
        <v>0.34389999999999998</v>
      </c>
      <c r="CV36" s="230">
        <v>5529225</v>
      </c>
      <c r="CW36" s="230">
        <v>4617600</v>
      </c>
      <c r="CX36" s="230">
        <v>911625</v>
      </c>
      <c r="CY36" s="229">
        <v>0.19739999999999999</v>
      </c>
      <c r="CZ36" s="228">
        <v>44.8</v>
      </c>
      <c r="DA36" s="228">
        <v>46.45</v>
      </c>
      <c r="DB36" s="228">
        <v>-1.65</v>
      </c>
      <c r="DC36" s="228">
        <v>-1.65</v>
      </c>
      <c r="DD36" s="228">
        <v>42.81</v>
      </c>
      <c r="DE36" s="228">
        <v>42.92</v>
      </c>
      <c r="DF36" s="228">
        <v>1.99</v>
      </c>
      <c r="DG36" s="228">
        <v>-0.11</v>
      </c>
      <c r="DH36" s="228">
        <v>44.52</v>
      </c>
      <c r="DI36" s="228">
        <v>46.19</v>
      </c>
      <c r="DJ36" s="228">
        <v>-1.67</v>
      </c>
      <c r="DK36" s="228">
        <v>-1.67</v>
      </c>
      <c r="DL36" s="228">
        <v>45.62</v>
      </c>
      <c r="DM36" s="228">
        <v>47.11</v>
      </c>
      <c r="DN36" s="228">
        <v>-1.49</v>
      </c>
      <c r="DO36" s="228">
        <v>-1.49</v>
      </c>
      <c r="DP36" s="228">
        <v>0.61</v>
      </c>
      <c r="DQ36" s="228">
        <v>0.64</v>
      </c>
      <c r="DR36" s="228">
        <v>-0.03</v>
      </c>
      <c r="DS36" s="229">
        <v>-4.6899999999999997E-2</v>
      </c>
      <c r="DT36" s="231">
        <v>1900</v>
      </c>
      <c r="DU36" s="231">
        <v>1800</v>
      </c>
      <c r="DV36" s="228">
        <v>0.34</v>
      </c>
      <c r="DW36" s="228">
        <v>0.4</v>
      </c>
      <c r="DX36" s="228">
        <v>-0.06</v>
      </c>
      <c r="DY36" s="229">
        <v>-0.15</v>
      </c>
      <c r="DZ36" s="229">
        <v>7.0599999999999996E-2</v>
      </c>
      <c r="EA36" s="230">
        <v>74100</v>
      </c>
      <c r="EB36" s="229">
        <v>-6.4999999999999997E-3</v>
      </c>
      <c r="EC36" s="229">
        <v>7.0599999999999996E-2</v>
      </c>
      <c r="ED36" s="228">
        <v>-15</v>
      </c>
      <c r="EE36" s="229">
        <v>-8.3999999999999995E-3</v>
      </c>
      <c r="EF36" s="230">
        <v>148049</v>
      </c>
      <c r="EG36" s="230">
        <v>215646</v>
      </c>
      <c r="EH36" s="229">
        <v>-0.3135</v>
      </c>
      <c r="EI36" s="229">
        <v>0.2964</v>
      </c>
      <c r="EJ36" s="231">
        <v>51890.51</v>
      </c>
      <c r="EK36" s="231">
        <v>16350.86</v>
      </c>
      <c r="EL36" s="231">
        <v>26574.83</v>
      </c>
      <c r="EM36" s="231">
        <v>2762</v>
      </c>
      <c r="EN36" s="231">
        <v>94816.2</v>
      </c>
      <c r="EO36" s="231">
        <v>37094.75</v>
      </c>
      <c r="EP36" s="231">
        <v>57721.45</v>
      </c>
      <c r="EQ36" s="229">
        <v>1.5561</v>
      </c>
      <c r="ER36" s="231">
        <v>30182</v>
      </c>
      <c r="ES36" s="231">
        <v>16531</v>
      </c>
      <c r="ET36" s="231">
        <v>54416</v>
      </c>
      <c r="EU36" s="231">
        <v>15745076</v>
      </c>
      <c r="EV36" s="231">
        <v>101129</v>
      </c>
      <c r="EW36" s="231">
        <v>84256</v>
      </c>
      <c r="EX36" s="231">
        <v>16873</v>
      </c>
      <c r="EY36" s="229">
        <v>0.20030000000000001</v>
      </c>
      <c r="EZ36" s="229">
        <v>0.35120000000000001</v>
      </c>
      <c r="FA36" s="227" t="s">
        <v>555</v>
      </c>
      <c r="FB36" s="161">
        <f t="shared" si="0"/>
        <v>212225</v>
      </c>
    </row>
    <row r="37" spans="1:158" ht="17.25" thickBot="1" x14ac:dyDescent="0.3">
      <c r="A37" s="226">
        <v>46148</v>
      </c>
      <c r="B37" s="227" t="s">
        <v>162</v>
      </c>
      <c r="C37" s="227" t="s">
        <v>192</v>
      </c>
      <c r="D37" s="228">
        <v>25</v>
      </c>
      <c r="E37" s="231">
        <v>36925</v>
      </c>
      <c r="F37" s="231">
        <v>36080</v>
      </c>
      <c r="G37" s="228">
        <v>845</v>
      </c>
      <c r="H37" s="229">
        <v>2.3400000000000001E-2</v>
      </c>
      <c r="I37" s="231">
        <v>36645</v>
      </c>
      <c r="J37" s="231">
        <v>35870</v>
      </c>
      <c r="K37" s="228">
        <v>775</v>
      </c>
      <c r="L37" s="229">
        <v>2.1600000000000001E-2</v>
      </c>
      <c r="M37" s="231">
        <v>36925</v>
      </c>
      <c r="N37" s="231">
        <v>36080</v>
      </c>
      <c r="O37" s="228">
        <v>845</v>
      </c>
      <c r="P37" s="229">
        <v>2.3400000000000001E-2</v>
      </c>
      <c r="Q37" s="231">
        <v>37120</v>
      </c>
      <c r="R37" s="231">
        <v>36285</v>
      </c>
      <c r="S37" s="228">
        <v>835</v>
      </c>
      <c r="T37" s="229">
        <v>2.3E-2</v>
      </c>
      <c r="U37" s="231">
        <v>36940</v>
      </c>
      <c r="V37" s="231">
        <v>36120</v>
      </c>
      <c r="W37" s="228">
        <v>820</v>
      </c>
      <c r="X37" s="229">
        <v>2.2700000000000001E-2</v>
      </c>
      <c r="Y37" s="228">
        <v>280</v>
      </c>
      <c r="Z37" s="228">
        <v>210</v>
      </c>
      <c r="AA37" s="228">
        <v>70</v>
      </c>
      <c r="AB37" s="229">
        <v>7.6E-3</v>
      </c>
      <c r="AC37" s="228">
        <v>280</v>
      </c>
      <c r="AD37" s="228">
        <v>210</v>
      </c>
      <c r="AE37" s="228">
        <v>70</v>
      </c>
      <c r="AF37" s="229">
        <v>7.6E-3</v>
      </c>
      <c r="AG37" s="228">
        <v>475</v>
      </c>
      <c r="AH37" s="228">
        <v>415</v>
      </c>
      <c r="AI37" s="228">
        <v>60</v>
      </c>
      <c r="AJ37" s="229">
        <v>1.2999999999999999E-2</v>
      </c>
      <c r="AK37" s="228">
        <v>295</v>
      </c>
      <c r="AL37" s="228">
        <v>250</v>
      </c>
      <c r="AM37" s="228">
        <v>45</v>
      </c>
      <c r="AN37" s="229">
        <v>8.0999999999999996E-3</v>
      </c>
      <c r="AO37" s="231">
        <v>36560.120000000003</v>
      </c>
      <c r="AP37" s="231">
        <v>36752</v>
      </c>
      <c r="AQ37" s="228">
        <v>0</v>
      </c>
      <c r="AR37" s="230">
        <v>34975</v>
      </c>
      <c r="AS37" s="230">
        <v>18850</v>
      </c>
      <c r="AT37" s="230">
        <v>16125</v>
      </c>
      <c r="AU37" s="229">
        <v>0.85540000000000005</v>
      </c>
      <c r="AV37" s="230">
        <v>33850</v>
      </c>
      <c r="AW37" s="230">
        <v>17850</v>
      </c>
      <c r="AX37" s="230">
        <v>16000</v>
      </c>
      <c r="AY37" s="229">
        <v>0.89639999999999997</v>
      </c>
      <c r="AZ37" s="230">
        <v>1000</v>
      </c>
      <c r="BA37" s="228">
        <v>750</v>
      </c>
      <c r="BB37" s="228">
        <v>250</v>
      </c>
      <c r="BC37" s="229">
        <v>0.33329999999999999</v>
      </c>
      <c r="BD37" s="228">
        <v>125</v>
      </c>
      <c r="BE37" s="228">
        <v>250</v>
      </c>
      <c r="BF37" s="228">
        <v>-125</v>
      </c>
      <c r="BG37" s="229">
        <v>-0.5</v>
      </c>
      <c r="BH37" s="230">
        <v>41425</v>
      </c>
      <c r="BI37" s="230">
        <v>29225</v>
      </c>
      <c r="BJ37" s="230">
        <v>12200</v>
      </c>
      <c r="BK37" s="229">
        <v>0.41749999999999998</v>
      </c>
      <c r="BL37" s="230">
        <v>14975</v>
      </c>
      <c r="BM37" s="230">
        <v>15950</v>
      </c>
      <c r="BN37" s="228">
        <v>-975</v>
      </c>
      <c r="BO37" s="229">
        <v>-6.1100000000000002E-2</v>
      </c>
      <c r="BP37" s="230">
        <v>91375</v>
      </c>
      <c r="BQ37" s="230">
        <v>64025</v>
      </c>
      <c r="BR37" s="230">
        <v>27350</v>
      </c>
      <c r="BS37" s="229">
        <v>0.42720000000000002</v>
      </c>
      <c r="BT37" s="230">
        <v>42253</v>
      </c>
      <c r="BU37" s="230">
        <v>15541</v>
      </c>
      <c r="BV37" s="230">
        <v>26712</v>
      </c>
      <c r="BW37" s="229">
        <v>1.7188000000000001</v>
      </c>
      <c r="BX37" s="230">
        <v>253475</v>
      </c>
      <c r="BY37" s="230">
        <v>250300</v>
      </c>
      <c r="BZ37" s="230">
        <v>3175</v>
      </c>
      <c r="CA37" s="229">
        <v>1.2699999999999999E-2</v>
      </c>
      <c r="CB37" s="230">
        <v>250275</v>
      </c>
      <c r="CC37" s="230">
        <v>247275</v>
      </c>
      <c r="CD37" s="230">
        <v>3000</v>
      </c>
      <c r="CE37" s="229">
        <v>1.21E-2</v>
      </c>
      <c r="CF37" s="230">
        <v>2600</v>
      </c>
      <c r="CG37" s="230">
        <v>2400</v>
      </c>
      <c r="CH37" s="228">
        <v>200</v>
      </c>
      <c r="CI37" s="229">
        <v>8.3299999999999999E-2</v>
      </c>
      <c r="CJ37" s="228">
        <v>600</v>
      </c>
      <c r="CK37" s="228">
        <v>625</v>
      </c>
      <c r="CL37" s="228">
        <v>-25</v>
      </c>
      <c r="CM37" s="229">
        <v>-0.04</v>
      </c>
      <c r="CN37" s="230">
        <v>54775</v>
      </c>
      <c r="CO37" s="230">
        <v>48550</v>
      </c>
      <c r="CP37" s="230">
        <v>6225</v>
      </c>
      <c r="CQ37" s="229">
        <v>0.12820000000000001</v>
      </c>
      <c r="CR37" s="230">
        <v>39200</v>
      </c>
      <c r="CS37" s="230">
        <v>38475</v>
      </c>
      <c r="CT37" s="228">
        <v>725</v>
      </c>
      <c r="CU37" s="229">
        <v>1.8800000000000001E-2</v>
      </c>
      <c r="CV37" s="230">
        <v>347450</v>
      </c>
      <c r="CW37" s="230">
        <v>337325</v>
      </c>
      <c r="CX37" s="230">
        <v>10125</v>
      </c>
      <c r="CY37" s="229">
        <v>0.03</v>
      </c>
      <c r="CZ37" s="228">
        <v>33.6</v>
      </c>
      <c r="DA37" s="228">
        <v>35.340000000000003</v>
      </c>
      <c r="DB37" s="228">
        <v>-1.74</v>
      </c>
      <c r="DC37" s="228">
        <v>-1.74</v>
      </c>
      <c r="DD37" s="228">
        <v>34.57</v>
      </c>
      <c r="DE37" s="228">
        <v>34.51</v>
      </c>
      <c r="DF37" s="228">
        <v>-0.97</v>
      </c>
      <c r="DG37" s="228">
        <v>0.06</v>
      </c>
      <c r="DH37" s="228">
        <v>33.520000000000003</v>
      </c>
      <c r="DI37" s="228">
        <v>35.619999999999997</v>
      </c>
      <c r="DJ37" s="228">
        <v>-2.1</v>
      </c>
      <c r="DK37" s="228">
        <v>-2.1</v>
      </c>
      <c r="DL37" s="228">
        <v>33.840000000000003</v>
      </c>
      <c r="DM37" s="228">
        <v>34.82</v>
      </c>
      <c r="DN37" s="228">
        <v>-0.98</v>
      </c>
      <c r="DO37" s="228">
        <v>-0.98</v>
      </c>
      <c r="DP37" s="228">
        <v>0.72</v>
      </c>
      <c r="DQ37" s="228">
        <v>0.79</v>
      </c>
      <c r="DR37" s="228">
        <v>-7.0000000000000007E-2</v>
      </c>
      <c r="DS37" s="229">
        <v>-8.8599999999999998E-2</v>
      </c>
      <c r="DT37" s="231">
        <v>40000</v>
      </c>
      <c r="DU37" s="231">
        <v>35750</v>
      </c>
      <c r="DV37" s="228">
        <v>0.36</v>
      </c>
      <c r="DW37" s="228">
        <v>0.55000000000000004</v>
      </c>
      <c r="DX37" s="228">
        <v>-0.19</v>
      </c>
      <c r="DY37" s="229">
        <v>-0.34549999999999997</v>
      </c>
      <c r="DZ37" s="229">
        <v>1.26E-2</v>
      </c>
      <c r="EA37" s="230">
        <v>3025</v>
      </c>
      <c r="EB37" s="229">
        <v>5.3E-3</v>
      </c>
      <c r="EC37" s="229">
        <v>1.26E-2</v>
      </c>
      <c r="ED37" s="228">
        <v>191.88</v>
      </c>
      <c r="EE37" s="229">
        <v>5.1999999999999998E-3</v>
      </c>
      <c r="EF37" s="230">
        <v>23814</v>
      </c>
      <c r="EG37" s="230">
        <v>6528</v>
      </c>
      <c r="EH37" s="229">
        <v>2.6480000000000001</v>
      </c>
      <c r="EI37" s="229">
        <v>0.56359999999999999</v>
      </c>
      <c r="EJ37" s="231">
        <v>16296.11</v>
      </c>
      <c r="EK37" s="231">
        <v>5288.79</v>
      </c>
      <c r="EL37" s="231">
        <v>12788.89</v>
      </c>
      <c r="EM37" s="231">
        <v>1124</v>
      </c>
      <c r="EN37" s="231">
        <v>34373.79</v>
      </c>
      <c r="EO37" s="231">
        <v>23883.54</v>
      </c>
      <c r="EP37" s="231">
        <v>10490.25</v>
      </c>
      <c r="EQ37" s="229">
        <v>0.43919999999999998</v>
      </c>
      <c r="ER37" s="231">
        <v>21153</v>
      </c>
      <c r="ES37" s="231">
        <v>13824</v>
      </c>
      <c r="ET37" s="231">
        <v>93601</v>
      </c>
      <c r="EU37" s="231">
        <v>868841</v>
      </c>
      <c r="EV37" s="231">
        <v>128578</v>
      </c>
      <c r="EW37" s="231">
        <v>122630</v>
      </c>
      <c r="EX37" s="231">
        <v>5948</v>
      </c>
      <c r="EY37" s="229">
        <v>4.8500000000000001E-2</v>
      </c>
      <c r="EZ37" s="229">
        <v>0.39989999999999998</v>
      </c>
      <c r="FA37" s="227" t="s">
        <v>555</v>
      </c>
      <c r="FB37" s="161">
        <f t="shared" si="0"/>
        <v>3200</v>
      </c>
    </row>
    <row r="38" spans="1:158" ht="17.25" thickBot="1" x14ac:dyDescent="0.3">
      <c r="A38" s="226">
        <v>46148</v>
      </c>
      <c r="B38" s="227" t="s">
        <v>193</v>
      </c>
      <c r="C38" s="227" t="s">
        <v>194</v>
      </c>
      <c r="D38" s="228">
        <v>1975</v>
      </c>
      <c r="E38" s="228">
        <v>316.14999999999998</v>
      </c>
      <c r="F38" s="228">
        <v>300.25</v>
      </c>
      <c r="G38" s="228">
        <v>15.9</v>
      </c>
      <c r="H38" s="229">
        <v>5.2999999999999999E-2</v>
      </c>
      <c r="I38" s="228">
        <v>314.05</v>
      </c>
      <c r="J38" s="228">
        <v>298.5</v>
      </c>
      <c r="K38" s="228">
        <v>15.55</v>
      </c>
      <c r="L38" s="229">
        <v>5.21E-2</v>
      </c>
      <c r="M38" s="228">
        <v>316.14999999999998</v>
      </c>
      <c r="N38" s="228">
        <v>300.25</v>
      </c>
      <c r="O38" s="228">
        <v>15.9</v>
      </c>
      <c r="P38" s="229">
        <v>5.2999999999999999E-2</v>
      </c>
      <c r="Q38" s="228">
        <v>317.75</v>
      </c>
      <c r="R38" s="228">
        <v>302.10000000000002</v>
      </c>
      <c r="S38" s="228">
        <v>15.65</v>
      </c>
      <c r="T38" s="229">
        <v>5.1799999999999999E-2</v>
      </c>
      <c r="U38" s="228">
        <v>318.95</v>
      </c>
      <c r="V38" s="228">
        <v>303.10000000000002</v>
      </c>
      <c r="W38" s="228">
        <v>15.85</v>
      </c>
      <c r="X38" s="229">
        <v>5.2299999999999999E-2</v>
      </c>
      <c r="Y38" s="228">
        <v>2.1</v>
      </c>
      <c r="Z38" s="228">
        <v>1.75</v>
      </c>
      <c r="AA38" s="228">
        <v>0.35</v>
      </c>
      <c r="AB38" s="229">
        <v>6.7000000000000002E-3</v>
      </c>
      <c r="AC38" s="228">
        <v>2.1</v>
      </c>
      <c r="AD38" s="228">
        <v>1.75</v>
      </c>
      <c r="AE38" s="228">
        <v>0.35</v>
      </c>
      <c r="AF38" s="229">
        <v>6.7000000000000002E-3</v>
      </c>
      <c r="AG38" s="228">
        <v>3.7</v>
      </c>
      <c r="AH38" s="228">
        <v>3.6</v>
      </c>
      <c r="AI38" s="228">
        <v>0.1</v>
      </c>
      <c r="AJ38" s="229">
        <v>1.18E-2</v>
      </c>
      <c r="AK38" s="228">
        <v>4.9000000000000004</v>
      </c>
      <c r="AL38" s="228">
        <v>4.5999999999999996</v>
      </c>
      <c r="AM38" s="228">
        <v>0.3</v>
      </c>
      <c r="AN38" s="229">
        <v>1.5599999999999999E-2</v>
      </c>
      <c r="AO38" s="228">
        <v>312.06</v>
      </c>
      <c r="AP38" s="228">
        <v>313.64</v>
      </c>
      <c r="AQ38" s="228">
        <v>0</v>
      </c>
      <c r="AR38" s="230">
        <v>12630125</v>
      </c>
      <c r="AS38" s="230">
        <v>6914475</v>
      </c>
      <c r="AT38" s="230">
        <v>5715650</v>
      </c>
      <c r="AU38" s="229">
        <v>0.8266</v>
      </c>
      <c r="AV38" s="230">
        <v>11834200</v>
      </c>
      <c r="AW38" s="230">
        <v>6375300</v>
      </c>
      <c r="AX38" s="230">
        <v>5458900</v>
      </c>
      <c r="AY38" s="229">
        <v>0.85629999999999995</v>
      </c>
      <c r="AZ38" s="230">
        <v>712975</v>
      </c>
      <c r="BA38" s="230">
        <v>475975</v>
      </c>
      <c r="BB38" s="230">
        <v>237000</v>
      </c>
      <c r="BC38" s="229">
        <v>0.49790000000000001</v>
      </c>
      <c r="BD38" s="230">
        <v>82950</v>
      </c>
      <c r="BE38" s="230">
        <v>63200</v>
      </c>
      <c r="BF38" s="230">
        <v>19750</v>
      </c>
      <c r="BG38" s="229">
        <v>0.3125</v>
      </c>
      <c r="BH38" s="230">
        <v>55600200</v>
      </c>
      <c r="BI38" s="230">
        <v>19965275</v>
      </c>
      <c r="BJ38" s="230">
        <v>35634925</v>
      </c>
      <c r="BK38" s="229">
        <v>1.7847999999999999</v>
      </c>
      <c r="BL38" s="230">
        <v>23192425</v>
      </c>
      <c r="BM38" s="230">
        <v>16777625</v>
      </c>
      <c r="BN38" s="230">
        <v>6414800</v>
      </c>
      <c r="BO38" s="229">
        <v>0.38229999999999997</v>
      </c>
      <c r="BP38" s="230">
        <v>91422750</v>
      </c>
      <c r="BQ38" s="230">
        <v>43657375</v>
      </c>
      <c r="BR38" s="230">
        <v>47765375</v>
      </c>
      <c r="BS38" s="229">
        <v>1.0941000000000001</v>
      </c>
      <c r="BT38" s="230">
        <v>18114169</v>
      </c>
      <c r="BU38" s="230">
        <v>13144175</v>
      </c>
      <c r="BV38" s="230">
        <v>4969994</v>
      </c>
      <c r="BW38" s="229">
        <v>0.37809999999999999</v>
      </c>
      <c r="BX38" s="230">
        <v>56380325</v>
      </c>
      <c r="BY38" s="230">
        <v>56483025</v>
      </c>
      <c r="BZ38" s="230">
        <v>-102700</v>
      </c>
      <c r="CA38" s="229">
        <v>-1.8E-3</v>
      </c>
      <c r="CB38" s="230">
        <v>51308525</v>
      </c>
      <c r="CC38" s="230">
        <v>51385550</v>
      </c>
      <c r="CD38" s="230">
        <v>-77025</v>
      </c>
      <c r="CE38" s="229">
        <v>-1.5E-3</v>
      </c>
      <c r="CF38" s="230">
        <v>4986875</v>
      </c>
      <c r="CG38" s="230">
        <v>5012550</v>
      </c>
      <c r="CH38" s="230">
        <v>-25675</v>
      </c>
      <c r="CI38" s="229">
        <v>-5.1000000000000004E-3</v>
      </c>
      <c r="CJ38" s="230">
        <v>84925</v>
      </c>
      <c r="CK38" s="230">
        <v>84925</v>
      </c>
      <c r="CL38" s="228">
        <v>0</v>
      </c>
      <c r="CM38" s="229">
        <v>0</v>
      </c>
      <c r="CN38" s="230">
        <v>23050225</v>
      </c>
      <c r="CO38" s="230">
        <v>21547250</v>
      </c>
      <c r="CP38" s="230">
        <v>1502975</v>
      </c>
      <c r="CQ38" s="229">
        <v>6.9800000000000001E-2</v>
      </c>
      <c r="CR38" s="230">
        <v>15470175</v>
      </c>
      <c r="CS38" s="230">
        <v>14460950</v>
      </c>
      <c r="CT38" s="230">
        <v>1009225</v>
      </c>
      <c r="CU38" s="229">
        <v>6.9800000000000001E-2</v>
      </c>
      <c r="CV38" s="230">
        <v>94900725</v>
      </c>
      <c r="CW38" s="230">
        <v>92491225</v>
      </c>
      <c r="CX38" s="230">
        <v>2409500</v>
      </c>
      <c r="CY38" s="229">
        <v>2.6100000000000002E-2</v>
      </c>
      <c r="CZ38" s="228">
        <v>42.24</v>
      </c>
      <c r="DA38" s="228">
        <v>42.69</v>
      </c>
      <c r="DB38" s="228">
        <v>-0.45</v>
      </c>
      <c r="DC38" s="228">
        <v>-0.45</v>
      </c>
      <c r="DD38" s="228">
        <v>37.229999999999997</v>
      </c>
      <c r="DE38" s="228">
        <v>36.67</v>
      </c>
      <c r="DF38" s="228">
        <v>5.01</v>
      </c>
      <c r="DG38" s="228">
        <v>0.56000000000000005</v>
      </c>
      <c r="DH38" s="228">
        <v>42.23</v>
      </c>
      <c r="DI38" s="228">
        <v>42.79</v>
      </c>
      <c r="DJ38" s="228">
        <v>-0.56000000000000005</v>
      </c>
      <c r="DK38" s="228">
        <v>-0.56000000000000005</v>
      </c>
      <c r="DL38" s="228">
        <v>42.26</v>
      </c>
      <c r="DM38" s="228">
        <v>42.57</v>
      </c>
      <c r="DN38" s="228">
        <v>-0.31</v>
      </c>
      <c r="DO38" s="228">
        <v>-0.31</v>
      </c>
      <c r="DP38" s="228">
        <v>0.67</v>
      </c>
      <c r="DQ38" s="228">
        <v>0.67</v>
      </c>
      <c r="DR38" s="228">
        <v>0</v>
      </c>
      <c r="DS38" s="229">
        <v>0</v>
      </c>
      <c r="DT38" s="228">
        <v>350</v>
      </c>
      <c r="DU38" s="228">
        <v>310</v>
      </c>
      <c r="DV38" s="228">
        <v>0.42</v>
      </c>
      <c r="DW38" s="228">
        <v>0.84</v>
      </c>
      <c r="DX38" s="228">
        <v>-0.42</v>
      </c>
      <c r="DY38" s="229">
        <v>-0.5</v>
      </c>
      <c r="DZ38" s="229">
        <v>0.09</v>
      </c>
      <c r="EA38" s="230">
        <v>5097475</v>
      </c>
      <c r="EB38" s="229">
        <v>5.1000000000000004E-3</v>
      </c>
      <c r="EC38" s="229">
        <v>0.09</v>
      </c>
      <c r="ED38" s="228">
        <v>1.58</v>
      </c>
      <c r="EE38" s="229">
        <v>5.1000000000000004E-3</v>
      </c>
      <c r="EF38" s="230">
        <v>8901228</v>
      </c>
      <c r="EG38" s="230">
        <v>6848497</v>
      </c>
      <c r="EH38" s="229">
        <v>0.29970000000000002</v>
      </c>
      <c r="EI38" s="229">
        <v>0.4914</v>
      </c>
      <c r="EJ38" s="231">
        <v>185302.04</v>
      </c>
      <c r="EK38" s="231">
        <v>71731.13</v>
      </c>
      <c r="EL38" s="231">
        <v>39427.07</v>
      </c>
      <c r="EM38" s="231">
        <v>4560</v>
      </c>
      <c r="EN38" s="231">
        <v>296460.24</v>
      </c>
      <c r="EO38" s="231">
        <v>135686.35</v>
      </c>
      <c r="EP38" s="231">
        <v>160773.89000000001</v>
      </c>
      <c r="EQ38" s="229">
        <v>1.1849000000000001</v>
      </c>
      <c r="ER38" s="231">
        <v>75707</v>
      </c>
      <c r="ES38" s="231">
        <v>46199</v>
      </c>
      <c r="ET38" s="231">
        <v>178329</v>
      </c>
      <c r="EU38" s="231">
        <v>306020745</v>
      </c>
      <c r="EV38" s="231">
        <v>300234</v>
      </c>
      <c r="EW38" s="231">
        <v>282310</v>
      </c>
      <c r="EX38" s="231">
        <v>17924</v>
      </c>
      <c r="EY38" s="229">
        <v>6.3500000000000001E-2</v>
      </c>
      <c r="EZ38" s="229">
        <v>0.31009999999999999</v>
      </c>
      <c r="FA38" s="227" t="s">
        <v>691</v>
      </c>
      <c r="FB38" s="161">
        <f t="shared" si="0"/>
        <v>5071800</v>
      </c>
    </row>
    <row r="39" spans="1:158" ht="17.25" thickBot="1" x14ac:dyDescent="0.3">
      <c r="A39" s="226">
        <v>46148</v>
      </c>
      <c r="B39" s="227" t="s">
        <v>168</v>
      </c>
      <c r="C39" s="227" t="s">
        <v>195</v>
      </c>
      <c r="D39" s="228">
        <v>125</v>
      </c>
      <c r="E39" s="231">
        <v>5795.5</v>
      </c>
      <c r="F39" s="231">
        <v>5843</v>
      </c>
      <c r="G39" s="228">
        <v>-47.5</v>
      </c>
      <c r="H39" s="229">
        <v>-8.0999999999999996E-3</v>
      </c>
      <c r="I39" s="231">
        <v>5783</v>
      </c>
      <c r="J39" s="231">
        <v>5834.5</v>
      </c>
      <c r="K39" s="228">
        <v>-51.5</v>
      </c>
      <c r="L39" s="229">
        <v>-8.8000000000000005E-3</v>
      </c>
      <c r="M39" s="231">
        <v>5795.5</v>
      </c>
      <c r="N39" s="231">
        <v>5843</v>
      </c>
      <c r="O39" s="228">
        <v>-47.5</v>
      </c>
      <c r="P39" s="229">
        <v>-8.0999999999999996E-3</v>
      </c>
      <c r="Q39" s="231">
        <v>5836.5</v>
      </c>
      <c r="R39" s="231">
        <v>5877</v>
      </c>
      <c r="S39" s="228">
        <v>-40.5</v>
      </c>
      <c r="T39" s="229">
        <v>-6.8999999999999999E-3</v>
      </c>
      <c r="U39" s="231">
        <v>5853</v>
      </c>
      <c r="V39" s="231">
        <v>5905.5</v>
      </c>
      <c r="W39" s="228">
        <v>-52.5</v>
      </c>
      <c r="X39" s="229">
        <v>-8.8999999999999999E-3</v>
      </c>
      <c r="Y39" s="228">
        <v>12.5</v>
      </c>
      <c r="Z39" s="228">
        <v>8.5</v>
      </c>
      <c r="AA39" s="228">
        <v>4</v>
      </c>
      <c r="AB39" s="229">
        <v>2.2000000000000001E-3</v>
      </c>
      <c r="AC39" s="228">
        <v>12.5</v>
      </c>
      <c r="AD39" s="228">
        <v>8.5</v>
      </c>
      <c r="AE39" s="228">
        <v>4</v>
      </c>
      <c r="AF39" s="229">
        <v>2.2000000000000001E-3</v>
      </c>
      <c r="AG39" s="228">
        <v>53.5</v>
      </c>
      <c r="AH39" s="228">
        <v>42.5</v>
      </c>
      <c r="AI39" s="228">
        <v>11</v>
      </c>
      <c r="AJ39" s="229">
        <v>9.2999999999999992E-3</v>
      </c>
      <c r="AK39" s="228">
        <v>70</v>
      </c>
      <c r="AL39" s="228">
        <v>71</v>
      </c>
      <c r="AM39" s="228">
        <v>-1</v>
      </c>
      <c r="AN39" s="229">
        <v>1.21E-2</v>
      </c>
      <c r="AO39" s="231">
        <v>5811.62</v>
      </c>
      <c r="AP39" s="231">
        <v>5854.94</v>
      </c>
      <c r="AQ39" s="228">
        <v>0</v>
      </c>
      <c r="AR39" s="230">
        <v>610125</v>
      </c>
      <c r="AS39" s="230">
        <v>722250</v>
      </c>
      <c r="AT39" s="230">
        <v>-112125</v>
      </c>
      <c r="AU39" s="229">
        <v>-0.1552</v>
      </c>
      <c r="AV39" s="230">
        <v>593125</v>
      </c>
      <c r="AW39" s="230">
        <v>715500</v>
      </c>
      <c r="AX39" s="230">
        <v>-122375</v>
      </c>
      <c r="AY39" s="229">
        <v>-0.17100000000000001</v>
      </c>
      <c r="AZ39" s="230">
        <v>15125</v>
      </c>
      <c r="BA39" s="230">
        <v>6125</v>
      </c>
      <c r="BB39" s="230">
        <v>9000</v>
      </c>
      <c r="BC39" s="229">
        <v>1.4694</v>
      </c>
      <c r="BD39" s="230">
        <v>1875</v>
      </c>
      <c r="BE39" s="228">
        <v>625</v>
      </c>
      <c r="BF39" s="230">
        <v>1250</v>
      </c>
      <c r="BG39" s="229">
        <v>2</v>
      </c>
      <c r="BH39" s="230">
        <v>1188000</v>
      </c>
      <c r="BI39" s="230">
        <v>1250750</v>
      </c>
      <c r="BJ39" s="230">
        <v>-62750</v>
      </c>
      <c r="BK39" s="229">
        <v>-5.0200000000000002E-2</v>
      </c>
      <c r="BL39" s="230">
        <v>885125</v>
      </c>
      <c r="BM39" s="230">
        <v>594000</v>
      </c>
      <c r="BN39" s="230">
        <v>291125</v>
      </c>
      <c r="BO39" s="229">
        <v>0.49009999999999998</v>
      </c>
      <c r="BP39" s="230">
        <v>2683250</v>
      </c>
      <c r="BQ39" s="230">
        <v>2567000</v>
      </c>
      <c r="BR39" s="230">
        <v>116250</v>
      </c>
      <c r="BS39" s="229">
        <v>4.53E-2</v>
      </c>
      <c r="BT39" s="230">
        <v>460062</v>
      </c>
      <c r="BU39" s="230">
        <v>748729</v>
      </c>
      <c r="BV39" s="230">
        <v>-288667</v>
      </c>
      <c r="BW39" s="229">
        <v>-0.38550000000000001</v>
      </c>
      <c r="BX39" s="230">
        <v>2713375</v>
      </c>
      <c r="BY39" s="230">
        <v>2739125</v>
      </c>
      <c r="BZ39" s="230">
        <v>-25750</v>
      </c>
      <c r="CA39" s="229">
        <v>-9.4000000000000004E-3</v>
      </c>
      <c r="CB39" s="230">
        <v>2366875</v>
      </c>
      <c r="CC39" s="230">
        <v>2401875</v>
      </c>
      <c r="CD39" s="230">
        <v>-35000</v>
      </c>
      <c r="CE39" s="229">
        <v>-1.46E-2</v>
      </c>
      <c r="CF39" s="230">
        <v>345000</v>
      </c>
      <c r="CG39" s="230">
        <v>336625</v>
      </c>
      <c r="CH39" s="230">
        <v>8375</v>
      </c>
      <c r="CI39" s="229">
        <v>2.4899999999999999E-2</v>
      </c>
      <c r="CJ39" s="230">
        <v>1500</v>
      </c>
      <c r="CK39" s="228">
        <v>625</v>
      </c>
      <c r="CL39" s="228">
        <v>875</v>
      </c>
      <c r="CM39" s="229">
        <v>1.4</v>
      </c>
      <c r="CN39" s="230">
        <v>855875</v>
      </c>
      <c r="CO39" s="230">
        <v>782750</v>
      </c>
      <c r="CP39" s="230">
        <v>73125</v>
      </c>
      <c r="CQ39" s="229">
        <v>9.3399999999999997E-2</v>
      </c>
      <c r="CR39" s="230">
        <v>667125</v>
      </c>
      <c r="CS39" s="230">
        <v>500000</v>
      </c>
      <c r="CT39" s="230">
        <v>167125</v>
      </c>
      <c r="CU39" s="229">
        <v>0.3342</v>
      </c>
      <c r="CV39" s="230">
        <v>4236375</v>
      </c>
      <c r="CW39" s="230">
        <v>4021875</v>
      </c>
      <c r="CX39" s="230">
        <v>214500</v>
      </c>
      <c r="CY39" s="229">
        <v>5.33E-2</v>
      </c>
      <c r="CZ39" s="228">
        <v>29.78</v>
      </c>
      <c r="DA39" s="228">
        <v>28.22</v>
      </c>
      <c r="DB39" s="228">
        <v>1.56</v>
      </c>
      <c r="DC39" s="228">
        <v>1.56</v>
      </c>
      <c r="DD39" s="228">
        <v>24.64</v>
      </c>
      <c r="DE39" s="228">
        <v>24.67</v>
      </c>
      <c r="DF39" s="228">
        <v>5.14</v>
      </c>
      <c r="DG39" s="228">
        <v>-0.03</v>
      </c>
      <c r="DH39" s="228">
        <v>29.28</v>
      </c>
      <c r="DI39" s="228">
        <v>28.1</v>
      </c>
      <c r="DJ39" s="228">
        <v>1.18</v>
      </c>
      <c r="DK39" s="228">
        <v>1.18</v>
      </c>
      <c r="DL39" s="228">
        <v>30.45</v>
      </c>
      <c r="DM39" s="228">
        <v>28.45</v>
      </c>
      <c r="DN39" s="228">
        <v>2</v>
      </c>
      <c r="DO39" s="228">
        <v>2</v>
      </c>
      <c r="DP39" s="228">
        <v>0.78</v>
      </c>
      <c r="DQ39" s="228">
        <v>0.64</v>
      </c>
      <c r="DR39" s="228">
        <v>0.14000000000000001</v>
      </c>
      <c r="DS39" s="229">
        <v>0.21879999999999999</v>
      </c>
      <c r="DT39" s="231">
        <v>6000</v>
      </c>
      <c r="DU39" s="231">
        <v>5500</v>
      </c>
      <c r="DV39" s="228">
        <v>0.75</v>
      </c>
      <c r="DW39" s="228">
        <v>0.47</v>
      </c>
      <c r="DX39" s="228">
        <v>0.28000000000000003</v>
      </c>
      <c r="DY39" s="229">
        <v>0.59570000000000001</v>
      </c>
      <c r="DZ39" s="229">
        <v>0.12770000000000001</v>
      </c>
      <c r="EA39" s="230">
        <v>337250</v>
      </c>
      <c r="EB39" s="229">
        <v>7.1000000000000004E-3</v>
      </c>
      <c r="EC39" s="229">
        <v>0.12770000000000001</v>
      </c>
      <c r="ED39" s="228">
        <v>43.32</v>
      </c>
      <c r="EE39" s="229">
        <v>7.4999999999999997E-3</v>
      </c>
      <c r="EF39" s="230">
        <v>277299</v>
      </c>
      <c r="EG39" s="230">
        <v>510165</v>
      </c>
      <c r="EH39" s="229">
        <v>-0.45650000000000002</v>
      </c>
      <c r="EI39" s="229">
        <v>0.60270000000000001</v>
      </c>
      <c r="EJ39" s="231">
        <v>72239.47</v>
      </c>
      <c r="EK39" s="231">
        <v>50130.32</v>
      </c>
      <c r="EL39" s="231">
        <v>35465.519999999997</v>
      </c>
      <c r="EM39" s="231">
        <v>3678</v>
      </c>
      <c r="EN39" s="231">
        <v>157835.31</v>
      </c>
      <c r="EO39" s="231">
        <v>152139.24</v>
      </c>
      <c r="EP39" s="231">
        <v>5696.07</v>
      </c>
      <c r="EQ39" s="229">
        <v>3.7400000000000003E-2</v>
      </c>
      <c r="ER39" s="231">
        <v>51670</v>
      </c>
      <c r="ES39" s="231">
        <v>36805</v>
      </c>
      <c r="ET39" s="231">
        <v>157396</v>
      </c>
      <c r="EU39" s="231">
        <v>14553559</v>
      </c>
      <c r="EV39" s="231">
        <v>245871</v>
      </c>
      <c r="EW39" s="231">
        <v>234862</v>
      </c>
      <c r="EX39" s="231">
        <v>11009</v>
      </c>
      <c r="EY39" s="229">
        <v>4.6899999999999997E-2</v>
      </c>
      <c r="EZ39" s="229">
        <v>0.29110000000000003</v>
      </c>
      <c r="FA39" s="227" t="s">
        <v>567</v>
      </c>
      <c r="FB39" s="161">
        <f t="shared" si="0"/>
        <v>346500</v>
      </c>
    </row>
    <row r="40" spans="1:158" ht="17.25" thickBot="1" x14ac:dyDescent="0.3">
      <c r="A40" s="226">
        <v>46148</v>
      </c>
      <c r="B40" s="227" t="s">
        <v>175</v>
      </c>
      <c r="C40" s="227" t="s">
        <v>583</v>
      </c>
      <c r="D40" s="228">
        <v>375</v>
      </c>
      <c r="E40" s="231">
        <v>3860.5</v>
      </c>
      <c r="F40" s="231">
        <v>3744</v>
      </c>
      <c r="G40" s="228">
        <v>116.5</v>
      </c>
      <c r="H40" s="229">
        <v>3.1099999999999999E-2</v>
      </c>
      <c r="I40" s="231">
        <v>3852.1</v>
      </c>
      <c r="J40" s="231">
        <v>3726.2</v>
      </c>
      <c r="K40" s="228">
        <v>125.9</v>
      </c>
      <c r="L40" s="229">
        <v>3.3799999999999997E-2</v>
      </c>
      <c r="M40" s="231">
        <v>3860.5</v>
      </c>
      <c r="N40" s="231">
        <v>3744</v>
      </c>
      <c r="O40" s="228">
        <v>116.5</v>
      </c>
      <c r="P40" s="229">
        <v>3.1099999999999999E-2</v>
      </c>
      <c r="Q40" s="231">
        <v>3874.9</v>
      </c>
      <c r="R40" s="231">
        <v>3760.1</v>
      </c>
      <c r="S40" s="228">
        <v>114.8</v>
      </c>
      <c r="T40" s="229">
        <v>3.0499999999999999E-2</v>
      </c>
      <c r="U40" s="231">
        <v>3889.3</v>
      </c>
      <c r="V40" s="231">
        <v>3788</v>
      </c>
      <c r="W40" s="228">
        <v>101.3</v>
      </c>
      <c r="X40" s="229">
        <v>2.6700000000000002E-2</v>
      </c>
      <c r="Y40" s="228">
        <v>8.4</v>
      </c>
      <c r="Z40" s="228">
        <v>17.8</v>
      </c>
      <c r="AA40" s="228">
        <v>-9.4</v>
      </c>
      <c r="AB40" s="229">
        <v>2.2000000000000001E-3</v>
      </c>
      <c r="AC40" s="228">
        <v>8.4</v>
      </c>
      <c r="AD40" s="228">
        <v>17.8</v>
      </c>
      <c r="AE40" s="228">
        <v>-9.4</v>
      </c>
      <c r="AF40" s="229">
        <v>2.2000000000000001E-3</v>
      </c>
      <c r="AG40" s="228">
        <v>22.8</v>
      </c>
      <c r="AH40" s="228">
        <v>33.9</v>
      </c>
      <c r="AI40" s="228">
        <v>-11.1</v>
      </c>
      <c r="AJ40" s="229">
        <v>5.8999999999999999E-3</v>
      </c>
      <c r="AK40" s="228">
        <v>37.200000000000003</v>
      </c>
      <c r="AL40" s="228">
        <v>61.8</v>
      </c>
      <c r="AM40" s="228">
        <v>-24.6</v>
      </c>
      <c r="AN40" s="229">
        <v>9.7000000000000003E-3</v>
      </c>
      <c r="AO40" s="231">
        <v>3822.62</v>
      </c>
      <c r="AP40" s="231">
        <v>3833.58</v>
      </c>
      <c r="AQ40" s="228">
        <v>0</v>
      </c>
      <c r="AR40" s="230">
        <v>2824875</v>
      </c>
      <c r="AS40" s="230">
        <v>1974375</v>
      </c>
      <c r="AT40" s="230">
        <v>850500</v>
      </c>
      <c r="AU40" s="229">
        <v>0.43080000000000002</v>
      </c>
      <c r="AV40" s="230">
        <v>2491875</v>
      </c>
      <c r="AW40" s="230">
        <v>1795875</v>
      </c>
      <c r="AX40" s="230">
        <v>696000</v>
      </c>
      <c r="AY40" s="229">
        <v>0.3876</v>
      </c>
      <c r="AZ40" s="230">
        <v>266625</v>
      </c>
      <c r="BA40" s="230">
        <v>141000</v>
      </c>
      <c r="BB40" s="230">
        <v>125625</v>
      </c>
      <c r="BC40" s="229">
        <v>0.89100000000000001</v>
      </c>
      <c r="BD40" s="230">
        <v>66375</v>
      </c>
      <c r="BE40" s="230">
        <v>37500</v>
      </c>
      <c r="BF40" s="230">
        <v>28875</v>
      </c>
      <c r="BG40" s="229">
        <v>0.77</v>
      </c>
      <c r="BH40" s="230">
        <v>12384375</v>
      </c>
      <c r="BI40" s="230">
        <v>8292375</v>
      </c>
      <c r="BJ40" s="230">
        <v>4092000</v>
      </c>
      <c r="BK40" s="229">
        <v>0.49349999999999999</v>
      </c>
      <c r="BL40" s="230">
        <v>8022000</v>
      </c>
      <c r="BM40" s="230">
        <v>5403000</v>
      </c>
      <c r="BN40" s="230">
        <v>2619000</v>
      </c>
      <c r="BO40" s="229">
        <v>0.48470000000000002</v>
      </c>
      <c r="BP40" s="230">
        <v>23231250</v>
      </c>
      <c r="BQ40" s="230">
        <v>15669750</v>
      </c>
      <c r="BR40" s="230">
        <v>7561500</v>
      </c>
      <c r="BS40" s="229">
        <v>0.48259999999999997</v>
      </c>
      <c r="BT40" s="230">
        <v>3772261</v>
      </c>
      <c r="BU40" s="230">
        <v>3120952</v>
      </c>
      <c r="BV40" s="230">
        <v>651309</v>
      </c>
      <c r="BW40" s="229">
        <v>0.2087</v>
      </c>
      <c r="BX40" s="230">
        <v>7939950</v>
      </c>
      <c r="BY40" s="230">
        <v>7816050</v>
      </c>
      <c r="BZ40" s="230">
        <v>123900</v>
      </c>
      <c r="CA40" s="229">
        <v>1.5900000000000001E-2</v>
      </c>
      <c r="CB40" s="230">
        <v>7269750</v>
      </c>
      <c r="CC40" s="230">
        <v>7172250</v>
      </c>
      <c r="CD40" s="230">
        <v>97500</v>
      </c>
      <c r="CE40" s="229">
        <v>1.3599999999999999E-2</v>
      </c>
      <c r="CF40" s="230">
        <v>642000</v>
      </c>
      <c r="CG40" s="230">
        <v>609000</v>
      </c>
      <c r="CH40" s="230">
        <v>33000</v>
      </c>
      <c r="CI40" s="229">
        <v>5.4199999999999998E-2</v>
      </c>
      <c r="CJ40" s="230">
        <v>28200</v>
      </c>
      <c r="CK40" s="230">
        <v>34800</v>
      </c>
      <c r="CL40" s="230">
        <v>-6600</v>
      </c>
      <c r="CM40" s="229">
        <v>-0.18970000000000001</v>
      </c>
      <c r="CN40" s="230">
        <v>5690825</v>
      </c>
      <c r="CO40" s="230">
        <v>5118750</v>
      </c>
      <c r="CP40" s="230">
        <v>572075</v>
      </c>
      <c r="CQ40" s="229">
        <v>0.1118</v>
      </c>
      <c r="CR40" s="230">
        <v>5301750</v>
      </c>
      <c r="CS40" s="230">
        <v>4348500</v>
      </c>
      <c r="CT40" s="230">
        <v>953250</v>
      </c>
      <c r="CU40" s="229">
        <v>0.21920000000000001</v>
      </c>
      <c r="CV40" s="230">
        <v>18932525</v>
      </c>
      <c r="CW40" s="230">
        <v>17283300</v>
      </c>
      <c r="CX40" s="230">
        <v>1649225</v>
      </c>
      <c r="CY40" s="229">
        <v>9.5399999999999999E-2</v>
      </c>
      <c r="CZ40" s="228">
        <v>42.99</v>
      </c>
      <c r="DA40" s="228">
        <v>43.48</v>
      </c>
      <c r="DB40" s="228">
        <v>-0.49</v>
      </c>
      <c r="DC40" s="228">
        <v>-0.49</v>
      </c>
      <c r="DD40" s="228">
        <v>57.99</v>
      </c>
      <c r="DE40" s="228">
        <v>57.97</v>
      </c>
      <c r="DF40" s="228">
        <v>-15</v>
      </c>
      <c r="DG40" s="228">
        <v>0.02</v>
      </c>
      <c r="DH40" s="228">
        <v>41.81</v>
      </c>
      <c r="DI40" s="228">
        <v>42.6</v>
      </c>
      <c r="DJ40" s="228">
        <v>-0.79</v>
      </c>
      <c r="DK40" s="228">
        <v>-0.79</v>
      </c>
      <c r="DL40" s="228">
        <v>44.81</v>
      </c>
      <c r="DM40" s="228">
        <v>44.83</v>
      </c>
      <c r="DN40" s="228">
        <v>-0.02</v>
      </c>
      <c r="DO40" s="228">
        <v>-0.02</v>
      </c>
      <c r="DP40" s="228">
        <v>0.93</v>
      </c>
      <c r="DQ40" s="228">
        <v>0.85</v>
      </c>
      <c r="DR40" s="228">
        <v>0.08</v>
      </c>
      <c r="DS40" s="229">
        <v>9.4100000000000003E-2</v>
      </c>
      <c r="DT40" s="231">
        <v>3600</v>
      </c>
      <c r="DU40" s="231">
        <v>3500</v>
      </c>
      <c r="DV40" s="228">
        <v>0.65</v>
      </c>
      <c r="DW40" s="228">
        <v>0.65</v>
      </c>
      <c r="DX40" s="228">
        <v>0</v>
      </c>
      <c r="DY40" s="229">
        <v>0</v>
      </c>
      <c r="DZ40" s="229">
        <v>8.4400000000000003E-2</v>
      </c>
      <c r="EA40" s="230">
        <v>643800</v>
      </c>
      <c r="EB40" s="229">
        <v>3.7000000000000002E-3</v>
      </c>
      <c r="EC40" s="229">
        <v>8.4400000000000003E-2</v>
      </c>
      <c r="ED40" s="228">
        <v>10.96</v>
      </c>
      <c r="EE40" s="229">
        <v>2.8999999999999998E-3</v>
      </c>
      <c r="EF40" s="230">
        <v>1181923</v>
      </c>
      <c r="EG40" s="230">
        <v>1028899</v>
      </c>
      <c r="EH40" s="229">
        <v>0.1487</v>
      </c>
      <c r="EI40" s="229">
        <v>0.31330000000000002</v>
      </c>
      <c r="EJ40" s="231">
        <v>497156.87</v>
      </c>
      <c r="EK40" s="231">
        <v>293658.17</v>
      </c>
      <c r="EL40" s="231">
        <v>106836.96</v>
      </c>
      <c r="EM40" s="231">
        <v>5968</v>
      </c>
      <c r="EN40" s="231">
        <v>897652</v>
      </c>
      <c r="EO40" s="231">
        <v>598664.43000000005</v>
      </c>
      <c r="EP40" s="231">
        <v>298987.57</v>
      </c>
      <c r="EQ40" s="229">
        <v>0.49940000000000001</v>
      </c>
      <c r="ER40" s="231">
        <v>211399</v>
      </c>
      <c r="ES40" s="231">
        <v>180442</v>
      </c>
      <c r="ET40" s="231">
        <v>306622</v>
      </c>
      <c r="EU40" s="231">
        <v>61182611</v>
      </c>
      <c r="EV40" s="231">
        <v>698463</v>
      </c>
      <c r="EW40" s="231">
        <v>626498</v>
      </c>
      <c r="EX40" s="231">
        <v>71965</v>
      </c>
      <c r="EY40" s="229">
        <v>0.1149</v>
      </c>
      <c r="EZ40" s="229">
        <v>0.30940000000000001</v>
      </c>
      <c r="FA40" s="227" t="s">
        <v>555</v>
      </c>
      <c r="FB40" s="161">
        <f t="shared" si="0"/>
        <v>670200</v>
      </c>
    </row>
    <row r="41" spans="1:158" ht="17.25" thickBot="1" x14ac:dyDescent="0.3">
      <c r="A41" s="226">
        <v>46148</v>
      </c>
      <c r="B41" s="227" t="s">
        <v>175</v>
      </c>
      <c r="C41" s="227" t="s">
        <v>610</v>
      </c>
      <c r="D41" s="228">
        <v>750</v>
      </c>
      <c r="E41" s="228">
        <v>814.8</v>
      </c>
      <c r="F41" s="228">
        <v>801</v>
      </c>
      <c r="G41" s="228">
        <v>13.8</v>
      </c>
      <c r="H41" s="229">
        <v>1.72E-2</v>
      </c>
      <c r="I41" s="228">
        <v>815.85</v>
      </c>
      <c r="J41" s="228">
        <v>797.4</v>
      </c>
      <c r="K41" s="228">
        <v>18.45</v>
      </c>
      <c r="L41" s="229">
        <v>2.3099999999999999E-2</v>
      </c>
      <c r="M41" s="228">
        <v>814.8</v>
      </c>
      <c r="N41" s="228">
        <v>801</v>
      </c>
      <c r="O41" s="228">
        <v>13.8</v>
      </c>
      <c r="P41" s="229">
        <v>1.72E-2</v>
      </c>
      <c r="Q41" s="228">
        <v>810.6</v>
      </c>
      <c r="R41" s="228">
        <v>793.95</v>
      </c>
      <c r="S41" s="228">
        <v>16.649999999999999</v>
      </c>
      <c r="T41" s="229">
        <v>2.1000000000000001E-2</v>
      </c>
      <c r="U41" s="228">
        <v>807.2</v>
      </c>
      <c r="V41" s="228">
        <v>789.05</v>
      </c>
      <c r="W41" s="228">
        <v>18.149999999999999</v>
      </c>
      <c r="X41" s="229">
        <v>2.3E-2</v>
      </c>
      <c r="Y41" s="228">
        <v>-1.05</v>
      </c>
      <c r="Z41" s="228">
        <v>3.6</v>
      </c>
      <c r="AA41" s="228">
        <v>-4.6500000000000004</v>
      </c>
      <c r="AB41" s="229">
        <v>-1.2999999999999999E-3</v>
      </c>
      <c r="AC41" s="228">
        <v>-1.05</v>
      </c>
      <c r="AD41" s="228">
        <v>3.6</v>
      </c>
      <c r="AE41" s="228">
        <v>-4.6500000000000004</v>
      </c>
      <c r="AF41" s="229">
        <v>-1.2999999999999999E-3</v>
      </c>
      <c r="AG41" s="228">
        <v>-5.25</v>
      </c>
      <c r="AH41" s="228">
        <v>-3.45</v>
      </c>
      <c r="AI41" s="228">
        <v>-1.8</v>
      </c>
      <c r="AJ41" s="229">
        <v>-6.4000000000000003E-3</v>
      </c>
      <c r="AK41" s="228">
        <v>-8.65</v>
      </c>
      <c r="AL41" s="228">
        <v>-8.35</v>
      </c>
      <c r="AM41" s="228">
        <v>-0.3</v>
      </c>
      <c r="AN41" s="229">
        <v>-1.06E-2</v>
      </c>
      <c r="AO41" s="228">
        <v>807.78</v>
      </c>
      <c r="AP41" s="228">
        <v>802.99</v>
      </c>
      <c r="AQ41" s="228">
        <v>0</v>
      </c>
      <c r="AR41" s="230">
        <v>3282000</v>
      </c>
      <c r="AS41" s="230">
        <v>8416500</v>
      </c>
      <c r="AT41" s="230">
        <v>-5134500</v>
      </c>
      <c r="AU41" s="229">
        <v>-0.61009999999999998</v>
      </c>
      <c r="AV41" s="230">
        <v>2997000</v>
      </c>
      <c r="AW41" s="230">
        <v>7837500</v>
      </c>
      <c r="AX41" s="230">
        <v>-4840500</v>
      </c>
      <c r="AY41" s="229">
        <v>-0.61760000000000004</v>
      </c>
      <c r="AZ41" s="230">
        <v>256500</v>
      </c>
      <c r="BA41" s="230">
        <v>520500</v>
      </c>
      <c r="BB41" s="230">
        <v>-264000</v>
      </c>
      <c r="BC41" s="229">
        <v>-0.50719999999999998</v>
      </c>
      <c r="BD41" s="230">
        <v>28500</v>
      </c>
      <c r="BE41" s="230">
        <v>58500</v>
      </c>
      <c r="BF41" s="230">
        <v>-30000</v>
      </c>
      <c r="BG41" s="229">
        <v>-0.51280000000000003</v>
      </c>
      <c r="BH41" s="230">
        <v>15984000</v>
      </c>
      <c r="BI41" s="230">
        <v>72623250</v>
      </c>
      <c r="BJ41" s="230">
        <v>-56639250</v>
      </c>
      <c r="BK41" s="229">
        <v>-0.77990000000000004</v>
      </c>
      <c r="BL41" s="230">
        <v>8898750</v>
      </c>
      <c r="BM41" s="230">
        <v>26478000</v>
      </c>
      <c r="BN41" s="230">
        <v>-17579250</v>
      </c>
      <c r="BO41" s="229">
        <v>-0.66390000000000005</v>
      </c>
      <c r="BP41" s="230">
        <v>28164750</v>
      </c>
      <c r="BQ41" s="230">
        <v>107517750</v>
      </c>
      <c r="BR41" s="230">
        <v>-79353000</v>
      </c>
      <c r="BS41" s="229">
        <v>-0.73799999999999999</v>
      </c>
      <c r="BT41" s="230">
        <v>3916752</v>
      </c>
      <c r="BU41" s="230">
        <v>16990413</v>
      </c>
      <c r="BV41" s="230">
        <v>-13073661</v>
      </c>
      <c r="BW41" s="229">
        <v>-0.76949999999999996</v>
      </c>
      <c r="BX41" s="230">
        <v>7374825</v>
      </c>
      <c r="BY41" s="230">
        <v>7181475</v>
      </c>
      <c r="BZ41" s="230">
        <v>193350</v>
      </c>
      <c r="CA41" s="229">
        <v>2.69E-2</v>
      </c>
      <c r="CB41" s="230">
        <v>6879750</v>
      </c>
      <c r="CC41" s="230">
        <v>6725250</v>
      </c>
      <c r="CD41" s="230">
        <v>154500</v>
      </c>
      <c r="CE41" s="229">
        <v>2.3E-2</v>
      </c>
      <c r="CF41" s="230">
        <v>444750</v>
      </c>
      <c r="CG41" s="230">
        <v>404250</v>
      </c>
      <c r="CH41" s="230">
        <v>40500</v>
      </c>
      <c r="CI41" s="229">
        <v>0.1002</v>
      </c>
      <c r="CJ41" s="230">
        <v>50325</v>
      </c>
      <c r="CK41" s="230">
        <v>51975</v>
      </c>
      <c r="CL41" s="230">
        <v>-1650</v>
      </c>
      <c r="CM41" s="229">
        <v>-3.1699999999999999E-2</v>
      </c>
      <c r="CN41" s="230">
        <v>4407000</v>
      </c>
      <c r="CO41" s="230">
        <v>4355250</v>
      </c>
      <c r="CP41" s="230">
        <v>51750</v>
      </c>
      <c r="CQ41" s="229">
        <v>1.1900000000000001E-2</v>
      </c>
      <c r="CR41" s="230">
        <v>4202250</v>
      </c>
      <c r="CS41" s="230">
        <v>4512000</v>
      </c>
      <c r="CT41" s="230">
        <v>-309750</v>
      </c>
      <c r="CU41" s="229">
        <v>-6.8699999999999997E-2</v>
      </c>
      <c r="CV41" s="230">
        <v>15984075</v>
      </c>
      <c r="CW41" s="230">
        <v>16048725</v>
      </c>
      <c r="CX41" s="230">
        <v>-64650</v>
      </c>
      <c r="CY41" s="229">
        <v>-4.0000000000000001E-3</v>
      </c>
      <c r="CZ41" s="228">
        <v>32.58</v>
      </c>
      <c r="DA41" s="228">
        <v>33.200000000000003</v>
      </c>
      <c r="DB41" s="228">
        <v>-0.62</v>
      </c>
      <c r="DC41" s="228">
        <v>-0.62</v>
      </c>
      <c r="DD41" s="228">
        <v>42.49</v>
      </c>
      <c r="DE41" s="228">
        <v>42.54</v>
      </c>
      <c r="DF41" s="228">
        <v>-9.91</v>
      </c>
      <c r="DG41" s="228">
        <v>-0.05</v>
      </c>
      <c r="DH41" s="228">
        <v>31.74</v>
      </c>
      <c r="DI41" s="228">
        <v>32.380000000000003</v>
      </c>
      <c r="DJ41" s="228">
        <v>-0.64</v>
      </c>
      <c r="DK41" s="228">
        <v>-0.64</v>
      </c>
      <c r="DL41" s="228">
        <v>34.090000000000003</v>
      </c>
      <c r="DM41" s="228">
        <v>35.44</v>
      </c>
      <c r="DN41" s="228">
        <v>-1.35</v>
      </c>
      <c r="DO41" s="228">
        <v>-1.35</v>
      </c>
      <c r="DP41" s="228">
        <v>0.95</v>
      </c>
      <c r="DQ41" s="228">
        <v>1.04</v>
      </c>
      <c r="DR41" s="228">
        <v>-0.09</v>
      </c>
      <c r="DS41" s="229">
        <v>-8.6499999999999994E-2</v>
      </c>
      <c r="DT41" s="228">
        <v>860</v>
      </c>
      <c r="DU41" s="228">
        <v>700</v>
      </c>
      <c r="DV41" s="228">
        <v>0.56000000000000005</v>
      </c>
      <c r="DW41" s="228">
        <v>0.36</v>
      </c>
      <c r="DX41" s="228">
        <v>0.2</v>
      </c>
      <c r="DY41" s="229">
        <v>0.55559999999999998</v>
      </c>
      <c r="DZ41" s="229">
        <v>6.7100000000000007E-2</v>
      </c>
      <c r="EA41" s="230">
        <v>456225</v>
      </c>
      <c r="EB41" s="229">
        <v>-5.1999999999999998E-3</v>
      </c>
      <c r="EC41" s="229">
        <v>6.7100000000000007E-2</v>
      </c>
      <c r="ED41" s="228">
        <v>-4.79</v>
      </c>
      <c r="EE41" s="229">
        <v>-5.8999999999999999E-3</v>
      </c>
      <c r="EF41" s="230">
        <v>1577755</v>
      </c>
      <c r="EG41" s="230">
        <v>3125569</v>
      </c>
      <c r="EH41" s="229">
        <v>-0.49519999999999997</v>
      </c>
      <c r="EI41" s="229">
        <v>0.40279999999999999</v>
      </c>
      <c r="EJ41" s="231">
        <v>135307.96</v>
      </c>
      <c r="EK41" s="231">
        <v>69330.67</v>
      </c>
      <c r="EL41" s="231">
        <v>26519.05</v>
      </c>
      <c r="EM41" s="231">
        <v>5057</v>
      </c>
      <c r="EN41" s="231">
        <v>231157.68</v>
      </c>
      <c r="EO41" s="231">
        <v>862077</v>
      </c>
      <c r="EP41" s="231">
        <v>-630919.31999999995</v>
      </c>
      <c r="EQ41" s="229">
        <v>-0.7319</v>
      </c>
      <c r="ER41" s="231">
        <v>36102</v>
      </c>
      <c r="ES41" s="231">
        <v>31211</v>
      </c>
      <c r="ET41" s="231">
        <v>60068</v>
      </c>
      <c r="EU41" s="231">
        <v>37147595</v>
      </c>
      <c r="EV41" s="231">
        <v>127381</v>
      </c>
      <c r="EW41" s="231">
        <v>126172</v>
      </c>
      <c r="EX41" s="231">
        <v>1209</v>
      </c>
      <c r="EY41" s="229">
        <v>9.5999999999999992E-3</v>
      </c>
      <c r="EZ41" s="229">
        <v>0.43030000000000002</v>
      </c>
      <c r="FA41" s="227" t="s">
        <v>555</v>
      </c>
      <c r="FB41" s="161">
        <f t="shared" si="0"/>
        <v>495075</v>
      </c>
    </row>
    <row r="42" spans="1:158" ht="17.25" thickBot="1" x14ac:dyDescent="0.3">
      <c r="A42" s="226">
        <v>46148</v>
      </c>
      <c r="B42" s="227" t="s">
        <v>172</v>
      </c>
      <c r="C42" s="227" t="s">
        <v>196</v>
      </c>
      <c r="D42" s="228">
        <v>6750</v>
      </c>
      <c r="E42" s="228">
        <v>139</v>
      </c>
      <c r="F42" s="228">
        <v>134.71</v>
      </c>
      <c r="G42" s="228">
        <v>4.29</v>
      </c>
      <c r="H42" s="229">
        <v>3.1800000000000002E-2</v>
      </c>
      <c r="I42" s="228">
        <v>138.04</v>
      </c>
      <c r="J42" s="228">
        <v>134.31</v>
      </c>
      <c r="K42" s="228">
        <v>3.73</v>
      </c>
      <c r="L42" s="229">
        <v>2.7799999999999998E-2</v>
      </c>
      <c r="M42" s="228">
        <v>139</v>
      </c>
      <c r="N42" s="228">
        <v>134.71</v>
      </c>
      <c r="O42" s="228">
        <v>4.29</v>
      </c>
      <c r="P42" s="229">
        <v>3.1800000000000002E-2</v>
      </c>
      <c r="Q42" s="228">
        <v>139.9</v>
      </c>
      <c r="R42" s="228">
        <v>135.65</v>
      </c>
      <c r="S42" s="228">
        <v>4.25</v>
      </c>
      <c r="T42" s="229">
        <v>3.1300000000000001E-2</v>
      </c>
      <c r="U42" s="228">
        <v>140.61000000000001</v>
      </c>
      <c r="V42" s="228">
        <v>136.4</v>
      </c>
      <c r="W42" s="228">
        <v>4.21</v>
      </c>
      <c r="X42" s="229">
        <v>3.09E-2</v>
      </c>
      <c r="Y42" s="228">
        <v>0.96</v>
      </c>
      <c r="Z42" s="228">
        <v>0.4</v>
      </c>
      <c r="AA42" s="228">
        <v>0.56000000000000005</v>
      </c>
      <c r="AB42" s="229">
        <v>7.0000000000000001E-3</v>
      </c>
      <c r="AC42" s="228">
        <v>0.96</v>
      </c>
      <c r="AD42" s="228">
        <v>0.4</v>
      </c>
      <c r="AE42" s="228">
        <v>0.56000000000000005</v>
      </c>
      <c r="AF42" s="229">
        <v>7.0000000000000001E-3</v>
      </c>
      <c r="AG42" s="228">
        <v>1.86</v>
      </c>
      <c r="AH42" s="228">
        <v>1.34</v>
      </c>
      <c r="AI42" s="228">
        <v>0.52</v>
      </c>
      <c r="AJ42" s="229">
        <v>1.35E-2</v>
      </c>
      <c r="AK42" s="228">
        <v>2.57</v>
      </c>
      <c r="AL42" s="228">
        <v>2.09</v>
      </c>
      <c r="AM42" s="228">
        <v>0.48</v>
      </c>
      <c r="AN42" s="229">
        <v>1.8599999999999998E-2</v>
      </c>
      <c r="AO42" s="228">
        <v>137.76</v>
      </c>
      <c r="AP42" s="228">
        <v>138.52000000000001</v>
      </c>
      <c r="AQ42" s="228">
        <v>0</v>
      </c>
      <c r="AR42" s="230">
        <v>39555000</v>
      </c>
      <c r="AS42" s="230">
        <v>20432250</v>
      </c>
      <c r="AT42" s="230">
        <v>19122750</v>
      </c>
      <c r="AU42" s="229">
        <v>0.93589999999999995</v>
      </c>
      <c r="AV42" s="230">
        <v>35079750</v>
      </c>
      <c r="AW42" s="230">
        <v>17934750</v>
      </c>
      <c r="AX42" s="230">
        <v>17145000</v>
      </c>
      <c r="AY42" s="229">
        <v>0.95599999999999996</v>
      </c>
      <c r="AZ42" s="230">
        <v>4151250</v>
      </c>
      <c r="BA42" s="230">
        <v>2335500</v>
      </c>
      <c r="BB42" s="230">
        <v>1815750</v>
      </c>
      <c r="BC42" s="229">
        <v>0.77749999999999997</v>
      </c>
      <c r="BD42" s="230">
        <v>324000</v>
      </c>
      <c r="BE42" s="230">
        <v>162000</v>
      </c>
      <c r="BF42" s="230">
        <v>162000</v>
      </c>
      <c r="BG42" s="229">
        <v>1</v>
      </c>
      <c r="BH42" s="230">
        <v>93278250</v>
      </c>
      <c r="BI42" s="230">
        <v>40790250</v>
      </c>
      <c r="BJ42" s="230">
        <v>52488000</v>
      </c>
      <c r="BK42" s="229">
        <v>1.2867999999999999</v>
      </c>
      <c r="BL42" s="230">
        <v>41296500</v>
      </c>
      <c r="BM42" s="230">
        <v>25636500</v>
      </c>
      <c r="BN42" s="230">
        <v>15660000</v>
      </c>
      <c r="BO42" s="229">
        <v>0.61080000000000001</v>
      </c>
      <c r="BP42" s="230">
        <v>174129750</v>
      </c>
      <c r="BQ42" s="230">
        <v>86859000</v>
      </c>
      <c r="BR42" s="230">
        <v>87270750</v>
      </c>
      <c r="BS42" s="229">
        <v>1.0046999999999999</v>
      </c>
      <c r="BT42" s="230">
        <v>25025177</v>
      </c>
      <c r="BU42" s="230">
        <v>12558262</v>
      </c>
      <c r="BV42" s="230">
        <v>12466915</v>
      </c>
      <c r="BW42" s="229">
        <v>0.99270000000000003</v>
      </c>
      <c r="BX42" s="230">
        <v>222763500</v>
      </c>
      <c r="BY42" s="230">
        <v>221798250</v>
      </c>
      <c r="BZ42" s="230">
        <v>965250</v>
      </c>
      <c r="CA42" s="229">
        <v>4.4000000000000003E-3</v>
      </c>
      <c r="CB42" s="230">
        <v>197970750</v>
      </c>
      <c r="CC42" s="230">
        <v>198342000</v>
      </c>
      <c r="CD42" s="230">
        <v>-371250</v>
      </c>
      <c r="CE42" s="229">
        <v>-1.9E-3</v>
      </c>
      <c r="CF42" s="230">
        <v>24124500</v>
      </c>
      <c r="CG42" s="230">
        <v>22794750</v>
      </c>
      <c r="CH42" s="230">
        <v>1329750</v>
      </c>
      <c r="CI42" s="229">
        <v>5.8299999999999998E-2</v>
      </c>
      <c r="CJ42" s="230">
        <v>668250</v>
      </c>
      <c r="CK42" s="230">
        <v>661500</v>
      </c>
      <c r="CL42" s="230">
        <v>6750</v>
      </c>
      <c r="CM42" s="229">
        <v>1.0200000000000001E-2</v>
      </c>
      <c r="CN42" s="230">
        <v>70004250</v>
      </c>
      <c r="CO42" s="230">
        <v>67817250</v>
      </c>
      <c r="CP42" s="230">
        <v>2187000</v>
      </c>
      <c r="CQ42" s="229">
        <v>3.2199999999999999E-2</v>
      </c>
      <c r="CR42" s="230">
        <v>66568500</v>
      </c>
      <c r="CS42" s="230">
        <v>63855000</v>
      </c>
      <c r="CT42" s="230">
        <v>2713500</v>
      </c>
      <c r="CU42" s="229">
        <v>4.2500000000000003E-2</v>
      </c>
      <c r="CV42" s="230">
        <v>359336250</v>
      </c>
      <c r="CW42" s="230">
        <v>353470500</v>
      </c>
      <c r="CX42" s="230">
        <v>5865750</v>
      </c>
      <c r="CY42" s="229">
        <v>1.66E-2</v>
      </c>
      <c r="CZ42" s="228">
        <v>37.5</v>
      </c>
      <c r="DA42" s="228">
        <v>38.22</v>
      </c>
      <c r="DB42" s="228">
        <v>-0.72</v>
      </c>
      <c r="DC42" s="228">
        <v>-0.72</v>
      </c>
      <c r="DD42" s="228">
        <v>38.67</v>
      </c>
      <c r="DE42" s="228">
        <v>38.53</v>
      </c>
      <c r="DF42" s="228">
        <v>-1.17</v>
      </c>
      <c r="DG42" s="228">
        <v>0.14000000000000001</v>
      </c>
      <c r="DH42" s="228">
        <v>36.869999999999997</v>
      </c>
      <c r="DI42" s="228">
        <v>37.93</v>
      </c>
      <c r="DJ42" s="228">
        <v>-1.06</v>
      </c>
      <c r="DK42" s="228">
        <v>-1.06</v>
      </c>
      <c r="DL42" s="228">
        <v>38.909999999999997</v>
      </c>
      <c r="DM42" s="228">
        <v>38.67</v>
      </c>
      <c r="DN42" s="228">
        <v>0.24</v>
      </c>
      <c r="DO42" s="228">
        <v>0.24</v>
      </c>
      <c r="DP42" s="228">
        <v>0.95</v>
      </c>
      <c r="DQ42" s="228">
        <v>0.94</v>
      </c>
      <c r="DR42" s="228">
        <v>0.01</v>
      </c>
      <c r="DS42" s="229">
        <v>1.06E-2</v>
      </c>
      <c r="DT42" s="228">
        <v>140</v>
      </c>
      <c r="DU42" s="228">
        <v>120</v>
      </c>
      <c r="DV42" s="228">
        <v>0.44</v>
      </c>
      <c r="DW42" s="228">
        <v>0.63</v>
      </c>
      <c r="DX42" s="228">
        <v>-0.19</v>
      </c>
      <c r="DY42" s="229">
        <v>-0.30159999999999998</v>
      </c>
      <c r="DZ42" s="229">
        <v>0.1113</v>
      </c>
      <c r="EA42" s="230">
        <v>23456250</v>
      </c>
      <c r="EB42" s="229">
        <v>6.4999999999999997E-3</v>
      </c>
      <c r="EC42" s="229">
        <v>0.1113</v>
      </c>
      <c r="ED42" s="228">
        <v>0.76</v>
      </c>
      <c r="EE42" s="229">
        <v>5.4999999999999997E-3</v>
      </c>
      <c r="EF42" s="230">
        <v>11590870</v>
      </c>
      <c r="EG42" s="230">
        <v>4756239</v>
      </c>
      <c r="EH42" s="229">
        <v>1.4370000000000001</v>
      </c>
      <c r="EI42" s="229">
        <v>0.4632</v>
      </c>
      <c r="EJ42" s="231">
        <v>136033.1</v>
      </c>
      <c r="EK42" s="231">
        <v>55718.239999999998</v>
      </c>
      <c r="EL42" s="231">
        <v>54527.94</v>
      </c>
      <c r="EM42" s="231">
        <v>4030</v>
      </c>
      <c r="EN42" s="231">
        <v>246279.28</v>
      </c>
      <c r="EO42" s="231">
        <v>120902.83</v>
      </c>
      <c r="EP42" s="231">
        <v>125376.45</v>
      </c>
      <c r="EQ42" s="229">
        <v>1.0369999999999999</v>
      </c>
      <c r="ER42" s="231">
        <v>101042</v>
      </c>
      <c r="ES42" s="231">
        <v>89687</v>
      </c>
      <c r="ET42" s="231">
        <v>309869</v>
      </c>
      <c r="EU42" s="231">
        <v>504315430</v>
      </c>
      <c r="EV42" s="231">
        <v>500598</v>
      </c>
      <c r="EW42" s="231">
        <v>483063</v>
      </c>
      <c r="EX42" s="231">
        <v>17535</v>
      </c>
      <c r="EY42" s="229">
        <v>3.6299999999999999E-2</v>
      </c>
      <c r="EZ42" s="229">
        <v>0.71250000000000002</v>
      </c>
      <c r="FA42" s="227" t="s">
        <v>555</v>
      </c>
      <c r="FB42" s="161">
        <f t="shared" si="0"/>
        <v>24792750</v>
      </c>
    </row>
    <row r="43" spans="1:158" ht="17.25" thickBot="1" x14ac:dyDescent="0.3">
      <c r="A43" s="226">
        <v>46148</v>
      </c>
      <c r="B43" s="227" t="s">
        <v>175</v>
      </c>
      <c r="C43" s="227" t="s">
        <v>596</v>
      </c>
      <c r="D43" s="228">
        <v>475</v>
      </c>
      <c r="E43" s="231">
        <v>1288.5</v>
      </c>
      <c r="F43" s="231">
        <v>1255.8</v>
      </c>
      <c r="G43" s="228">
        <v>32.700000000000003</v>
      </c>
      <c r="H43" s="229">
        <v>2.5999999999999999E-2</v>
      </c>
      <c r="I43" s="231">
        <v>1282.8</v>
      </c>
      <c r="J43" s="231">
        <v>1254.7</v>
      </c>
      <c r="K43" s="228">
        <v>28.1</v>
      </c>
      <c r="L43" s="229">
        <v>2.24E-2</v>
      </c>
      <c r="M43" s="231">
        <v>1288.5</v>
      </c>
      <c r="N43" s="231">
        <v>1255.8</v>
      </c>
      <c r="O43" s="228">
        <v>32.700000000000003</v>
      </c>
      <c r="P43" s="229">
        <v>2.5999999999999999E-2</v>
      </c>
      <c r="Q43" s="231">
        <v>1282.0999999999999</v>
      </c>
      <c r="R43" s="231">
        <v>1248</v>
      </c>
      <c r="S43" s="228">
        <v>34.1</v>
      </c>
      <c r="T43" s="229">
        <v>2.7300000000000001E-2</v>
      </c>
      <c r="U43" s="231">
        <v>1276.0999999999999</v>
      </c>
      <c r="V43" s="231">
        <v>1239.5</v>
      </c>
      <c r="W43" s="228">
        <v>36.6</v>
      </c>
      <c r="X43" s="229">
        <v>2.9499999999999998E-2</v>
      </c>
      <c r="Y43" s="228">
        <v>5.7</v>
      </c>
      <c r="Z43" s="228">
        <v>1.1000000000000001</v>
      </c>
      <c r="AA43" s="228">
        <v>4.5999999999999996</v>
      </c>
      <c r="AB43" s="229">
        <v>4.4000000000000003E-3</v>
      </c>
      <c r="AC43" s="228">
        <v>5.7</v>
      </c>
      <c r="AD43" s="228">
        <v>1.1000000000000001</v>
      </c>
      <c r="AE43" s="228">
        <v>4.5999999999999996</v>
      </c>
      <c r="AF43" s="229">
        <v>4.4000000000000003E-3</v>
      </c>
      <c r="AG43" s="228">
        <v>-0.7</v>
      </c>
      <c r="AH43" s="228">
        <v>-6.7</v>
      </c>
      <c r="AI43" s="228">
        <v>6</v>
      </c>
      <c r="AJ43" s="229">
        <v>-5.0000000000000001E-4</v>
      </c>
      <c r="AK43" s="228">
        <v>-6.7</v>
      </c>
      <c r="AL43" s="228">
        <v>-15.2</v>
      </c>
      <c r="AM43" s="228">
        <v>8.5</v>
      </c>
      <c r="AN43" s="229">
        <v>-5.1999999999999998E-3</v>
      </c>
      <c r="AO43" s="231">
        <v>1271.51</v>
      </c>
      <c r="AP43" s="231">
        <v>1261.52</v>
      </c>
      <c r="AQ43" s="228">
        <v>0</v>
      </c>
      <c r="AR43" s="230">
        <v>5275350</v>
      </c>
      <c r="AS43" s="230">
        <v>2924575</v>
      </c>
      <c r="AT43" s="230">
        <v>2350775</v>
      </c>
      <c r="AU43" s="229">
        <v>0.80379999999999996</v>
      </c>
      <c r="AV43" s="230">
        <v>4192825</v>
      </c>
      <c r="AW43" s="230">
        <v>2446725</v>
      </c>
      <c r="AX43" s="230">
        <v>1746100</v>
      </c>
      <c r="AY43" s="229">
        <v>0.71360000000000001</v>
      </c>
      <c r="AZ43" s="230">
        <v>988475</v>
      </c>
      <c r="BA43" s="230">
        <v>384750</v>
      </c>
      <c r="BB43" s="230">
        <v>603725</v>
      </c>
      <c r="BC43" s="229">
        <v>1.5690999999999999</v>
      </c>
      <c r="BD43" s="230">
        <v>94050</v>
      </c>
      <c r="BE43" s="230">
        <v>93100</v>
      </c>
      <c r="BF43" s="228">
        <v>950</v>
      </c>
      <c r="BG43" s="229">
        <v>1.0200000000000001E-2</v>
      </c>
      <c r="BH43" s="230">
        <v>15598050</v>
      </c>
      <c r="BI43" s="230">
        <v>10174975</v>
      </c>
      <c r="BJ43" s="230">
        <v>5423075</v>
      </c>
      <c r="BK43" s="229">
        <v>0.53300000000000003</v>
      </c>
      <c r="BL43" s="230">
        <v>5601675</v>
      </c>
      <c r="BM43" s="230">
        <v>4208975</v>
      </c>
      <c r="BN43" s="230">
        <v>1392700</v>
      </c>
      <c r="BO43" s="229">
        <v>0.33090000000000003</v>
      </c>
      <c r="BP43" s="230">
        <v>26475075</v>
      </c>
      <c r="BQ43" s="230">
        <v>17308525</v>
      </c>
      <c r="BR43" s="230">
        <v>9166550</v>
      </c>
      <c r="BS43" s="229">
        <v>0.52959999999999996</v>
      </c>
      <c r="BT43" s="230">
        <v>3364296</v>
      </c>
      <c r="BU43" s="230">
        <v>2522931</v>
      </c>
      <c r="BV43" s="230">
        <v>841365</v>
      </c>
      <c r="BW43" s="229">
        <v>0.33350000000000002</v>
      </c>
      <c r="BX43" s="230">
        <v>12965125</v>
      </c>
      <c r="BY43" s="230">
        <v>12996950</v>
      </c>
      <c r="BZ43" s="230">
        <v>-31825</v>
      </c>
      <c r="CA43" s="229">
        <v>-2.3999999999999998E-3</v>
      </c>
      <c r="CB43" s="230">
        <v>10806250</v>
      </c>
      <c r="CC43" s="230">
        <v>11418525</v>
      </c>
      <c r="CD43" s="230">
        <v>-612275</v>
      </c>
      <c r="CE43" s="229">
        <v>-5.3600000000000002E-2</v>
      </c>
      <c r="CF43" s="230">
        <v>1909975</v>
      </c>
      <c r="CG43" s="230">
        <v>1357075</v>
      </c>
      <c r="CH43" s="230">
        <v>552900</v>
      </c>
      <c r="CI43" s="229">
        <v>0.40739999999999998</v>
      </c>
      <c r="CJ43" s="230">
        <v>248900</v>
      </c>
      <c r="CK43" s="230">
        <v>221350</v>
      </c>
      <c r="CL43" s="230">
        <v>27550</v>
      </c>
      <c r="CM43" s="229">
        <v>0.1245</v>
      </c>
      <c r="CN43" s="230">
        <v>6244350</v>
      </c>
      <c r="CO43" s="230">
        <v>6138900</v>
      </c>
      <c r="CP43" s="230">
        <v>105450</v>
      </c>
      <c r="CQ43" s="229">
        <v>1.72E-2</v>
      </c>
      <c r="CR43" s="230">
        <v>4684925</v>
      </c>
      <c r="CS43" s="230">
        <v>4509650</v>
      </c>
      <c r="CT43" s="230">
        <v>175275</v>
      </c>
      <c r="CU43" s="229">
        <v>3.8899999999999997E-2</v>
      </c>
      <c r="CV43" s="230">
        <v>23894400</v>
      </c>
      <c r="CW43" s="230">
        <v>23645500</v>
      </c>
      <c r="CX43" s="230">
        <v>248900</v>
      </c>
      <c r="CY43" s="229">
        <v>1.0500000000000001E-2</v>
      </c>
      <c r="CZ43" s="228">
        <v>34.01</v>
      </c>
      <c r="DA43" s="228">
        <v>36.17</v>
      </c>
      <c r="DB43" s="228">
        <v>-2.16</v>
      </c>
      <c r="DC43" s="228">
        <v>-2.16</v>
      </c>
      <c r="DD43" s="228">
        <v>46.14</v>
      </c>
      <c r="DE43" s="228">
        <v>46.12</v>
      </c>
      <c r="DF43" s="228">
        <v>-12.13</v>
      </c>
      <c r="DG43" s="228">
        <v>0.02</v>
      </c>
      <c r="DH43" s="228">
        <v>33.68</v>
      </c>
      <c r="DI43" s="228">
        <v>36.04</v>
      </c>
      <c r="DJ43" s="228">
        <v>-2.36</v>
      </c>
      <c r="DK43" s="228">
        <v>-2.36</v>
      </c>
      <c r="DL43" s="228">
        <v>34.950000000000003</v>
      </c>
      <c r="DM43" s="228">
        <v>36.5</v>
      </c>
      <c r="DN43" s="228">
        <v>-1.55</v>
      </c>
      <c r="DO43" s="228">
        <v>-1.55</v>
      </c>
      <c r="DP43" s="228">
        <v>0.75</v>
      </c>
      <c r="DQ43" s="228">
        <v>0.73</v>
      </c>
      <c r="DR43" s="228">
        <v>0.02</v>
      </c>
      <c r="DS43" s="229">
        <v>2.7400000000000001E-2</v>
      </c>
      <c r="DT43" s="231">
        <v>1400</v>
      </c>
      <c r="DU43" s="231">
        <v>1300</v>
      </c>
      <c r="DV43" s="228">
        <v>0.36</v>
      </c>
      <c r="DW43" s="228">
        <v>0.41</v>
      </c>
      <c r="DX43" s="228">
        <v>-0.05</v>
      </c>
      <c r="DY43" s="229">
        <v>-0.122</v>
      </c>
      <c r="DZ43" s="229">
        <v>0.16650000000000001</v>
      </c>
      <c r="EA43" s="230">
        <v>1578425</v>
      </c>
      <c r="EB43" s="229">
        <v>-5.0000000000000001E-3</v>
      </c>
      <c r="EC43" s="229">
        <v>0.16650000000000001</v>
      </c>
      <c r="ED43" s="228">
        <v>-9.99</v>
      </c>
      <c r="EE43" s="229">
        <v>-7.9000000000000008E-3</v>
      </c>
      <c r="EF43" s="230">
        <v>1568076</v>
      </c>
      <c r="EG43" s="230">
        <v>708818</v>
      </c>
      <c r="EH43" s="229">
        <v>1.2121999999999999</v>
      </c>
      <c r="EI43" s="229">
        <v>0.46610000000000001</v>
      </c>
      <c r="EJ43" s="231">
        <v>209222.5</v>
      </c>
      <c r="EK43" s="231">
        <v>70026.460000000006</v>
      </c>
      <c r="EL43" s="231">
        <v>66967.58</v>
      </c>
      <c r="EM43" s="231">
        <v>7024</v>
      </c>
      <c r="EN43" s="231">
        <v>346216.54</v>
      </c>
      <c r="EO43" s="231">
        <v>224068.84</v>
      </c>
      <c r="EP43" s="231">
        <v>122147.7</v>
      </c>
      <c r="EQ43" s="229">
        <v>0.54510000000000003</v>
      </c>
      <c r="ER43" s="231">
        <v>84471</v>
      </c>
      <c r="ES43" s="231">
        <v>59622</v>
      </c>
      <c r="ET43" s="231">
        <v>166903</v>
      </c>
      <c r="EU43" s="231">
        <v>26647500</v>
      </c>
      <c r="EV43" s="231">
        <v>310996</v>
      </c>
      <c r="EW43" s="231">
        <v>303493</v>
      </c>
      <c r="EX43" s="231">
        <v>7503</v>
      </c>
      <c r="EY43" s="229">
        <v>2.47E-2</v>
      </c>
      <c r="EZ43" s="229">
        <v>0.89670000000000005</v>
      </c>
      <c r="FA43" s="227" t="s">
        <v>691</v>
      </c>
      <c r="FB43" s="161">
        <f t="shared" si="0"/>
        <v>2158875</v>
      </c>
    </row>
    <row r="44" spans="1:158" ht="17.25" thickBot="1" x14ac:dyDescent="0.3">
      <c r="A44" s="226">
        <v>46148</v>
      </c>
      <c r="B44" s="227" t="s">
        <v>161</v>
      </c>
      <c r="C44" s="227" t="s">
        <v>611</v>
      </c>
      <c r="D44" s="228">
        <v>850</v>
      </c>
      <c r="E44" s="228">
        <v>833.4</v>
      </c>
      <c r="F44" s="228">
        <v>831.8</v>
      </c>
      <c r="G44" s="228">
        <v>1.6</v>
      </c>
      <c r="H44" s="229">
        <v>1.9E-3</v>
      </c>
      <c r="I44" s="228">
        <v>828.9</v>
      </c>
      <c r="J44" s="228">
        <v>826.9</v>
      </c>
      <c r="K44" s="228">
        <v>2</v>
      </c>
      <c r="L44" s="229">
        <v>2.3999999999999998E-3</v>
      </c>
      <c r="M44" s="228">
        <v>833.4</v>
      </c>
      <c r="N44" s="228">
        <v>831.8</v>
      </c>
      <c r="O44" s="228">
        <v>1.6</v>
      </c>
      <c r="P44" s="229">
        <v>1.9E-3</v>
      </c>
      <c r="Q44" s="228">
        <v>838.45</v>
      </c>
      <c r="R44" s="228">
        <v>837.75</v>
      </c>
      <c r="S44" s="228">
        <v>0.7</v>
      </c>
      <c r="T44" s="229">
        <v>8.0000000000000004E-4</v>
      </c>
      <c r="U44" s="228">
        <v>845.3</v>
      </c>
      <c r="V44" s="228">
        <v>840.05</v>
      </c>
      <c r="W44" s="228">
        <v>5.25</v>
      </c>
      <c r="X44" s="229">
        <v>6.1999999999999998E-3</v>
      </c>
      <c r="Y44" s="228">
        <v>4.5</v>
      </c>
      <c r="Z44" s="228">
        <v>4.9000000000000004</v>
      </c>
      <c r="AA44" s="228">
        <v>-0.4</v>
      </c>
      <c r="AB44" s="229">
        <v>5.4000000000000003E-3</v>
      </c>
      <c r="AC44" s="228">
        <v>4.5</v>
      </c>
      <c r="AD44" s="228">
        <v>4.9000000000000004</v>
      </c>
      <c r="AE44" s="228">
        <v>-0.4</v>
      </c>
      <c r="AF44" s="229">
        <v>5.4000000000000003E-3</v>
      </c>
      <c r="AG44" s="228">
        <v>9.5500000000000007</v>
      </c>
      <c r="AH44" s="228">
        <v>10.85</v>
      </c>
      <c r="AI44" s="228">
        <v>-1.3</v>
      </c>
      <c r="AJ44" s="229">
        <v>1.15E-2</v>
      </c>
      <c r="AK44" s="228">
        <v>16.399999999999999</v>
      </c>
      <c r="AL44" s="228">
        <v>13.15</v>
      </c>
      <c r="AM44" s="228">
        <v>3.25</v>
      </c>
      <c r="AN44" s="229">
        <v>1.9800000000000002E-2</v>
      </c>
      <c r="AO44" s="228">
        <v>829.2</v>
      </c>
      <c r="AP44" s="228">
        <v>833.13</v>
      </c>
      <c r="AQ44" s="228">
        <v>0</v>
      </c>
      <c r="AR44" s="230">
        <v>13963800</v>
      </c>
      <c r="AS44" s="230">
        <v>5794450</v>
      </c>
      <c r="AT44" s="230">
        <v>8169350</v>
      </c>
      <c r="AU44" s="229">
        <v>1.4098999999999999</v>
      </c>
      <c r="AV44" s="230">
        <v>13568550</v>
      </c>
      <c r="AW44" s="230">
        <v>5638050</v>
      </c>
      <c r="AX44" s="230">
        <v>7930500</v>
      </c>
      <c r="AY44" s="229">
        <v>1.4066000000000001</v>
      </c>
      <c r="AZ44" s="230">
        <v>359550</v>
      </c>
      <c r="BA44" s="230">
        <v>145350</v>
      </c>
      <c r="BB44" s="230">
        <v>214200</v>
      </c>
      <c r="BC44" s="229">
        <v>1.4737</v>
      </c>
      <c r="BD44" s="230">
        <v>35700</v>
      </c>
      <c r="BE44" s="230">
        <v>11050</v>
      </c>
      <c r="BF44" s="230">
        <v>24650</v>
      </c>
      <c r="BG44" s="229">
        <v>2.2307999999999999</v>
      </c>
      <c r="BH44" s="230">
        <v>42748200</v>
      </c>
      <c r="BI44" s="230">
        <v>15950250</v>
      </c>
      <c r="BJ44" s="230">
        <v>26797950</v>
      </c>
      <c r="BK44" s="229">
        <v>1.6800999999999999</v>
      </c>
      <c r="BL44" s="230">
        <v>16283450</v>
      </c>
      <c r="BM44" s="230">
        <v>4760000</v>
      </c>
      <c r="BN44" s="230">
        <v>11523450</v>
      </c>
      <c r="BO44" s="229">
        <v>2.4209000000000001</v>
      </c>
      <c r="BP44" s="230">
        <v>72995450</v>
      </c>
      <c r="BQ44" s="230">
        <v>26504700</v>
      </c>
      <c r="BR44" s="230">
        <v>46490750</v>
      </c>
      <c r="BS44" s="229">
        <v>1.7541</v>
      </c>
      <c r="BT44" s="230">
        <v>9114219</v>
      </c>
      <c r="BU44" s="230">
        <v>7161511</v>
      </c>
      <c r="BV44" s="230">
        <v>1952708</v>
      </c>
      <c r="BW44" s="229">
        <v>0.2727</v>
      </c>
      <c r="BX44" s="230">
        <v>25331700</v>
      </c>
      <c r="BY44" s="230">
        <v>23388600</v>
      </c>
      <c r="BZ44" s="230">
        <v>1943100</v>
      </c>
      <c r="CA44" s="229">
        <v>8.3099999999999993E-2</v>
      </c>
      <c r="CB44" s="230">
        <v>22444250</v>
      </c>
      <c r="CC44" s="230">
        <v>20596350</v>
      </c>
      <c r="CD44" s="230">
        <v>1847900</v>
      </c>
      <c r="CE44" s="229">
        <v>8.9700000000000002E-2</v>
      </c>
      <c r="CF44" s="230">
        <v>2864500</v>
      </c>
      <c r="CG44" s="230">
        <v>2782900</v>
      </c>
      <c r="CH44" s="230">
        <v>81600</v>
      </c>
      <c r="CI44" s="229">
        <v>2.93E-2</v>
      </c>
      <c r="CJ44" s="230">
        <v>22950</v>
      </c>
      <c r="CK44" s="230">
        <v>9350</v>
      </c>
      <c r="CL44" s="230">
        <v>13600</v>
      </c>
      <c r="CM44" s="229">
        <v>1.4544999999999999</v>
      </c>
      <c r="CN44" s="230">
        <v>7487650</v>
      </c>
      <c r="CO44" s="230">
        <v>4872200</v>
      </c>
      <c r="CP44" s="230">
        <v>2615450</v>
      </c>
      <c r="CQ44" s="229">
        <v>0.53680000000000005</v>
      </c>
      <c r="CR44" s="230">
        <v>4603600</v>
      </c>
      <c r="CS44" s="230">
        <v>2566150</v>
      </c>
      <c r="CT44" s="230">
        <v>2037450</v>
      </c>
      <c r="CU44" s="229">
        <v>0.79400000000000004</v>
      </c>
      <c r="CV44" s="230">
        <v>37422950</v>
      </c>
      <c r="CW44" s="230">
        <v>30826950</v>
      </c>
      <c r="CX44" s="230">
        <v>6596000</v>
      </c>
      <c r="CY44" s="229">
        <v>0.214</v>
      </c>
      <c r="CZ44" s="228">
        <v>41.6</v>
      </c>
      <c r="DA44" s="228">
        <v>44.4</v>
      </c>
      <c r="DB44" s="228">
        <v>-2.8</v>
      </c>
      <c r="DC44" s="228">
        <v>-2.8</v>
      </c>
      <c r="DD44" s="228">
        <v>41.91</v>
      </c>
      <c r="DE44" s="228">
        <v>42.02</v>
      </c>
      <c r="DF44" s="228">
        <v>-0.31</v>
      </c>
      <c r="DG44" s="228">
        <v>-0.11</v>
      </c>
      <c r="DH44" s="228">
        <v>41.67</v>
      </c>
      <c r="DI44" s="228">
        <v>44.47</v>
      </c>
      <c r="DJ44" s="228">
        <v>-2.8</v>
      </c>
      <c r="DK44" s="228">
        <v>-2.8</v>
      </c>
      <c r="DL44" s="228">
        <v>41.4</v>
      </c>
      <c r="DM44" s="228">
        <v>44.17</v>
      </c>
      <c r="DN44" s="228">
        <v>-2.77</v>
      </c>
      <c r="DO44" s="228">
        <v>-2.77</v>
      </c>
      <c r="DP44" s="228">
        <v>0.61</v>
      </c>
      <c r="DQ44" s="228">
        <v>0.53</v>
      </c>
      <c r="DR44" s="228">
        <v>0.08</v>
      </c>
      <c r="DS44" s="229">
        <v>0.15090000000000001</v>
      </c>
      <c r="DT44" s="228">
        <v>900</v>
      </c>
      <c r="DU44" s="228">
        <v>800</v>
      </c>
      <c r="DV44" s="228">
        <v>0.38</v>
      </c>
      <c r="DW44" s="228">
        <v>0.3</v>
      </c>
      <c r="DX44" s="228">
        <v>0.08</v>
      </c>
      <c r="DY44" s="229">
        <v>0.26669999999999999</v>
      </c>
      <c r="DZ44" s="229">
        <v>0.114</v>
      </c>
      <c r="EA44" s="230">
        <v>2792250</v>
      </c>
      <c r="EB44" s="229">
        <v>6.1000000000000004E-3</v>
      </c>
      <c r="EC44" s="229">
        <v>0.114</v>
      </c>
      <c r="ED44" s="228">
        <v>3.93</v>
      </c>
      <c r="EE44" s="229">
        <v>4.7000000000000002E-3</v>
      </c>
      <c r="EF44" s="230">
        <v>2171240</v>
      </c>
      <c r="EG44" s="230">
        <v>3178429</v>
      </c>
      <c r="EH44" s="229">
        <v>-0.31690000000000002</v>
      </c>
      <c r="EI44" s="229">
        <v>0.2382</v>
      </c>
      <c r="EJ44" s="231">
        <v>376426.1</v>
      </c>
      <c r="EK44" s="231">
        <v>134210.69</v>
      </c>
      <c r="EL44" s="231">
        <v>115804.99</v>
      </c>
      <c r="EM44" s="231">
        <v>4207</v>
      </c>
      <c r="EN44" s="231">
        <v>626441.78</v>
      </c>
      <c r="EO44" s="231">
        <v>226700.09</v>
      </c>
      <c r="EP44" s="231">
        <v>399741.69</v>
      </c>
      <c r="EQ44" s="229">
        <v>1.7633000000000001</v>
      </c>
      <c r="ER44" s="231">
        <v>63637</v>
      </c>
      <c r="ES44" s="231">
        <v>36365</v>
      </c>
      <c r="ET44" s="231">
        <v>211262</v>
      </c>
      <c r="EU44" s="231">
        <v>103080397</v>
      </c>
      <c r="EV44" s="231">
        <v>311264</v>
      </c>
      <c r="EW44" s="231">
        <v>256416</v>
      </c>
      <c r="EX44" s="231">
        <v>54848</v>
      </c>
      <c r="EY44" s="229">
        <v>0.21390000000000001</v>
      </c>
      <c r="EZ44" s="229">
        <v>0.36299999999999999</v>
      </c>
      <c r="FA44" s="227" t="s">
        <v>555</v>
      </c>
      <c r="FB44" s="161">
        <f t="shared" si="0"/>
        <v>2887450</v>
      </c>
    </row>
    <row r="45" spans="1:158" ht="17.25" thickBot="1" x14ac:dyDescent="0.3">
      <c r="A45" s="226">
        <v>46148</v>
      </c>
      <c r="B45" s="227" t="s">
        <v>175</v>
      </c>
      <c r="C45" s="227" t="s">
        <v>198</v>
      </c>
      <c r="D45" s="228">
        <v>625</v>
      </c>
      <c r="E45" s="231">
        <v>1722.6</v>
      </c>
      <c r="F45" s="231">
        <v>1661.8</v>
      </c>
      <c r="G45" s="228">
        <v>60.8</v>
      </c>
      <c r="H45" s="229">
        <v>3.6600000000000001E-2</v>
      </c>
      <c r="I45" s="231">
        <v>1711.9</v>
      </c>
      <c r="J45" s="231">
        <v>1657.4</v>
      </c>
      <c r="K45" s="228">
        <v>54.5</v>
      </c>
      <c r="L45" s="229">
        <v>3.2899999999999999E-2</v>
      </c>
      <c r="M45" s="231">
        <v>1722.6</v>
      </c>
      <c r="N45" s="231">
        <v>1661.8</v>
      </c>
      <c r="O45" s="228">
        <v>60.8</v>
      </c>
      <c r="P45" s="229">
        <v>3.6600000000000001E-2</v>
      </c>
      <c r="Q45" s="231">
        <v>1731.5</v>
      </c>
      <c r="R45" s="231">
        <v>1671.7</v>
      </c>
      <c r="S45" s="228">
        <v>59.8</v>
      </c>
      <c r="T45" s="229">
        <v>3.5799999999999998E-2</v>
      </c>
      <c r="U45" s="231">
        <v>1740</v>
      </c>
      <c r="V45" s="231">
        <v>1685.8</v>
      </c>
      <c r="W45" s="228">
        <v>54.2</v>
      </c>
      <c r="X45" s="229">
        <v>3.2199999999999999E-2</v>
      </c>
      <c r="Y45" s="228">
        <v>10.7</v>
      </c>
      <c r="Z45" s="228">
        <v>4.4000000000000004</v>
      </c>
      <c r="AA45" s="228">
        <v>6.3</v>
      </c>
      <c r="AB45" s="229">
        <v>6.3E-3</v>
      </c>
      <c r="AC45" s="228">
        <v>10.7</v>
      </c>
      <c r="AD45" s="228">
        <v>4.4000000000000004</v>
      </c>
      <c r="AE45" s="228">
        <v>6.3</v>
      </c>
      <c r="AF45" s="229">
        <v>6.3E-3</v>
      </c>
      <c r="AG45" s="228">
        <v>19.600000000000001</v>
      </c>
      <c r="AH45" s="228">
        <v>14.3</v>
      </c>
      <c r="AI45" s="228">
        <v>5.3</v>
      </c>
      <c r="AJ45" s="229">
        <v>1.14E-2</v>
      </c>
      <c r="AK45" s="228">
        <v>28.1</v>
      </c>
      <c r="AL45" s="228">
        <v>28.4</v>
      </c>
      <c r="AM45" s="228">
        <v>-0.3</v>
      </c>
      <c r="AN45" s="229">
        <v>1.6400000000000001E-2</v>
      </c>
      <c r="AO45" s="231">
        <v>1707.2</v>
      </c>
      <c r="AP45" s="231">
        <v>1716.44</v>
      </c>
      <c r="AQ45" s="228">
        <v>0</v>
      </c>
      <c r="AR45" s="230">
        <v>2002500</v>
      </c>
      <c r="AS45" s="230">
        <v>2305625</v>
      </c>
      <c r="AT45" s="230">
        <v>-303125</v>
      </c>
      <c r="AU45" s="229">
        <v>-0.13150000000000001</v>
      </c>
      <c r="AV45" s="230">
        <v>1945625</v>
      </c>
      <c r="AW45" s="230">
        <v>2250000</v>
      </c>
      <c r="AX45" s="230">
        <v>-304375</v>
      </c>
      <c r="AY45" s="229">
        <v>-0.1353</v>
      </c>
      <c r="AZ45" s="230">
        <v>44375</v>
      </c>
      <c r="BA45" s="230">
        <v>48125</v>
      </c>
      <c r="BB45" s="230">
        <v>-3750</v>
      </c>
      <c r="BC45" s="229">
        <v>-7.7899999999999997E-2</v>
      </c>
      <c r="BD45" s="230">
        <v>12500</v>
      </c>
      <c r="BE45" s="230">
        <v>7500</v>
      </c>
      <c r="BF45" s="230">
        <v>5000</v>
      </c>
      <c r="BG45" s="229">
        <v>0.66669999999999996</v>
      </c>
      <c r="BH45" s="230">
        <v>5288750</v>
      </c>
      <c r="BI45" s="230">
        <v>4687500</v>
      </c>
      <c r="BJ45" s="230">
        <v>601250</v>
      </c>
      <c r="BK45" s="229">
        <v>0.1283</v>
      </c>
      <c r="BL45" s="230">
        <v>3695000</v>
      </c>
      <c r="BM45" s="230">
        <v>3253125</v>
      </c>
      <c r="BN45" s="230">
        <v>441875</v>
      </c>
      <c r="BO45" s="229">
        <v>0.1358</v>
      </c>
      <c r="BP45" s="230">
        <v>10986250</v>
      </c>
      <c r="BQ45" s="230">
        <v>10246250</v>
      </c>
      <c r="BR45" s="230">
        <v>740000</v>
      </c>
      <c r="BS45" s="229">
        <v>7.22E-2</v>
      </c>
      <c r="BT45" s="230">
        <v>3499626</v>
      </c>
      <c r="BU45" s="230">
        <v>2760983</v>
      </c>
      <c r="BV45" s="230">
        <v>738643</v>
      </c>
      <c r="BW45" s="229">
        <v>0.26750000000000002</v>
      </c>
      <c r="BX45" s="230">
        <v>18395000</v>
      </c>
      <c r="BY45" s="230">
        <v>18661250</v>
      </c>
      <c r="BZ45" s="230">
        <v>-266250</v>
      </c>
      <c r="CA45" s="229">
        <v>-1.43E-2</v>
      </c>
      <c r="CB45" s="230">
        <v>17375625</v>
      </c>
      <c r="CC45" s="230">
        <v>17651250</v>
      </c>
      <c r="CD45" s="230">
        <v>-275625</v>
      </c>
      <c r="CE45" s="229">
        <v>-1.5599999999999999E-2</v>
      </c>
      <c r="CF45" s="230">
        <v>1010625</v>
      </c>
      <c r="CG45" s="230">
        <v>1003750</v>
      </c>
      <c r="CH45" s="230">
        <v>6875</v>
      </c>
      <c r="CI45" s="229">
        <v>6.7999999999999996E-3</v>
      </c>
      <c r="CJ45" s="230">
        <v>8750</v>
      </c>
      <c r="CK45" s="230">
        <v>6250</v>
      </c>
      <c r="CL45" s="230">
        <v>2500</v>
      </c>
      <c r="CM45" s="229">
        <v>0.4</v>
      </c>
      <c r="CN45" s="230">
        <v>3047500</v>
      </c>
      <c r="CO45" s="230">
        <v>2738750</v>
      </c>
      <c r="CP45" s="230">
        <v>308750</v>
      </c>
      <c r="CQ45" s="229">
        <v>0.11269999999999999</v>
      </c>
      <c r="CR45" s="230">
        <v>2681875</v>
      </c>
      <c r="CS45" s="230">
        <v>2453125</v>
      </c>
      <c r="CT45" s="230">
        <v>228750</v>
      </c>
      <c r="CU45" s="229">
        <v>9.3200000000000005E-2</v>
      </c>
      <c r="CV45" s="230">
        <v>24124375</v>
      </c>
      <c r="CW45" s="230">
        <v>23853125</v>
      </c>
      <c r="CX45" s="230">
        <v>271250</v>
      </c>
      <c r="CY45" s="229">
        <v>1.14E-2</v>
      </c>
      <c r="CZ45" s="228">
        <v>32.840000000000003</v>
      </c>
      <c r="DA45" s="228">
        <v>34.03</v>
      </c>
      <c r="DB45" s="228">
        <v>-1.19</v>
      </c>
      <c r="DC45" s="228">
        <v>-1.19</v>
      </c>
      <c r="DD45" s="228">
        <v>40.869999999999997</v>
      </c>
      <c r="DE45" s="228">
        <v>40.74</v>
      </c>
      <c r="DF45" s="228">
        <v>-8.0299999999999994</v>
      </c>
      <c r="DG45" s="228">
        <v>0.13</v>
      </c>
      <c r="DH45" s="228">
        <v>31.04</v>
      </c>
      <c r="DI45" s="228">
        <v>32.74</v>
      </c>
      <c r="DJ45" s="228">
        <v>-1.7</v>
      </c>
      <c r="DK45" s="228">
        <v>-1.7</v>
      </c>
      <c r="DL45" s="228">
        <v>35.43</v>
      </c>
      <c r="DM45" s="228">
        <v>35.89</v>
      </c>
      <c r="DN45" s="228">
        <v>-0.46</v>
      </c>
      <c r="DO45" s="228">
        <v>-0.46</v>
      </c>
      <c r="DP45" s="228">
        <v>0.88</v>
      </c>
      <c r="DQ45" s="228">
        <v>0.9</v>
      </c>
      <c r="DR45" s="228">
        <v>-0.02</v>
      </c>
      <c r="DS45" s="229">
        <v>-2.2200000000000001E-2</v>
      </c>
      <c r="DT45" s="231">
        <v>1800</v>
      </c>
      <c r="DU45" s="231">
        <v>1400</v>
      </c>
      <c r="DV45" s="228">
        <v>0.7</v>
      </c>
      <c r="DW45" s="228">
        <v>0.69</v>
      </c>
      <c r="DX45" s="228">
        <v>0.01</v>
      </c>
      <c r="DY45" s="229">
        <v>1.4500000000000001E-2</v>
      </c>
      <c r="DZ45" s="229">
        <v>5.5399999999999998E-2</v>
      </c>
      <c r="EA45" s="230">
        <v>1010000</v>
      </c>
      <c r="EB45" s="229">
        <v>5.1999999999999998E-3</v>
      </c>
      <c r="EC45" s="229">
        <v>5.5399999999999998E-2</v>
      </c>
      <c r="ED45" s="228">
        <v>9.24</v>
      </c>
      <c r="EE45" s="229">
        <v>5.4000000000000003E-3</v>
      </c>
      <c r="EF45" s="230">
        <v>2382435</v>
      </c>
      <c r="EG45" s="230">
        <v>1730483</v>
      </c>
      <c r="EH45" s="229">
        <v>0.37669999999999998</v>
      </c>
      <c r="EI45" s="229">
        <v>0.68079999999999996</v>
      </c>
      <c r="EJ45" s="231">
        <v>94490.49</v>
      </c>
      <c r="EK45" s="231">
        <v>59875.26</v>
      </c>
      <c r="EL45" s="231">
        <v>34193.050000000003</v>
      </c>
      <c r="EM45" s="231">
        <v>7504</v>
      </c>
      <c r="EN45" s="231">
        <v>188558.8</v>
      </c>
      <c r="EO45" s="231">
        <v>171639.24</v>
      </c>
      <c r="EP45" s="231">
        <v>16919.560000000001</v>
      </c>
      <c r="EQ45" s="229">
        <v>9.8599999999999993E-2</v>
      </c>
      <c r="ER45" s="231">
        <v>50830</v>
      </c>
      <c r="ES45" s="231">
        <v>41139</v>
      </c>
      <c r="ET45" s="231">
        <v>316964</v>
      </c>
      <c r="EU45" s="231">
        <v>63646863</v>
      </c>
      <c r="EV45" s="231">
        <v>408932</v>
      </c>
      <c r="EW45" s="231">
        <v>392398</v>
      </c>
      <c r="EX45" s="231">
        <v>16534</v>
      </c>
      <c r="EY45" s="229">
        <v>4.2099999999999999E-2</v>
      </c>
      <c r="EZ45" s="229">
        <v>0.379</v>
      </c>
      <c r="FA45" s="227" t="s">
        <v>691</v>
      </c>
      <c r="FB45" s="161">
        <f t="shared" si="0"/>
        <v>1019375</v>
      </c>
    </row>
    <row r="46" spans="1:158" ht="17.25" thickBot="1" x14ac:dyDescent="0.3">
      <c r="A46" s="226">
        <v>46148</v>
      </c>
      <c r="B46" s="227" t="s">
        <v>170</v>
      </c>
      <c r="C46" s="227" t="s">
        <v>199</v>
      </c>
      <c r="D46" s="228">
        <v>375</v>
      </c>
      <c r="E46" s="231">
        <v>1370</v>
      </c>
      <c r="F46" s="231">
        <v>1336.7</v>
      </c>
      <c r="G46" s="228">
        <v>33.299999999999997</v>
      </c>
      <c r="H46" s="229">
        <v>2.4899999999999999E-2</v>
      </c>
      <c r="I46" s="231">
        <v>1364.4</v>
      </c>
      <c r="J46" s="231">
        <v>1333.7</v>
      </c>
      <c r="K46" s="228">
        <v>30.7</v>
      </c>
      <c r="L46" s="229">
        <v>2.3E-2</v>
      </c>
      <c r="M46" s="231">
        <v>1370</v>
      </c>
      <c r="N46" s="231">
        <v>1336.7</v>
      </c>
      <c r="O46" s="228">
        <v>33.299999999999997</v>
      </c>
      <c r="P46" s="229">
        <v>2.4899999999999999E-2</v>
      </c>
      <c r="Q46" s="231">
        <v>1371</v>
      </c>
      <c r="R46" s="231">
        <v>1339.3</v>
      </c>
      <c r="S46" s="228">
        <v>31.7</v>
      </c>
      <c r="T46" s="229">
        <v>2.3699999999999999E-2</v>
      </c>
      <c r="U46" s="231">
        <v>1374.9</v>
      </c>
      <c r="V46" s="231">
        <v>1343</v>
      </c>
      <c r="W46" s="228">
        <v>31.9</v>
      </c>
      <c r="X46" s="229">
        <v>2.3800000000000002E-2</v>
      </c>
      <c r="Y46" s="228">
        <v>5.6</v>
      </c>
      <c r="Z46" s="228">
        <v>3</v>
      </c>
      <c r="AA46" s="228">
        <v>2.6</v>
      </c>
      <c r="AB46" s="229">
        <v>4.1000000000000003E-3</v>
      </c>
      <c r="AC46" s="228">
        <v>5.6</v>
      </c>
      <c r="AD46" s="228">
        <v>3</v>
      </c>
      <c r="AE46" s="228">
        <v>2.6</v>
      </c>
      <c r="AF46" s="229">
        <v>4.1000000000000003E-3</v>
      </c>
      <c r="AG46" s="228">
        <v>6.6</v>
      </c>
      <c r="AH46" s="228">
        <v>5.6</v>
      </c>
      <c r="AI46" s="228">
        <v>1</v>
      </c>
      <c r="AJ46" s="229">
        <v>4.7999999999999996E-3</v>
      </c>
      <c r="AK46" s="228">
        <v>10.5</v>
      </c>
      <c r="AL46" s="228">
        <v>9.3000000000000007</v>
      </c>
      <c r="AM46" s="228">
        <v>1.2</v>
      </c>
      <c r="AN46" s="229">
        <v>7.7000000000000002E-3</v>
      </c>
      <c r="AO46" s="231">
        <v>1363.55</v>
      </c>
      <c r="AP46" s="231">
        <v>1360.47</v>
      </c>
      <c r="AQ46" s="228">
        <v>0</v>
      </c>
      <c r="AR46" s="230">
        <v>1892250</v>
      </c>
      <c r="AS46" s="230">
        <v>1063125</v>
      </c>
      <c r="AT46" s="230">
        <v>829125</v>
      </c>
      <c r="AU46" s="229">
        <v>0.77990000000000004</v>
      </c>
      <c r="AV46" s="230">
        <v>1695000</v>
      </c>
      <c r="AW46" s="230">
        <v>972750</v>
      </c>
      <c r="AX46" s="230">
        <v>722250</v>
      </c>
      <c r="AY46" s="229">
        <v>0.74250000000000005</v>
      </c>
      <c r="AZ46" s="230">
        <v>192750</v>
      </c>
      <c r="BA46" s="230">
        <v>84750</v>
      </c>
      <c r="BB46" s="230">
        <v>108000</v>
      </c>
      <c r="BC46" s="229">
        <v>1.2743</v>
      </c>
      <c r="BD46" s="230">
        <v>4500</v>
      </c>
      <c r="BE46" s="230">
        <v>5625</v>
      </c>
      <c r="BF46" s="230">
        <v>-1125</v>
      </c>
      <c r="BG46" s="229">
        <v>-0.2</v>
      </c>
      <c r="BH46" s="230">
        <v>9480000</v>
      </c>
      <c r="BI46" s="230">
        <v>4023000</v>
      </c>
      <c r="BJ46" s="230">
        <v>5457000</v>
      </c>
      <c r="BK46" s="229">
        <v>1.3565</v>
      </c>
      <c r="BL46" s="230">
        <v>3336000</v>
      </c>
      <c r="BM46" s="230">
        <v>1940250</v>
      </c>
      <c r="BN46" s="230">
        <v>1395750</v>
      </c>
      <c r="BO46" s="229">
        <v>0.71940000000000004</v>
      </c>
      <c r="BP46" s="230">
        <v>14708250</v>
      </c>
      <c r="BQ46" s="230">
        <v>7026375</v>
      </c>
      <c r="BR46" s="230">
        <v>7681875</v>
      </c>
      <c r="BS46" s="229">
        <v>1.0932999999999999</v>
      </c>
      <c r="BT46" s="230">
        <v>1919285</v>
      </c>
      <c r="BU46" s="230">
        <v>1078834</v>
      </c>
      <c r="BV46" s="230">
        <v>840451</v>
      </c>
      <c r="BW46" s="229">
        <v>0.77900000000000003</v>
      </c>
      <c r="BX46" s="230">
        <v>13241800</v>
      </c>
      <c r="BY46" s="230">
        <v>13540300</v>
      </c>
      <c r="BZ46" s="230">
        <v>-298500</v>
      </c>
      <c r="CA46" s="229">
        <v>-2.1999999999999999E-2</v>
      </c>
      <c r="CB46" s="230">
        <v>12812250</v>
      </c>
      <c r="CC46" s="230">
        <v>13154625</v>
      </c>
      <c r="CD46" s="230">
        <v>-342375</v>
      </c>
      <c r="CE46" s="229">
        <v>-2.5999999999999999E-2</v>
      </c>
      <c r="CF46" s="230">
        <v>412125</v>
      </c>
      <c r="CG46" s="230">
        <v>368250</v>
      </c>
      <c r="CH46" s="230">
        <v>43875</v>
      </c>
      <c r="CI46" s="229">
        <v>0.1191</v>
      </c>
      <c r="CJ46" s="230">
        <v>17425</v>
      </c>
      <c r="CK46" s="230">
        <v>17425</v>
      </c>
      <c r="CL46" s="228">
        <v>0</v>
      </c>
      <c r="CM46" s="229">
        <v>0</v>
      </c>
      <c r="CN46" s="230">
        <v>5029700</v>
      </c>
      <c r="CO46" s="230">
        <v>4836375</v>
      </c>
      <c r="CP46" s="230">
        <v>193325</v>
      </c>
      <c r="CQ46" s="229">
        <v>0.04</v>
      </c>
      <c r="CR46" s="230">
        <v>3642375</v>
      </c>
      <c r="CS46" s="230">
        <v>3195375</v>
      </c>
      <c r="CT46" s="230">
        <v>447000</v>
      </c>
      <c r="CU46" s="229">
        <v>0.1399</v>
      </c>
      <c r="CV46" s="230">
        <v>21913875</v>
      </c>
      <c r="CW46" s="230">
        <v>21572050</v>
      </c>
      <c r="CX46" s="230">
        <v>341825</v>
      </c>
      <c r="CY46" s="229">
        <v>1.5800000000000002E-2</v>
      </c>
      <c r="CZ46" s="228">
        <v>24.93</v>
      </c>
      <c r="DA46" s="228">
        <v>26.35</v>
      </c>
      <c r="DB46" s="228">
        <v>-1.42</v>
      </c>
      <c r="DC46" s="228">
        <v>-1.42</v>
      </c>
      <c r="DD46" s="228">
        <v>25.86</v>
      </c>
      <c r="DE46" s="228">
        <v>25.72</v>
      </c>
      <c r="DF46" s="228">
        <v>-0.93</v>
      </c>
      <c r="DG46" s="228">
        <v>0.14000000000000001</v>
      </c>
      <c r="DH46" s="228">
        <v>24.3</v>
      </c>
      <c r="DI46" s="228">
        <v>25.64</v>
      </c>
      <c r="DJ46" s="228">
        <v>-1.34</v>
      </c>
      <c r="DK46" s="228">
        <v>-1.34</v>
      </c>
      <c r="DL46" s="228">
        <v>26.73</v>
      </c>
      <c r="DM46" s="228">
        <v>27.83</v>
      </c>
      <c r="DN46" s="228">
        <v>-1.1000000000000001</v>
      </c>
      <c r="DO46" s="228">
        <v>-1.1000000000000001</v>
      </c>
      <c r="DP46" s="228">
        <v>0.72</v>
      </c>
      <c r="DQ46" s="228">
        <v>0.66</v>
      </c>
      <c r="DR46" s="228">
        <v>0.06</v>
      </c>
      <c r="DS46" s="229">
        <v>9.0899999999999995E-2</v>
      </c>
      <c r="DT46" s="231">
        <v>1420</v>
      </c>
      <c r="DU46" s="231">
        <v>1200</v>
      </c>
      <c r="DV46" s="228">
        <v>0.35</v>
      </c>
      <c r="DW46" s="228">
        <v>0.48</v>
      </c>
      <c r="DX46" s="228">
        <v>-0.13</v>
      </c>
      <c r="DY46" s="229">
        <v>-0.27079999999999999</v>
      </c>
      <c r="DZ46" s="229">
        <v>3.2399999999999998E-2</v>
      </c>
      <c r="EA46" s="230">
        <v>385675</v>
      </c>
      <c r="EB46" s="229">
        <v>6.9999999999999999E-4</v>
      </c>
      <c r="EC46" s="229">
        <v>3.2399999999999998E-2</v>
      </c>
      <c r="ED46" s="228">
        <v>-3.08</v>
      </c>
      <c r="EE46" s="229">
        <v>-2.3E-3</v>
      </c>
      <c r="EF46" s="230">
        <v>1037858</v>
      </c>
      <c r="EG46" s="230">
        <v>503942</v>
      </c>
      <c r="EH46" s="229">
        <v>1.0595000000000001</v>
      </c>
      <c r="EI46" s="229">
        <v>0.54079999999999995</v>
      </c>
      <c r="EJ46" s="231">
        <v>134640.35</v>
      </c>
      <c r="EK46" s="231">
        <v>44220.62</v>
      </c>
      <c r="EL46" s="231">
        <v>25804.23</v>
      </c>
      <c r="EM46" s="231">
        <v>3097</v>
      </c>
      <c r="EN46" s="231">
        <v>204665.2</v>
      </c>
      <c r="EO46" s="231">
        <v>95698.19</v>
      </c>
      <c r="EP46" s="231">
        <v>108967.01</v>
      </c>
      <c r="EQ46" s="229">
        <v>1.1387</v>
      </c>
      <c r="ER46" s="231">
        <v>69929</v>
      </c>
      <c r="ES46" s="231">
        <v>46384</v>
      </c>
      <c r="ET46" s="231">
        <v>181418</v>
      </c>
      <c r="EU46" s="231">
        <v>76385219</v>
      </c>
      <c r="EV46" s="231">
        <v>297731</v>
      </c>
      <c r="EW46" s="231">
        <v>288214</v>
      </c>
      <c r="EX46" s="231">
        <v>9517</v>
      </c>
      <c r="EY46" s="229">
        <v>3.3000000000000002E-2</v>
      </c>
      <c r="EZ46" s="229">
        <v>0.28689999999999999</v>
      </c>
      <c r="FA46" s="227" t="s">
        <v>691</v>
      </c>
      <c r="FB46" s="161">
        <f t="shared" si="0"/>
        <v>429550</v>
      </c>
    </row>
    <row r="47" spans="1:158" ht="17.25" thickBot="1" x14ac:dyDescent="0.3">
      <c r="A47" s="226">
        <v>46148</v>
      </c>
      <c r="B47" s="227" t="s">
        <v>227</v>
      </c>
      <c r="C47" s="227" t="s">
        <v>200</v>
      </c>
      <c r="D47" s="228">
        <v>1350</v>
      </c>
      <c r="E47" s="228">
        <v>471.25</v>
      </c>
      <c r="F47" s="228">
        <v>475.1</v>
      </c>
      <c r="G47" s="228">
        <v>-3.85</v>
      </c>
      <c r="H47" s="229">
        <v>-8.0999999999999996E-3</v>
      </c>
      <c r="I47" s="228">
        <v>470.2</v>
      </c>
      <c r="J47" s="228">
        <v>472.6</v>
      </c>
      <c r="K47" s="228">
        <v>-2.4</v>
      </c>
      <c r="L47" s="229">
        <v>-5.1000000000000004E-3</v>
      </c>
      <c r="M47" s="228">
        <v>471.25</v>
      </c>
      <c r="N47" s="228">
        <v>475.1</v>
      </c>
      <c r="O47" s="228">
        <v>-3.85</v>
      </c>
      <c r="P47" s="229">
        <v>-8.0999999999999996E-3</v>
      </c>
      <c r="Q47" s="228">
        <v>471.3</v>
      </c>
      <c r="R47" s="228">
        <v>474.7</v>
      </c>
      <c r="S47" s="228">
        <v>-3.4</v>
      </c>
      <c r="T47" s="229">
        <v>-7.1999999999999998E-3</v>
      </c>
      <c r="U47" s="228">
        <v>470.75</v>
      </c>
      <c r="V47" s="228">
        <v>475.3</v>
      </c>
      <c r="W47" s="228">
        <v>-4.55</v>
      </c>
      <c r="X47" s="229">
        <v>-9.5999999999999992E-3</v>
      </c>
      <c r="Y47" s="228">
        <v>1.05</v>
      </c>
      <c r="Z47" s="228">
        <v>2.5</v>
      </c>
      <c r="AA47" s="228">
        <v>-1.45</v>
      </c>
      <c r="AB47" s="229">
        <v>2.2000000000000001E-3</v>
      </c>
      <c r="AC47" s="228">
        <v>1.05</v>
      </c>
      <c r="AD47" s="228">
        <v>2.5</v>
      </c>
      <c r="AE47" s="228">
        <v>-1.45</v>
      </c>
      <c r="AF47" s="229">
        <v>2.2000000000000001E-3</v>
      </c>
      <c r="AG47" s="228">
        <v>1.1000000000000001</v>
      </c>
      <c r="AH47" s="228">
        <v>2.1</v>
      </c>
      <c r="AI47" s="228">
        <v>-1</v>
      </c>
      <c r="AJ47" s="229">
        <v>2.3E-3</v>
      </c>
      <c r="AK47" s="228">
        <v>0.55000000000000004</v>
      </c>
      <c r="AL47" s="228">
        <v>2.7</v>
      </c>
      <c r="AM47" s="228">
        <v>-2.15</v>
      </c>
      <c r="AN47" s="229">
        <v>1.1999999999999999E-3</v>
      </c>
      <c r="AO47" s="228">
        <v>473.8</v>
      </c>
      <c r="AP47" s="228">
        <v>474.25</v>
      </c>
      <c r="AQ47" s="228">
        <v>0</v>
      </c>
      <c r="AR47" s="230">
        <v>9219150</v>
      </c>
      <c r="AS47" s="230">
        <v>4645350</v>
      </c>
      <c r="AT47" s="230">
        <v>4573800</v>
      </c>
      <c r="AU47" s="229">
        <v>0.98460000000000003</v>
      </c>
      <c r="AV47" s="230">
        <v>8703450</v>
      </c>
      <c r="AW47" s="230">
        <v>4186350</v>
      </c>
      <c r="AX47" s="230">
        <v>4517100</v>
      </c>
      <c r="AY47" s="229">
        <v>1.079</v>
      </c>
      <c r="AZ47" s="230">
        <v>465750</v>
      </c>
      <c r="BA47" s="230">
        <v>392850</v>
      </c>
      <c r="BB47" s="230">
        <v>72900</v>
      </c>
      <c r="BC47" s="229">
        <v>0.18559999999999999</v>
      </c>
      <c r="BD47" s="230">
        <v>49950</v>
      </c>
      <c r="BE47" s="230">
        <v>66150</v>
      </c>
      <c r="BF47" s="230">
        <v>-16200</v>
      </c>
      <c r="BG47" s="229">
        <v>-0.24490000000000001</v>
      </c>
      <c r="BH47" s="230">
        <v>39573900</v>
      </c>
      <c r="BI47" s="230">
        <v>25119450</v>
      </c>
      <c r="BJ47" s="230">
        <v>14454450</v>
      </c>
      <c r="BK47" s="229">
        <v>0.57540000000000002</v>
      </c>
      <c r="BL47" s="230">
        <v>24406650</v>
      </c>
      <c r="BM47" s="230">
        <v>14831100</v>
      </c>
      <c r="BN47" s="230">
        <v>9575550</v>
      </c>
      <c r="BO47" s="229">
        <v>0.64559999999999995</v>
      </c>
      <c r="BP47" s="230">
        <v>73199700</v>
      </c>
      <c r="BQ47" s="230">
        <v>44595900</v>
      </c>
      <c r="BR47" s="230">
        <v>28603800</v>
      </c>
      <c r="BS47" s="229">
        <v>0.64139999999999997</v>
      </c>
      <c r="BT47" s="230">
        <v>9177313</v>
      </c>
      <c r="BU47" s="230">
        <v>7186992</v>
      </c>
      <c r="BV47" s="230">
        <v>1990321</v>
      </c>
      <c r="BW47" s="229">
        <v>0.27689999999999998</v>
      </c>
      <c r="BX47" s="230">
        <v>51915600</v>
      </c>
      <c r="BY47" s="230">
        <v>52523100</v>
      </c>
      <c r="BZ47" s="230">
        <v>-607500</v>
      </c>
      <c r="CA47" s="229">
        <v>-1.1599999999999999E-2</v>
      </c>
      <c r="CB47" s="230">
        <v>49740750</v>
      </c>
      <c r="CC47" s="230">
        <v>50464350</v>
      </c>
      <c r="CD47" s="230">
        <v>-723600</v>
      </c>
      <c r="CE47" s="229">
        <v>-1.43E-2</v>
      </c>
      <c r="CF47" s="230">
        <v>2039850</v>
      </c>
      <c r="CG47" s="230">
        <v>1950750</v>
      </c>
      <c r="CH47" s="230">
        <v>89100</v>
      </c>
      <c r="CI47" s="229">
        <v>4.5699999999999998E-2</v>
      </c>
      <c r="CJ47" s="230">
        <v>135000</v>
      </c>
      <c r="CK47" s="230">
        <v>108000</v>
      </c>
      <c r="CL47" s="230">
        <v>27000</v>
      </c>
      <c r="CM47" s="229">
        <v>0.25</v>
      </c>
      <c r="CN47" s="230">
        <v>29600100</v>
      </c>
      <c r="CO47" s="230">
        <v>28159650</v>
      </c>
      <c r="CP47" s="230">
        <v>1440450</v>
      </c>
      <c r="CQ47" s="229">
        <v>5.1200000000000002E-2</v>
      </c>
      <c r="CR47" s="230">
        <v>19187550</v>
      </c>
      <c r="CS47" s="230">
        <v>17911800</v>
      </c>
      <c r="CT47" s="230">
        <v>1275750</v>
      </c>
      <c r="CU47" s="229">
        <v>7.1199999999999999E-2</v>
      </c>
      <c r="CV47" s="230">
        <v>100703250</v>
      </c>
      <c r="CW47" s="230">
        <v>98594550</v>
      </c>
      <c r="CX47" s="230">
        <v>2108700</v>
      </c>
      <c r="CY47" s="229">
        <v>2.1399999999999999E-2</v>
      </c>
      <c r="CZ47" s="228">
        <v>26.73</v>
      </c>
      <c r="DA47" s="228">
        <v>26.37</v>
      </c>
      <c r="DB47" s="228">
        <v>0.36</v>
      </c>
      <c r="DC47" s="228">
        <v>0.36</v>
      </c>
      <c r="DD47" s="228">
        <v>31.03</v>
      </c>
      <c r="DE47" s="228">
        <v>31.09</v>
      </c>
      <c r="DF47" s="228">
        <v>-4.3</v>
      </c>
      <c r="DG47" s="228">
        <v>-0.06</v>
      </c>
      <c r="DH47" s="228">
        <v>26.67</v>
      </c>
      <c r="DI47" s="228">
        <v>26.29</v>
      </c>
      <c r="DJ47" s="228">
        <v>0.38</v>
      </c>
      <c r="DK47" s="228">
        <v>0.38</v>
      </c>
      <c r="DL47" s="228">
        <v>26.83</v>
      </c>
      <c r="DM47" s="228">
        <v>26.51</v>
      </c>
      <c r="DN47" s="228">
        <v>0.32</v>
      </c>
      <c r="DO47" s="228">
        <v>0.32</v>
      </c>
      <c r="DP47" s="228">
        <v>0.65</v>
      </c>
      <c r="DQ47" s="228">
        <v>0.64</v>
      </c>
      <c r="DR47" s="228">
        <v>0.01</v>
      </c>
      <c r="DS47" s="229">
        <v>1.5599999999999999E-2</v>
      </c>
      <c r="DT47" s="228">
        <v>500</v>
      </c>
      <c r="DU47" s="228">
        <v>470</v>
      </c>
      <c r="DV47" s="228">
        <v>0.62</v>
      </c>
      <c r="DW47" s="228">
        <v>0.59</v>
      </c>
      <c r="DX47" s="228">
        <v>0.03</v>
      </c>
      <c r="DY47" s="229">
        <v>5.0799999999999998E-2</v>
      </c>
      <c r="DZ47" s="229">
        <v>4.19E-2</v>
      </c>
      <c r="EA47" s="230">
        <v>2058750</v>
      </c>
      <c r="EB47" s="229">
        <v>1E-4</v>
      </c>
      <c r="EC47" s="229">
        <v>4.19E-2</v>
      </c>
      <c r="ED47" s="228">
        <v>0.45</v>
      </c>
      <c r="EE47" s="229">
        <v>8.9999999999999998E-4</v>
      </c>
      <c r="EF47" s="230">
        <v>5934748</v>
      </c>
      <c r="EG47" s="230">
        <v>3519086</v>
      </c>
      <c r="EH47" s="229">
        <v>0.68640000000000001</v>
      </c>
      <c r="EI47" s="229">
        <v>0.64670000000000005</v>
      </c>
      <c r="EJ47" s="231">
        <v>197222.86</v>
      </c>
      <c r="EK47" s="231">
        <v>114876.81</v>
      </c>
      <c r="EL47" s="231">
        <v>43681.88</v>
      </c>
      <c r="EM47" s="231">
        <v>7861</v>
      </c>
      <c r="EN47" s="231">
        <v>355781.55</v>
      </c>
      <c r="EO47" s="231">
        <v>217731</v>
      </c>
      <c r="EP47" s="231">
        <v>138050.54999999999</v>
      </c>
      <c r="EQ47" s="229">
        <v>0.63400000000000001</v>
      </c>
      <c r="ER47" s="231">
        <v>145984</v>
      </c>
      <c r="ES47" s="231">
        <v>87240</v>
      </c>
      <c r="ET47" s="231">
        <v>244653</v>
      </c>
      <c r="EU47" s="231">
        <v>320531323</v>
      </c>
      <c r="EV47" s="231">
        <v>477877</v>
      </c>
      <c r="EW47" s="231">
        <v>469283</v>
      </c>
      <c r="EX47" s="231">
        <v>8594</v>
      </c>
      <c r="EY47" s="229">
        <v>1.83E-2</v>
      </c>
      <c r="EZ47" s="229">
        <v>0.31419999999999998</v>
      </c>
      <c r="FA47" s="227" t="s">
        <v>567</v>
      </c>
      <c r="FB47" s="161">
        <f t="shared" si="0"/>
        <v>2174850</v>
      </c>
    </row>
    <row r="48" spans="1:158" ht="17.25" thickBot="1" x14ac:dyDescent="0.3">
      <c r="A48" s="226">
        <v>46148</v>
      </c>
      <c r="B48" s="227" t="s">
        <v>215</v>
      </c>
      <c r="C48" s="227" t="s">
        <v>694</v>
      </c>
      <c r="D48" s="228">
        <v>400</v>
      </c>
      <c r="E48" s="231">
        <v>1759.4</v>
      </c>
      <c r="F48" s="231">
        <v>1721.8</v>
      </c>
      <c r="G48" s="228">
        <v>37.6</v>
      </c>
      <c r="H48" s="229">
        <v>2.18E-2</v>
      </c>
      <c r="I48" s="231">
        <v>1753.1</v>
      </c>
      <c r="J48" s="231">
        <v>1712.2</v>
      </c>
      <c r="K48" s="228">
        <v>40.9</v>
      </c>
      <c r="L48" s="229">
        <v>2.3900000000000001E-2</v>
      </c>
      <c r="M48" s="231">
        <v>1759.4</v>
      </c>
      <c r="N48" s="231">
        <v>1721.8</v>
      </c>
      <c r="O48" s="228">
        <v>37.6</v>
      </c>
      <c r="P48" s="229">
        <v>2.18E-2</v>
      </c>
      <c r="Q48" s="231">
        <v>1760.3</v>
      </c>
      <c r="R48" s="231">
        <v>1729.2</v>
      </c>
      <c r="S48" s="228">
        <v>31.1</v>
      </c>
      <c r="T48" s="229">
        <v>1.7999999999999999E-2</v>
      </c>
      <c r="U48" s="231">
        <v>1767.8</v>
      </c>
      <c r="V48" s="231">
        <v>1725</v>
      </c>
      <c r="W48" s="228">
        <v>42.8</v>
      </c>
      <c r="X48" s="229">
        <v>2.4799999999999999E-2</v>
      </c>
      <c r="Y48" s="228">
        <v>6.3</v>
      </c>
      <c r="Z48" s="228">
        <v>9.6</v>
      </c>
      <c r="AA48" s="228">
        <v>-3.3</v>
      </c>
      <c r="AB48" s="229">
        <v>3.5999999999999999E-3</v>
      </c>
      <c r="AC48" s="228">
        <v>6.3</v>
      </c>
      <c r="AD48" s="228">
        <v>9.6</v>
      </c>
      <c r="AE48" s="228">
        <v>-3.3</v>
      </c>
      <c r="AF48" s="229">
        <v>3.5999999999999999E-3</v>
      </c>
      <c r="AG48" s="228">
        <v>7.2</v>
      </c>
      <c r="AH48" s="228">
        <v>17</v>
      </c>
      <c r="AI48" s="228">
        <v>-9.8000000000000007</v>
      </c>
      <c r="AJ48" s="229">
        <v>4.1000000000000003E-3</v>
      </c>
      <c r="AK48" s="228">
        <v>14.7</v>
      </c>
      <c r="AL48" s="228">
        <v>12.8</v>
      </c>
      <c r="AM48" s="228">
        <v>1.9</v>
      </c>
      <c r="AN48" s="229">
        <v>8.3999999999999995E-3</v>
      </c>
      <c r="AO48" s="231">
        <v>1756.2</v>
      </c>
      <c r="AP48" s="231">
        <v>1761.77</v>
      </c>
      <c r="AQ48" s="228">
        <v>0</v>
      </c>
      <c r="AR48" s="230">
        <v>767600</v>
      </c>
      <c r="AS48" s="230">
        <v>517600</v>
      </c>
      <c r="AT48" s="230">
        <v>250000</v>
      </c>
      <c r="AU48" s="229">
        <v>0.48299999999999998</v>
      </c>
      <c r="AV48" s="230">
        <v>706800</v>
      </c>
      <c r="AW48" s="230">
        <v>495200</v>
      </c>
      <c r="AX48" s="230">
        <v>211600</v>
      </c>
      <c r="AY48" s="229">
        <v>0.42730000000000001</v>
      </c>
      <c r="AZ48" s="230">
        <v>56000</v>
      </c>
      <c r="BA48" s="230">
        <v>18400</v>
      </c>
      <c r="BB48" s="230">
        <v>37600</v>
      </c>
      <c r="BC48" s="229">
        <v>2.0434999999999999</v>
      </c>
      <c r="BD48" s="230">
        <v>4800</v>
      </c>
      <c r="BE48" s="230">
        <v>4000</v>
      </c>
      <c r="BF48" s="228">
        <v>800</v>
      </c>
      <c r="BG48" s="229">
        <v>0.2</v>
      </c>
      <c r="BH48" s="230">
        <v>2447200</v>
      </c>
      <c r="BI48" s="230">
        <v>700000</v>
      </c>
      <c r="BJ48" s="230">
        <v>1747200</v>
      </c>
      <c r="BK48" s="229">
        <v>2.496</v>
      </c>
      <c r="BL48" s="230">
        <v>547200</v>
      </c>
      <c r="BM48" s="230">
        <v>259200</v>
      </c>
      <c r="BN48" s="230">
        <v>288000</v>
      </c>
      <c r="BO48" s="229">
        <v>1.1111</v>
      </c>
      <c r="BP48" s="230">
        <v>3762000</v>
      </c>
      <c r="BQ48" s="230">
        <v>1476800</v>
      </c>
      <c r="BR48" s="230">
        <v>2285200</v>
      </c>
      <c r="BS48" s="229">
        <v>1.5474000000000001</v>
      </c>
      <c r="BT48" s="230">
        <v>2244041</v>
      </c>
      <c r="BU48" s="230">
        <v>1376640</v>
      </c>
      <c r="BV48" s="230">
        <v>867401</v>
      </c>
      <c r="BW48" s="229">
        <v>0.63009999999999999</v>
      </c>
      <c r="BX48" s="230">
        <v>2506000</v>
      </c>
      <c r="BY48" s="230">
        <v>2521600</v>
      </c>
      <c r="BZ48" s="230">
        <v>-15600</v>
      </c>
      <c r="CA48" s="229">
        <v>-6.1999999999999998E-3</v>
      </c>
      <c r="CB48" s="230">
        <v>2418800</v>
      </c>
      <c r="CC48" s="230">
        <v>2424000</v>
      </c>
      <c r="CD48" s="230">
        <v>-5200</v>
      </c>
      <c r="CE48" s="229">
        <v>-2.0999999999999999E-3</v>
      </c>
      <c r="CF48" s="230">
        <v>76800</v>
      </c>
      <c r="CG48" s="230">
        <v>87600</v>
      </c>
      <c r="CH48" s="230">
        <v>-10800</v>
      </c>
      <c r="CI48" s="229">
        <v>-0.12330000000000001</v>
      </c>
      <c r="CJ48" s="230">
        <v>10400</v>
      </c>
      <c r="CK48" s="230">
        <v>10000</v>
      </c>
      <c r="CL48" s="228">
        <v>400</v>
      </c>
      <c r="CM48" s="229">
        <v>0.04</v>
      </c>
      <c r="CN48" s="230">
        <v>1327200</v>
      </c>
      <c r="CO48" s="230">
        <v>1215600</v>
      </c>
      <c r="CP48" s="230">
        <v>111600</v>
      </c>
      <c r="CQ48" s="229">
        <v>9.1800000000000007E-2</v>
      </c>
      <c r="CR48" s="230">
        <v>897200</v>
      </c>
      <c r="CS48" s="230">
        <v>840800</v>
      </c>
      <c r="CT48" s="230">
        <v>56400</v>
      </c>
      <c r="CU48" s="229">
        <v>6.7100000000000007E-2</v>
      </c>
      <c r="CV48" s="230">
        <v>4730400</v>
      </c>
      <c r="CW48" s="230">
        <v>4578000</v>
      </c>
      <c r="CX48" s="230">
        <v>152400</v>
      </c>
      <c r="CY48" s="229">
        <v>3.3300000000000003E-2</v>
      </c>
      <c r="CZ48" s="228">
        <v>49.4</v>
      </c>
      <c r="DA48" s="228">
        <v>49.32</v>
      </c>
      <c r="DB48" s="228">
        <v>0.08</v>
      </c>
      <c r="DC48" s="228">
        <v>0.08</v>
      </c>
      <c r="DD48" s="228">
        <v>54.25</v>
      </c>
      <c r="DE48" s="228">
        <v>54.29</v>
      </c>
      <c r="DF48" s="228">
        <v>-4.8499999999999996</v>
      </c>
      <c r="DG48" s="228">
        <v>-0.04</v>
      </c>
      <c r="DH48" s="228">
        <v>49.44</v>
      </c>
      <c r="DI48" s="228">
        <v>49.23</v>
      </c>
      <c r="DJ48" s="228">
        <v>0.21</v>
      </c>
      <c r="DK48" s="228">
        <v>0.21</v>
      </c>
      <c r="DL48" s="228">
        <v>49.24</v>
      </c>
      <c r="DM48" s="228">
        <v>49.58</v>
      </c>
      <c r="DN48" s="228">
        <v>-0.34</v>
      </c>
      <c r="DO48" s="228">
        <v>-0.34</v>
      </c>
      <c r="DP48" s="228">
        <v>0.68</v>
      </c>
      <c r="DQ48" s="228">
        <v>0.69</v>
      </c>
      <c r="DR48" s="228">
        <v>-0.01</v>
      </c>
      <c r="DS48" s="229">
        <v>-1.4500000000000001E-2</v>
      </c>
      <c r="DT48" s="231">
        <v>1900</v>
      </c>
      <c r="DU48" s="231">
        <v>1600</v>
      </c>
      <c r="DV48" s="228">
        <v>0.22</v>
      </c>
      <c r="DW48" s="228">
        <v>0.37</v>
      </c>
      <c r="DX48" s="228">
        <v>-0.15</v>
      </c>
      <c r="DY48" s="229">
        <v>-0.40539999999999998</v>
      </c>
      <c r="DZ48" s="229">
        <v>3.4799999999999998E-2</v>
      </c>
      <c r="EA48" s="230">
        <v>97600</v>
      </c>
      <c r="EB48" s="229">
        <v>5.0000000000000001E-4</v>
      </c>
      <c r="EC48" s="229">
        <v>3.4799999999999998E-2</v>
      </c>
      <c r="ED48" s="228">
        <v>5.57</v>
      </c>
      <c r="EE48" s="229">
        <v>3.2000000000000002E-3</v>
      </c>
      <c r="EF48" s="230">
        <v>629830</v>
      </c>
      <c r="EG48" s="230">
        <v>349050</v>
      </c>
      <c r="EH48" s="229">
        <v>0.8044</v>
      </c>
      <c r="EI48" s="229">
        <v>0.28070000000000001</v>
      </c>
      <c r="EJ48" s="231">
        <v>45591.5</v>
      </c>
      <c r="EK48" s="231">
        <v>9289.9699999999993</v>
      </c>
      <c r="EL48" s="231">
        <v>13483.85</v>
      </c>
      <c r="EM48" s="231">
        <v>3055</v>
      </c>
      <c r="EN48" s="231">
        <v>68365.320000000007</v>
      </c>
      <c r="EO48" s="231">
        <v>25977.98</v>
      </c>
      <c r="EP48" s="231">
        <v>42387.34</v>
      </c>
      <c r="EQ48" s="229">
        <v>1.6316999999999999</v>
      </c>
      <c r="ER48" s="231">
        <v>23716</v>
      </c>
      <c r="ES48" s="231">
        <v>14403</v>
      </c>
      <c r="ET48" s="231">
        <v>44092</v>
      </c>
      <c r="EU48" s="231">
        <v>12661431</v>
      </c>
      <c r="EV48" s="231">
        <v>82211</v>
      </c>
      <c r="EW48" s="231">
        <v>78499</v>
      </c>
      <c r="EX48" s="231">
        <v>3712</v>
      </c>
      <c r="EY48" s="229">
        <v>4.7300000000000002E-2</v>
      </c>
      <c r="EZ48" s="229">
        <v>0.37359999999999999</v>
      </c>
      <c r="FA48" s="227" t="s">
        <v>691</v>
      </c>
      <c r="FB48" s="161">
        <f t="shared" si="0"/>
        <v>87200</v>
      </c>
    </row>
    <row r="49" spans="1:158" ht="17.25" thickBot="1" x14ac:dyDescent="0.3">
      <c r="A49" s="226">
        <v>46148</v>
      </c>
      <c r="B49" s="227" t="s">
        <v>221</v>
      </c>
      <c r="C49" s="227" t="s">
        <v>470</v>
      </c>
      <c r="D49" s="228">
        <v>375</v>
      </c>
      <c r="E49" s="231">
        <v>1289.3</v>
      </c>
      <c r="F49" s="231">
        <v>1168.5999999999999</v>
      </c>
      <c r="G49" s="228">
        <v>120.7</v>
      </c>
      <c r="H49" s="229">
        <v>0.1033</v>
      </c>
      <c r="I49" s="231">
        <v>1280.4000000000001</v>
      </c>
      <c r="J49" s="231">
        <v>1168.8</v>
      </c>
      <c r="K49" s="228">
        <v>111.6</v>
      </c>
      <c r="L49" s="229">
        <v>9.5500000000000002E-2</v>
      </c>
      <c r="M49" s="231">
        <v>1289.3</v>
      </c>
      <c r="N49" s="231">
        <v>1168.5999999999999</v>
      </c>
      <c r="O49" s="228">
        <v>120.7</v>
      </c>
      <c r="P49" s="229">
        <v>0.1033</v>
      </c>
      <c r="Q49" s="231">
        <v>1292.7</v>
      </c>
      <c r="R49" s="231">
        <v>1173.5999999999999</v>
      </c>
      <c r="S49" s="228">
        <v>119.1</v>
      </c>
      <c r="T49" s="229">
        <v>0.10150000000000001</v>
      </c>
      <c r="U49" s="231">
        <v>1297</v>
      </c>
      <c r="V49" s="231">
        <v>1178.4000000000001</v>
      </c>
      <c r="W49" s="228">
        <v>118.6</v>
      </c>
      <c r="X49" s="229">
        <v>0.10059999999999999</v>
      </c>
      <c r="Y49" s="228">
        <v>8.9</v>
      </c>
      <c r="Z49" s="228">
        <v>-0.2</v>
      </c>
      <c r="AA49" s="228">
        <v>9.1</v>
      </c>
      <c r="AB49" s="229">
        <v>7.0000000000000001E-3</v>
      </c>
      <c r="AC49" s="228">
        <v>8.9</v>
      </c>
      <c r="AD49" s="228">
        <v>-0.2</v>
      </c>
      <c r="AE49" s="228">
        <v>9.1</v>
      </c>
      <c r="AF49" s="229">
        <v>7.0000000000000001E-3</v>
      </c>
      <c r="AG49" s="228">
        <v>12.3</v>
      </c>
      <c r="AH49" s="228">
        <v>4.8</v>
      </c>
      <c r="AI49" s="228">
        <v>7.5</v>
      </c>
      <c r="AJ49" s="229">
        <v>9.5999999999999992E-3</v>
      </c>
      <c r="AK49" s="228">
        <v>16.600000000000001</v>
      </c>
      <c r="AL49" s="228">
        <v>9.6</v>
      </c>
      <c r="AM49" s="228">
        <v>7</v>
      </c>
      <c r="AN49" s="229">
        <v>1.2999999999999999E-2</v>
      </c>
      <c r="AO49" s="231">
        <v>1278.46</v>
      </c>
      <c r="AP49" s="231">
        <v>1282.47</v>
      </c>
      <c r="AQ49" s="228">
        <v>0</v>
      </c>
      <c r="AR49" s="230">
        <v>14543625</v>
      </c>
      <c r="AS49" s="230">
        <v>2612625</v>
      </c>
      <c r="AT49" s="230">
        <v>11931000</v>
      </c>
      <c r="AU49" s="229">
        <v>4.5667</v>
      </c>
      <c r="AV49" s="230">
        <v>13516500</v>
      </c>
      <c r="AW49" s="230">
        <v>2454375</v>
      </c>
      <c r="AX49" s="230">
        <v>11062125</v>
      </c>
      <c r="AY49" s="229">
        <v>4.5071000000000003</v>
      </c>
      <c r="AZ49" s="230">
        <v>913875</v>
      </c>
      <c r="BA49" s="230">
        <v>138000</v>
      </c>
      <c r="BB49" s="230">
        <v>775875</v>
      </c>
      <c r="BC49" s="229">
        <v>5.6223000000000001</v>
      </c>
      <c r="BD49" s="230">
        <v>113250</v>
      </c>
      <c r="BE49" s="230">
        <v>20250</v>
      </c>
      <c r="BF49" s="230">
        <v>93000</v>
      </c>
      <c r="BG49" s="229">
        <v>4.5926</v>
      </c>
      <c r="BH49" s="230">
        <v>78446250</v>
      </c>
      <c r="BI49" s="230">
        <v>10628250</v>
      </c>
      <c r="BJ49" s="230">
        <v>67818000</v>
      </c>
      <c r="BK49" s="229">
        <v>6.3808999999999996</v>
      </c>
      <c r="BL49" s="230">
        <v>41774250</v>
      </c>
      <c r="BM49" s="230">
        <v>5711250</v>
      </c>
      <c r="BN49" s="230">
        <v>36063000</v>
      </c>
      <c r="BO49" s="229">
        <v>6.3144</v>
      </c>
      <c r="BP49" s="230">
        <v>134764125</v>
      </c>
      <c r="BQ49" s="230">
        <v>18952125</v>
      </c>
      <c r="BR49" s="230">
        <v>115812000</v>
      </c>
      <c r="BS49" s="229">
        <v>6.1108000000000002</v>
      </c>
      <c r="BT49" s="230">
        <v>28205999</v>
      </c>
      <c r="BU49" s="230">
        <v>1720978</v>
      </c>
      <c r="BV49" s="230">
        <v>26485021</v>
      </c>
      <c r="BW49" s="229">
        <v>15.3895</v>
      </c>
      <c r="BX49" s="230">
        <v>20869150</v>
      </c>
      <c r="BY49" s="230">
        <v>18836300</v>
      </c>
      <c r="BZ49" s="230">
        <v>2032850</v>
      </c>
      <c r="CA49" s="229">
        <v>0.1079</v>
      </c>
      <c r="CB49" s="230">
        <v>20149500</v>
      </c>
      <c r="CC49" s="230">
        <v>18253125</v>
      </c>
      <c r="CD49" s="230">
        <v>1896375</v>
      </c>
      <c r="CE49" s="229">
        <v>0.10390000000000001</v>
      </c>
      <c r="CF49" s="230">
        <v>653625</v>
      </c>
      <c r="CG49" s="230">
        <v>550875</v>
      </c>
      <c r="CH49" s="230">
        <v>102750</v>
      </c>
      <c r="CI49" s="229">
        <v>0.1865</v>
      </c>
      <c r="CJ49" s="230">
        <v>66025</v>
      </c>
      <c r="CK49" s="230">
        <v>32300</v>
      </c>
      <c r="CL49" s="230">
        <v>33725</v>
      </c>
      <c r="CM49" s="229">
        <v>1.0441</v>
      </c>
      <c r="CN49" s="230">
        <v>9934125</v>
      </c>
      <c r="CO49" s="230">
        <v>7561500</v>
      </c>
      <c r="CP49" s="230">
        <v>2372625</v>
      </c>
      <c r="CQ49" s="229">
        <v>0.31380000000000002</v>
      </c>
      <c r="CR49" s="230">
        <v>7411975</v>
      </c>
      <c r="CS49" s="230">
        <v>4426500</v>
      </c>
      <c r="CT49" s="230">
        <v>2985475</v>
      </c>
      <c r="CU49" s="229">
        <v>0.67449999999999999</v>
      </c>
      <c r="CV49" s="230">
        <v>38215250</v>
      </c>
      <c r="CW49" s="230">
        <v>30824300</v>
      </c>
      <c r="CX49" s="230">
        <v>7390950</v>
      </c>
      <c r="CY49" s="229">
        <v>0.23980000000000001</v>
      </c>
      <c r="CZ49" s="228">
        <v>34.86</v>
      </c>
      <c r="DA49" s="228">
        <v>47.59</v>
      </c>
      <c r="DB49" s="228">
        <v>-12.73</v>
      </c>
      <c r="DC49" s="228">
        <v>-12.73</v>
      </c>
      <c r="DD49" s="228">
        <v>45.62</v>
      </c>
      <c r="DE49" s="228">
        <v>44.04</v>
      </c>
      <c r="DF49" s="228">
        <v>-10.76</v>
      </c>
      <c r="DG49" s="228">
        <v>1.58</v>
      </c>
      <c r="DH49" s="228">
        <v>34.44</v>
      </c>
      <c r="DI49" s="228">
        <v>47.29</v>
      </c>
      <c r="DJ49" s="228">
        <v>-12.85</v>
      </c>
      <c r="DK49" s="228">
        <v>-12.85</v>
      </c>
      <c r="DL49" s="228">
        <v>35.64</v>
      </c>
      <c r="DM49" s="228">
        <v>48.13</v>
      </c>
      <c r="DN49" s="228">
        <v>-12.49</v>
      </c>
      <c r="DO49" s="228">
        <v>-12.49</v>
      </c>
      <c r="DP49" s="228">
        <v>0.75</v>
      </c>
      <c r="DQ49" s="228">
        <v>0.59</v>
      </c>
      <c r="DR49" s="228">
        <v>0.16</v>
      </c>
      <c r="DS49" s="229">
        <v>0.2712</v>
      </c>
      <c r="DT49" s="231">
        <v>1300</v>
      </c>
      <c r="DU49" s="231">
        <v>1200</v>
      </c>
      <c r="DV49" s="228">
        <v>0.53</v>
      </c>
      <c r="DW49" s="228">
        <v>0.54</v>
      </c>
      <c r="DX49" s="228">
        <v>-0.01</v>
      </c>
      <c r="DY49" s="229">
        <v>-1.8499999999999999E-2</v>
      </c>
      <c r="DZ49" s="229">
        <v>3.4500000000000003E-2</v>
      </c>
      <c r="EA49" s="230">
        <v>583175</v>
      </c>
      <c r="EB49" s="229">
        <v>2.5999999999999999E-3</v>
      </c>
      <c r="EC49" s="229">
        <v>3.4500000000000003E-2</v>
      </c>
      <c r="ED49" s="228">
        <v>4.01</v>
      </c>
      <c r="EE49" s="229">
        <v>3.0999999999999999E-3</v>
      </c>
      <c r="EF49" s="230">
        <v>7828495</v>
      </c>
      <c r="EG49" s="230">
        <v>511494</v>
      </c>
      <c r="EH49" s="229">
        <v>14.305199999999999</v>
      </c>
      <c r="EI49" s="229">
        <v>0.27750000000000002</v>
      </c>
      <c r="EJ49" s="231">
        <v>1061757.4399999999</v>
      </c>
      <c r="EK49" s="231">
        <v>516105.54</v>
      </c>
      <c r="EL49" s="231">
        <v>186371.44</v>
      </c>
      <c r="EM49" s="231">
        <v>5920</v>
      </c>
      <c r="EN49" s="231">
        <v>1764234.42</v>
      </c>
      <c r="EO49" s="231">
        <v>230818.28</v>
      </c>
      <c r="EP49" s="231">
        <v>1533416.14</v>
      </c>
      <c r="EQ49" s="229">
        <v>6.6433999999999997</v>
      </c>
      <c r="ER49" s="231">
        <v>129215</v>
      </c>
      <c r="ES49" s="231">
        <v>89530</v>
      </c>
      <c r="ET49" s="231">
        <v>269093</v>
      </c>
      <c r="EU49" s="231">
        <v>50256271</v>
      </c>
      <c r="EV49" s="231">
        <v>487838</v>
      </c>
      <c r="EW49" s="231">
        <v>367108</v>
      </c>
      <c r="EX49" s="231">
        <v>120730</v>
      </c>
      <c r="EY49" s="229">
        <v>0.32890000000000003</v>
      </c>
      <c r="EZ49" s="229">
        <v>0.76039999999999996</v>
      </c>
      <c r="FA49" s="227" t="s">
        <v>555</v>
      </c>
      <c r="FB49" s="161">
        <f t="shared" si="0"/>
        <v>719650</v>
      </c>
    </row>
    <row r="50" spans="1:158" ht="17.25" thickBot="1" x14ac:dyDescent="0.3">
      <c r="A50" s="226">
        <v>46148</v>
      </c>
      <c r="B50" s="227" t="s">
        <v>168</v>
      </c>
      <c r="C50" s="227" t="s">
        <v>201</v>
      </c>
      <c r="D50" s="228">
        <v>225</v>
      </c>
      <c r="E50" s="231">
        <v>2164.6</v>
      </c>
      <c r="F50" s="231">
        <v>2174.5</v>
      </c>
      <c r="G50" s="228">
        <v>-9.9</v>
      </c>
      <c r="H50" s="229">
        <v>-4.5999999999999999E-3</v>
      </c>
      <c r="I50" s="231">
        <v>2157.1</v>
      </c>
      <c r="J50" s="231">
        <v>2178.9</v>
      </c>
      <c r="K50" s="228">
        <v>-21.8</v>
      </c>
      <c r="L50" s="229">
        <v>-0.01</v>
      </c>
      <c r="M50" s="231">
        <v>2164.6</v>
      </c>
      <c r="N50" s="231">
        <v>2174.5</v>
      </c>
      <c r="O50" s="228">
        <v>-9.9</v>
      </c>
      <c r="P50" s="229">
        <v>-4.5999999999999999E-3</v>
      </c>
      <c r="Q50" s="231">
        <v>2160.5</v>
      </c>
      <c r="R50" s="231">
        <v>2167.5</v>
      </c>
      <c r="S50" s="228">
        <v>-7</v>
      </c>
      <c r="T50" s="229">
        <v>-3.2000000000000002E-3</v>
      </c>
      <c r="U50" s="231">
        <v>2171.4</v>
      </c>
      <c r="V50" s="231">
        <v>2179.1</v>
      </c>
      <c r="W50" s="228">
        <v>-7.7</v>
      </c>
      <c r="X50" s="229">
        <v>-3.5000000000000001E-3</v>
      </c>
      <c r="Y50" s="228">
        <v>7.5</v>
      </c>
      <c r="Z50" s="228">
        <v>-4.4000000000000004</v>
      </c>
      <c r="AA50" s="228">
        <v>11.9</v>
      </c>
      <c r="AB50" s="229">
        <v>3.5000000000000001E-3</v>
      </c>
      <c r="AC50" s="228">
        <v>7.5</v>
      </c>
      <c r="AD50" s="228">
        <v>-4.4000000000000004</v>
      </c>
      <c r="AE50" s="228">
        <v>11.9</v>
      </c>
      <c r="AF50" s="229">
        <v>3.5000000000000001E-3</v>
      </c>
      <c r="AG50" s="228">
        <v>3.4</v>
      </c>
      <c r="AH50" s="228">
        <v>-11.4</v>
      </c>
      <c r="AI50" s="228">
        <v>14.8</v>
      </c>
      <c r="AJ50" s="229">
        <v>1.6000000000000001E-3</v>
      </c>
      <c r="AK50" s="228">
        <v>14.3</v>
      </c>
      <c r="AL50" s="228">
        <v>0.2</v>
      </c>
      <c r="AM50" s="228">
        <v>14.1</v>
      </c>
      <c r="AN50" s="229">
        <v>6.6E-3</v>
      </c>
      <c r="AO50" s="231">
        <v>2163.94</v>
      </c>
      <c r="AP50" s="231">
        <v>2156.7600000000002</v>
      </c>
      <c r="AQ50" s="228">
        <v>0</v>
      </c>
      <c r="AR50" s="230">
        <v>430875</v>
      </c>
      <c r="AS50" s="230">
        <v>534825</v>
      </c>
      <c r="AT50" s="230">
        <v>-103950</v>
      </c>
      <c r="AU50" s="229">
        <v>-0.19439999999999999</v>
      </c>
      <c r="AV50" s="230">
        <v>397125</v>
      </c>
      <c r="AW50" s="230">
        <v>473625</v>
      </c>
      <c r="AX50" s="230">
        <v>-76500</v>
      </c>
      <c r="AY50" s="229">
        <v>-0.1615</v>
      </c>
      <c r="AZ50" s="230">
        <v>31500</v>
      </c>
      <c r="BA50" s="230">
        <v>58050</v>
      </c>
      <c r="BB50" s="230">
        <v>-26550</v>
      </c>
      <c r="BC50" s="229">
        <v>-0.45739999999999997</v>
      </c>
      <c r="BD50" s="230">
        <v>2250</v>
      </c>
      <c r="BE50" s="230">
        <v>3150</v>
      </c>
      <c r="BF50" s="228">
        <v>-900</v>
      </c>
      <c r="BG50" s="229">
        <v>-0.28570000000000001</v>
      </c>
      <c r="BH50" s="230">
        <v>1086075</v>
      </c>
      <c r="BI50" s="230">
        <v>1269900</v>
      </c>
      <c r="BJ50" s="230">
        <v>-183825</v>
      </c>
      <c r="BK50" s="229">
        <v>-0.14480000000000001</v>
      </c>
      <c r="BL50" s="230">
        <v>393075</v>
      </c>
      <c r="BM50" s="230">
        <v>386100</v>
      </c>
      <c r="BN50" s="230">
        <v>6975</v>
      </c>
      <c r="BO50" s="229">
        <v>1.8100000000000002E-2</v>
      </c>
      <c r="BP50" s="230">
        <v>1910025</v>
      </c>
      <c r="BQ50" s="230">
        <v>2190825</v>
      </c>
      <c r="BR50" s="230">
        <v>-280800</v>
      </c>
      <c r="BS50" s="229">
        <v>-0.12820000000000001</v>
      </c>
      <c r="BT50" s="230">
        <v>222396</v>
      </c>
      <c r="BU50" s="230">
        <v>309323</v>
      </c>
      <c r="BV50" s="230">
        <v>-86927</v>
      </c>
      <c r="BW50" s="229">
        <v>-0.28100000000000003</v>
      </c>
      <c r="BX50" s="230">
        <v>5006950</v>
      </c>
      <c r="BY50" s="230">
        <v>5051750</v>
      </c>
      <c r="BZ50" s="230">
        <v>-44800</v>
      </c>
      <c r="CA50" s="229">
        <v>-8.8999999999999999E-3</v>
      </c>
      <c r="CB50" s="230">
        <v>4825800</v>
      </c>
      <c r="CC50" s="230">
        <v>4880025</v>
      </c>
      <c r="CD50" s="230">
        <v>-54225</v>
      </c>
      <c r="CE50" s="229">
        <v>-1.11E-2</v>
      </c>
      <c r="CF50" s="230">
        <v>169875</v>
      </c>
      <c r="CG50" s="230">
        <v>161550</v>
      </c>
      <c r="CH50" s="230">
        <v>8325</v>
      </c>
      <c r="CI50" s="229">
        <v>5.1499999999999997E-2</v>
      </c>
      <c r="CJ50" s="230">
        <v>11275</v>
      </c>
      <c r="CK50" s="230">
        <v>10175</v>
      </c>
      <c r="CL50" s="230">
        <v>1100</v>
      </c>
      <c r="CM50" s="229">
        <v>0.1081</v>
      </c>
      <c r="CN50" s="230">
        <v>1327725</v>
      </c>
      <c r="CO50" s="230">
        <v>1247175</v>
      </c>
      <c r="CP50" s="230">
        <v>80550</v>
      </c>
      <c r="CQ50" s="229">
        <v>6.4600000000000005E-2</v>
      </c>
      <c r="CR50" s="230">
        <v>909450</v>
      </c>
      <c r="CS50" s="230">
        <v>861525</v>
      </c>
      <c r="CT50" s="230">
        <v>47925</v>
      </c>
      <c r="CU50" s="229">
        <v>5.5599999999999997E-2</v>
      </c>
      <c r="CV50" s="230">
        <v>7244125</v>
      </c>
      <c r="CW50" s="230">
        <v>7160450</v>
      </c>
      <c r="CX50" s="230">
        <v>83675</v>
      </c>
      <c r="CY50" s="229">
        <v>1.17E-2</v>
      </c>
      <c r="CZ50" s="228">
        <v>28.87</v>
      </c>
      <c r="DA50" s="228">
        <v>30.46</v>
      </c>
      <c r="DB50" s="228">
        <v>-1.59</v>
      </c>
      <c r="DC50" s="228">
        <v>-1.59</v>
      </c>
      <c r="DD50" s="228">
        <v>30.53</v>
      </c>
      <c r="DE50" s="228">
        <v>30.6</v>
      </c>
      <c r="DF50" s="228">
        <v>-1.66</v>
      </c>
      <c r="DG50" s="228">
        <v>-7.0000000000000007E-2</v>
      </c>
      <c r="DH50" s="228">
        <v>28.82</v>
      </c>
      <c r="DI50" s="228">
        <v>30.34</v>
      </c>
      <c r="DJ50" s="228">
        <v>-1.52</v>
      </c>
      <c r="DK50" s="228">
        <v>-1.52</v>
      </c>
      <c r="DL50" s="228">
        <v>29.02</v>
      </c>
      <c r="DM50" s="228">
        <v>30.86</v>
      </c>
      <c r="DN50" s="228">
        <v>-1.84</v>
      </c>
      <c r="DO50" s="228">
        <v>-1.84</v>
      </c>
      <c r="DP50" s="228">
        <v>0.68</v>
      </c>
      <c r="DQ50" s="228">
        <v>0.69</v>
      </c>
      <c r="DR50" s="228">
        <v>-0.01</v>
      </c>
      <c r="DS50" s="229">
        <v>-1.4500000000000001E-2</v>
      </c>
      <c r="DT50" s="231">
        <v>2200</v>
      </c>
      <c r="DU50" s="231">
        <v>2100</v>
      </c>
      <c r="DV50" s="228">
        <v>0.36</v>
      </c>
      <c r="DW50" s="228">
        <v>0.3</v>
      </c>
      <c r="DX50" s="228">
        <v>0.06</v>
      </c>
      <c r="DY50" s="229">
        <v>0.2</v>
      </c>
      <c r="DZ50" s="229">
        <v>3.6200000000000003E-2</v>
      </c>
      <c r="EA50" s="230">
        <v>171725</v>
      </c>
      <c r="EB50" s="229">
        <v>-1.9E-3</v>
      </c>
      <c r="EC50" s="229">
        <v>3.6200000000000003E-2</v>
      </c>
      <c r="ED50" s="228">
        <v>-7.18</v>
      </c>
      <c r="EE50" s="229">
        <v>-3.3E-3</v>
      </c>
      <c r="EF50" s="230">
        <v>115747</v>
      </c>
      <c r="EG50" s="230">
        <v>132762</v>
      </c>
      <c r="EH50" s="229">
        <v>-0.12820000000000001</v>
      </c>
      <c r="EI50" s="229">
        <v>0.52049999999999996</v>
      </c>
      <c r="EJ50" s="231">
        <v>24783.65</v>
      </c>
      <c r="EK50" s="231">
        <v>8505.2900000000009</v>
      </c>
      <c r="EL50" s="231">
        <v>9332.6299999999992</v>
      </c>
      <c r="EM50" s="231">
        <v>3724</v>
      </c>
      <c r="EN50" s="231">
        <v>42621.57</v>
      </c>
      <c r="EO50" s="231">
        <v>48806.04</v>
      </c>
      <c r="EP50" s="231">
        <v>-6184.47</v>
      </c>
      <c r="EQ50" s="229">
        <v>-0.12670000000000001</v>
      </c>
      <c r="ER50" s="231">
        <v>29518</v>
      </c>
      <c r="ES50" s="231">
        <v>18983</v>
      </c>
      <c r="ET50" s="231">
        <v>108374</v>
      </c>
      <c r="EU50" s="231">
        <v>19054573</v>
      </c>
      <c r="EV50" s="231">
        <v>156876</v>
      </c>
      <c r="EW50" s="231">
        <v>155459</v>
      </c>
      <c r="EX50" s="231">
        <v>1417</v>
      </c>
      <c r="EY50" s="229">
        <v>9.1000000000000004E-3</v>
      </c>
      <c r="EZ50" s="229">
        <v>0.38019999999999998</v>
      </c>
      <c r="FA50" s="227" t="s">
        <v>567</v>
      </c>
      <c r="FB50" s="161">
        <f t="shared" si="0"/>
        <v>181150</v>
      </c>
    </row>
    <row r="51" spans="1:158" ht="17.25" thickBot="1" x14ac:dyDescent="0.3">
      <c r="A51" s="226">
        <v>46148</v>
      </c>
      <c r="B51" s="227" t="s">
        <v>215</v>
      </c>
      <c r="C51" s="227" t="s">
        <v>202</v>
      </c>
      <c r="D51" s="228">
        <v>1250</v>
      </c>
      <c r="E51" s="228">
        <v>527.6</v>
      </c>
      <c r="F51" s="228">
        <v>520.15</v>
      </c>
      <c r="G51" s="228">
        <v>7.45</v>
      </c>
      <c r="H51" s="229">
        <v>1.43E-2</v>
      </c>
      <c r="I51" s="228">
        <v>524.20000000000005</v>
      </c>
      <c r="J51" s="228">
        <v>518.04999999999995</v>
      </c>
      <c r="K51" s="228">
        <v>6.15</v>
      </c>
      <c r="L51" s="229">
        <v>1.1900000000000001E-2</v>
      </c>
      <c r="M51" s="228">
        <v>527.6</v>
      </c>
      <c r="N51" s="228">
        <v>520.15</v>
      </c>
      <c r="O51" s="228">
        <v>7.45</v>
      </c>
      <c r="P51" s="229">
        <v>1.43E-2</v>
      </c>
      <c r="Q51" s="228">
        <v>530.15</v>
      </c>
      <c r="R51" s="228">
        <v>523.79999999999995</v>
      </c>
      <c r="S51" s="228">
        <v>6.35</v>
      </c>
      <c r="T51" s="229">
        <v>1.21E-2</v>
      </c>
      <c r="U51" s="228">
        <v>531.9</v>
      </c>
      <c r="V51" s="228">
        <v>525</v>
      </c>
      <c r="W51" s="228">
        <v>6.9</v>
      </c>
      <c r="X51" s="229">
        <v>1.3100000000000001E-2</v>
      </c>
      <c r="Y51" s="228">
        <v>3.4</v>
      </c>
      <c r="Z51" s="228">
        <v>2.1</v>
      </c>
      <c r="AA51" s="228">
        <v>1.3</v>
      </c>
      <c r="AB51" s="229">
        <v>6.4999999999999997E-3</v>
      </c>
      <c r="AC51" s="228">
        <v>3.4</v>
      </c>
      <c r="AD51" s="228">
        <v>2.1</v>
      </c>
      <c r="AE51" s="228">
        <v>1.3</v>
      </c>
      <c r="AF51" s="229">
        <v>6.4999999999999997E-3</v>
      </c>
      <c r="AG51" s="228">
        <v>5.95</v>
      </c>
      <c r="AH51" s="228">
        <v>5.75</v>
      </c>
      <c r="AI51" s="228">
        <v>0.2</v>
      </c>
      <c r="AJ51" s="229">
        <v>1.14E-2</v>
      </c>
      <c r="AK51" s="228">
        <v>7.7</v>
      </c>
      <c r="AL51" s="228">
        <v>6.95</v>
      </c>
      <c r="AM51" s="228">
        <v>0.75</v>
      </c>
      <c r="AN51" s="229">
        <v>1.47E-2</v>
      </c>
      <c r="AO51" s="228">
        <v>525.35</v>
      </c>
      <c r="AP51" s="228">
        <v>528.02</v>
      </c>
      <c r="AQ51" s="228">
        <v>0</v>
      </c>
      <c r="AR51" s="230">
        <v>1692500</v>
      </c>
      <c r="AS51" s="230">
        <v>1177500</v>
      </c>
      <c r="AT51" s="230">
        <v>515000</v>
      </c>
      <c r="AU51" s="229">
        <v>0.43740000000000001</v>
      </c>
      <c r="AV51" s="230">
        <v>1591250</v>
      </c>
      <c r="AW51" s="230">
        <v>1103750</v>
      </c>
      <c r="AX51" s="230">
        <v>487500</v>
      </c>
      <c r="AY51" s="229">
        <v>0.44169999999999998</v>
      </c>
      <c r="AZ51" s="230">
        <v>87500</v>
      </c>
      <c r="BA51" s="230">
        <v>71250</v>
      </c>
      <c r="BB51" s="230">
        <v>16250</v>
      </c>
      <c r="BC51" s="229">
        <v>0.2281</v>
      </c>
      <c r="BD51" s="230">
        <v>13750</v>
      </c>
      <c r="BE51" s="230">
        <v>2500</v>
      </c>
      <c r="BF51" s="230">
        <v>11250</v>
      </c>
      <c r="BG51" s="229">
        <v>4.5</v>
      </c>
      <c r="BH51" s="230">
        <v>6432500</v>
      </c>
      <c r="BI51" s="230">
        <v>3285000</v>
      </c>
      <c r="BJ51" s="230">
        <v>3147500</v>
      </c>
      <c r="BK51" s="229">
        <v>0.95809999999999995</v>
      </c>
      <c r="BL51" s="230">
        <v>2015000</v>
      </c>
      <c r="BM51" s="230">
        <v>696250</v>
      </c>
      <c r="BN51" s="230">
        <v>1318750</v>
      </c>
      <c r="BO51" s="229">
        <v>1.8940999999999999</v>
      </c>
      <c r="BP51" s="230">
        <v>10140000</v>
      </c>
      <c r="BQ51" s="230">
        <v>5158750</v>
      </c>
      <c r="BR51" s="230">
        <v>4981250</v>
      </c>
      <c r="BS51" s="229">
        <v>0.96560000000000001</v>
      </c>
      <c r="BT51" s="230">
        <v>980792</v>
      </c>
      <c r="BU51" s="230">
        <v>636754</v>
      </c>
      <c r="BV51" s="230">
        <v>344038</v>
      </c>
      <c r="BW51" s="229">
        <v>0.5403</v>
      </c>
      <c r="BX51" s="230">
        <v>22908750</v>
      </c>
      <c r="BY51" s="230">
        <v>23035000</v>
      </c>
      <c r="BZ51" s="230">
        <v>-126250</v>
      </c>
      <c r="CA51" s="229">
        <v>-5.4999999999999997E-3</v>
      </c>
      <c r="CB51" s="230">
        <v>22383750</v>
      </c>
      <c r="CC51" s="230">
        <v>22530000</v>
      </c>
      <c r="CD51" s="230">
        <v>-146250</v>
      </c>
      <c r="CE51" s="229">
        <v>-6.4999999999999997E-3</v>
      </c>
      <c r="CF51" s="230">
        <v>510000</v>
      </c>
      <c r="CG51" s="230">
        <v>498750</v>
      </c>
      <c r="CH51" s="230">
        <v>11250</v>
      </c>
      <c r="CI51" s="229">
        <v>2.2599999999999999E-2</v>
      </c>
      <c r="CJ51" s="230">
        <v>15000</v>
      </c>
      <c r="CK51" s="230">
        <v>6250</v>
      </c>
      <c r="CL51" s="230">
        <v>8750</v>
      </c>
      <c r="CM51" s="229">
        <v>1.4</v>
      </c>
      <c r="CN51" s="230">
        <v>5721250</v>
      </c>
      <c r="CO51" s="230">
        <v>5191250</v>
      </c>
      <c r="CP51" s="230">
        <v>530000</v>
      </c>
      <c r="CQ51" s="229">
        <v>0.1021</v>
      </c>
      <c r="CR51" s="230">
        <v>4202500</v>
      </c>
      <c r="CS51" s="230">
        <v>3441250</v>
      </c>
      <c r="CT51" s="230">
        <v>761250</v>
      </c>
      <c r="CU51" s="229">
        <v>0.22120000000000001</v>
      </c>
      <c r="CV51" s="230">
        <v>32832500</v>
      </c>
      <c r="CW51" s="230">
        <v>31667500</v>
      </c>
      <c r="CX51" s="230">
        <v>1165000</v>
      </c>
      <c r="CY51" s="229">
        <v>3.6799999999999999E-2</v>
      </c>
      <c r="CZ51" s="228">
        <v>32.31</v>
      </c>
      <c r="DA51" s="228">
        <v>32.54</v>
      </c>
      <c r="DB51" s="228">
        <v>-0.23</v>
      </c>
      <c r="DC51" s="228">
        <v>-0.23</v>
      </c>
      <c r="DD51" s="228">
        <v>34.54</v>
      </c>
      <c r="DE51" s="228">
        <v>34.57</v>
      </c>
      <c r="DF51" s="228">
        <v>-2.23</v>
      </c>
      <c r="DG51" s="228">
        <v>-0.03</v>
      </c>
      <c r="DH51" s="228">
        <v>32.25</v>
      </c>
      <c r="DI51" s="228">
        <v>32.47</v>
      </c>
      <c r="DJ51" s="228">
        <v>-0.22</v>
      </c>
      <c r="DK51" s="228">
        <v>-0.22</v>
      </c>
      <c r="DL51" s="228">
        <v>32.51</v>
      </c>
      <c r="DM51" s="228">
        <v>32.85</v>
      </c>
      <c r="DN51" s="228">
        <v>-0.34</v>
      </c>
      <c r="DO51" s="228">
        <v>-0.34</v>
      </c>
      <c r="DP51" s="228">
        <v>0.73</v>
      </c>
      <c r="DQ51" s="228">
        <v>0.66</v>
      </c>
      <c r="DR51" s="228">
        <v>7.0000000000000007E-2</v>
      </c>
      <c r="DS51" s="229">
        <v>0.1061</v>
      </c>
      <c r="DT51" s="228">
        <v>570</v>
      </c>
      <c r="DU51" s="228">
        <v>550</v>
      </c>
      <c r="DV51" s="228">
        <v>0.31</v>
      </c>
      <c r="DW51" s="228">
        <v>0.21</v>
      </c>
      <c r="DX51" s="228">
        <v>0.1</v>
      </c>
      <c r="DY51" s="229">
        <v>0.47620000000000001</v>
      </c>
      <c r="DZ51" s="229">
        <v>2.29E-2</v>
      </c>
      <c r="EA51" s="230">
        <v>505000</v>
      </c>
      <c r="EB51" s="229">
        <v>4.7999999999999996E-3</v>
      </c>
      <c r="EC51" s="229">
        <v>2.29E-2</v>
      </c>
      <c r="ED51" s="228">
        <v>2.67</v>
      </c>
      <c r="EE51" s="229">
        <v>5.1000000000000004E-3</v>
      </c>
      <c r="EF51" s="230">
        <v>465202</v>
      </c>
      <c r="EG51" s="230">
        <v>233170</v>
      </c>
      <c r="EH51" s="229">
        <v>0.99509999999999998</v>
      </c>
      <c r="EI51" s="229">
        <v>0.4743</v>
      </c>
      <c r="EJ51" s="231">
        <v>35616.07</v>
      </c>
      <c r="EK51" s="231">
        <v>10823.16</v>
      </c>
      <c r="EL51" s="231">
        <v>8894.59</v>
      </c>
      <c r="EM51" s="231">
        <v>1043</v>
      </c>
      <c r="EN51" s="231">
        <v>55333.82</v>
      </c>
      <c r="EO51" s="231">
        <v>27865.55</v>
      </c>
      <c r="EP51" s="231">
        <v>27468.27</v>
      </c>
      <c r="EQ51" s="229">
        <v>0.98570000000000002</v>
      </c>
      <c r="ER51" s="231">
        <v>31180</v>
      </c>
      <c r="ES51" s="231">
        <v>21840</v>
      </c>
      <c r="ET51" s="231">
        <v>120880</v>
      </c>
      <c r="EU51" s="231">
        <v>51639257</v>
      </c>
      <c r="EV51" s="231">
        <v>173900</v>
      </c>
      <c r="EW51" s="231">
        <v>165668</v>
      </c>
      <c r="EX51" s="231">
        <v>8232</v>
      </c>
      <c r="EY51" s="229">
        <v>4.9700000000000001E-2</v>
      </c>
      <c r="EZ51" s="229">
        <v>0.63580000000000003</v>
      </c>
      <c r="FA51" s="227" t="s">
        <v>691</v>
      </c>
      <c r="FB51" s="161">
        <f t="shared" si="0"/>
        <v>525000</v>
      </c>
    </row>
    <row r="52" spans="1:158" ht="17.25" thickBot="1" x14ac:dyDescent="0.3">
      <c r="A52" s="226">
        <v>46148</v>
      </c>
      <c r="B52" s="227" t="s">
        <v>184</v>
      </c>
      <c r="C52" s="227" t="s">
        <v>523</v>
      </c>
      <c r="D52" s="228">
        <v>1800</v>
      </c>
      <c r="E52" s="228">
        <v>285.05</v>
      </c>
      <c r="F52" s="228">
        <v>276.64999999999998</v>
      </c>
      <c r="G52" s="228">
        <v>8.4</v>
      </c>
      <c r="H52" s="229">
        <v>3.04E-2</v>
      </c>
      <c r="I52" s="228">
        <v>284.05</v>
      </c>
      <c r="J52" s="228">
        <v>275.5</v>
      </c>
      <c r="K52" s="228">
        <v>8.5500000000000007</v>
      </c>
      <c r="L52" s="229">
        <v>3.1E-2</v>
      </c>
      <c r="M52" s="228">
        <v>285.05</v>
      </c>
      <c r="N52" s="228">
        <v>276.64999999999998</v>
      </c>
      <c r="O52" s="228">
        <v>8.4</v>
      </c>
      <c r="P52" s="229">
        <v>3.04E-2</v>
      </c>
      <c r="Q52" s="228">
        <v>286.64999999999998</v>
      </c>
      <c r="R52" s="228">
        <v>277.89999999999998</v>
      </c>
      <c r="S52" s="228">
        <v>8.75</v>
      </c>
      <c r="T52" s="229">
        <v>3.15E-2</v>
      </c>
      <c r="U52" s="228">
        <v>286.5</v>
      </c>
      <c r="V52" s="228">
        <v>277.10000000000002</v>
      </c>
      <c r="W52" s="228">
        <v>9.4</v>
      </c>
      <c r="X52" s="229">
        <v>3.39E-2</v>
      </c>
      <c r="Y52" s="228">
        <v>1</v>
      </c>
      <c r="Z52" s="228">
        <v>1.1499999999999999</v>
      </c>
      <c r="AA52" s="228">
        <v>-0.15</v>
      </c>
      <c r="AB52" s="229">
        <v>3.5000000000000001E-3</v>
      </c>
      <c r="AC52" s="228">
        <v>1</v>
      </c>
      <c r="AD52" s="228">
        <v>1.1499999999999999</v>
      </c>
      <c r="AE52" s="228">
        <v>-0.15</v>
      </c>
      <c r="AF52" s="229">
        <v>3.5000000000000001E-3</v>
      </c>
      <c r="AG52" s="228">
        <v>2.6</v>
      </c>
      <c r="AH52" s="228">
        <v>2.4</v>
      </c>
      <c r="AI52" s="228">
        <v>0.2</v>
      </c>
      <c r="AJ52" s="229">
        <v>9.1999999999999998E-3</v>
      </c>
      <c r="AK52" s="228">
        <v>2.4500000000000002</v>
      </c>
      <c r="AL52" s="228">
        <v>1.6</v>
      </c>
      <c r="AM52" s="228">
        <v>0.85</v>
      </c>
      <c r="AN52" s="229">
        <v>8.6E-3</v>
      </c>
      <c r="AO52" s="228">
        <v>284.52</v>
      </c>
      <c r="AP52" s="228">
        <v>286.07</v>
      </c>
      <c r="AQ52" s="228">
        <v>0</v>
      </c>
      <c r="AR52" s="230">
        <v>13397400</v>
      </c>
      <c r="AS52" s="230">
        <v>6633000</v>
      </c>
      <c r="AT52" s="230">
        <v>6764400</v>
      </c>
      <c r="AU52" s="229">
        <v>1.0198</v>
      </c>
      <c r="AV52" s="230">
        <v>12969000</v>
      </c>
      <c r="AW52" s="230">
        <v>6426000</v>
      </c>
      <c r="AX52" s="230">
        <v>6543000</v>
      </c>
      <c r="AY52" s="229">
        <v>1.0182</v>
      </c>
      <c r="AZ52" s="230">
        <v>358200</v>
      </c>
      <c r="BA52" s="230">
        <v>185400</v>
      </c>
      <c r="BB52" s="230">
        <v>172800</v>
      </c>
      <c r="BC52" s="229">
        <v>0.93200000000000005</v>
      </c>
      <c r="BD52" s="230">
        <v>70200</v>
      </c>
      <c r="BE52" s="230">
        <v>21600</v>
      </c>
      <c r="BF52" s="230">
        <v>48600</v>
      </c>
      <c r="BG52" s="229">
        <v>2.25</v>
      </c>
      <c r="BH52" s="230">
        <v>34668000</v>
      </c>
      <c r="BI52" s="230">
        <v>10360800</v>
      </c>
      <c r="BJ52" s="230">
        <v>24307200</v>
      </c>
      <c r="BK52" s="229">
        <v>2.3460999999999999</v>
      </c>
      <c r="BL52" s="230">
        <v>9138600</v>
      </c>
      <c r="BM52" s="230">
        <v>4118400</v>
      </c>
      <c r="BN52" s="230">
        <v>5020200</v>
      </c>
      <c r="BO52" s="229">
        <v>1.2190000000000001</v>
      </c>
      <c r="BP52" s="230">
        <v>57204000</v>
      </c>
      <c r="BQ52" s="230">
        <v>21112200</v>
      </c>
      <c r="BR52" s="230">
        <v>36091800</v>
      </c>
      <c r="BS52" s="229">
        <v>1.7095</v>
      </c>
      <c r="BT52" s="230">
        <v>8588454</v>
      </c>
      <c r="BU52" s="230">
        <v>5729284</v>
      </c>
      <c r="BV52" s="230">
        <v>2859170</v>
      </c>
      <c r="BW52" s="229">
        <v>0.499</v>
      </c>
      <c r="BX52" s="230">
        <v>55312550</v>
      </c>
      <c r="BY52" s="230">
        <v>53347750</v>
      </c>
      <c r="BZ52" s="230">
        <v>1964800</v>
      </c>
      <c r="CA52" s="229">
        <v>3.6799999999999999E-2</v>
      </c>
      <c r="CB52" s="230">
        <v>54433800</v>
      </c>
      <c r="CC52" s="230">
        <v>52538400</v>
      </c>
      <c r="CD52" s="230">
        <v>1895400</v>
      </c>
      <c r="CE52" s="229">
        <v>3.61E-2</v>
      </c>
      <c r="CF52" s="230">
        <v>721800</v>
      </c>
      <c r="CG52" s="230">
        <v>669600</v>
      </c>
      <c r="CH52" s="230">
        <v>52200</v>
      </c>
      <c r="CI52" s="229">
        <v>7.8E-2</v>
      </c>
      <c r="CJ52" s="230">
        <v>156950</v>
      </c>
      <c r="CK52" s="230">
        <v>139750</v>
      </c>
      <c r="CL52" s="230">
        <v>17200</v>
      </c>
      <c r="CM52" s="229">
        <v>0.1231</v>
      </c>
      <c r="CN52" s="230">
        <v>15483600</v>
      </c>
      <c r="CO52" s="230">
        <v>14477400</v>
      </c>
      <c r="CP52" s="230">
        <v>1006200</v>
      </c>
      <c r="CQ52" s="229">
        <v>6.9500000000000006E-2</v>
      </c>
      <c r="CR52" s="230">
        <v>7237800</v>
      </c>
      <c r="CS52" s="230">
        <v>6868800</v>
      </c>
      <c r="CT52" s="230">
        <v>369000</v>
      </c>
      <c r="CU52" s="229">
        <v>5.3699999999999998E-2</v>
      </c>
      <c r="CV52" s="230">
        <v>78033950</v>
      </c>
      <c r="CW52" s="230">
        <v>74693950</v>
      </c>
      <c r="CX52" s="230">
        <v>3340000</v>
      </c>
      <c r="CY52" s="229">
        <v>4.4699999999999997E-2</v>
      </c>
      <c r="CZ52" s="228">
        <v>40.98</v>
      </c>
      <c r="DA52" s="228">
        <v>40.96</v>
      </c>
      <c r="DB52" s="228">
        <v>0.02</v>
      </c>
      <c r="DC52" s="228">
        <v>0.02</v>
      </c>
      <c r="DD52" s="228">
        <v>35.92</v>
      </c>
      <c r="DE52" s="228">
        <v>35.78</v>
      </c>
      <c r="DF52" s="228">
        <v>5.0599999999999996</v>
      </c>
      <c r="DG52" s="228">
        <v>0.14000000000000001</v>
      </c>
      <c r="DH52" s="228">
        <v>40.76</v>
      </c>
      <c r="DI52" s="228">
        <v>40.840000000000003</v>
      </c>
      <c r="DJ52" s="228">
        <v>-0.08</v>
      </c>
      <c r="DK52" s="228">
        <v>-0.08</v>
      </c>
      <c r="DL52" s="228">
        <v>41.84</v>
      </c>
      <c r="DM52" s="228">
        <v>41.27</v>
      </c>
      <c r="DN52" s="228">
        <v>0.56999999999999995</v>
      </c>
      <c r="DO52" s="228">
        <v>0.56999999999999995</v>
      </c>
      <c r="DP52" s="228">
        <v>0.47</v>
      </c>
      <c r="DQ52" s="228">
        <v>0.47</v>
      </c>
      <c r="DR52" s="228">
        <v>0</v>
      </c>
      <c r="DS52" s="229">
        <v>0</v>
      </c>
      <c r="DT52" s="228">
        <v>300</v>
      </c>
      <c r="DU52" s="228">
        <v>280</v>
      </c>
      <c r="DV52" s="228">
        <v>0.26</v>
      </c>
      <c r="DW52" s="228">
        <v>0.4</v>
      </c>
      <c r="DX52" s="228">
        <v>-0.14000000000000001</v>
      </c>
      <c r="DY52" s="229">
        <v>-0.35</v>
      </c>
      <c r="DZ52" s="229">
        <v>1.5900000000000001E-2</v>
      </c>
      <c r="EA52" s="230">
        <v>809350</v>
      </c>
      <c r="EB52" s="229">
        <v>5.5999999999999999E-3</v>
      </c>
      <c r="EC52" s="229">
        <v>1.5900000000000001E-2</v>
      </c>
      <c r="ED52" s="228">
        <v>1.55</v>
      </c>
      <c r="EE52" s="229">
        <v>5.4000000000000003E-3</v>
      </c>
      <c r="EF52" s="230">
        <v>3617749</v>
      </c>
      <c r="EG52" s="230">
        <v>3717860</v>
      </c>
      <c r="EH52" s="229">
        <v>-2.69E-2</v>
      </c>
      <c r="EI52" s="229">
        <v>0.42120000000000002</v>
      </c>
      <c r="EJ52" s="231">
        <v>104192.96000000001</v>
      </c>
      <c r="EK52" s="231">
        <v>25840.07</v>
      </c>
      <c r="EL52" s="231">
        <v>38163.660000000003</v>
      </c>
      <c r="EM52" s="231">
        <v>6693</v>
      </c>
      <c r="EN52" s="231">
        <v>168196.69</v>
      </c>
      <c r="EO52" s="231">
        <v>60511.35</v>
      </c>
      <c r="EP52" s="231">
        <v>107685.34</v>
      </c>
      <c r="EQ52" s="229">
        <v>1.7796000000000001</v>
      </c>
      <c r="ER52" s="231">
        <v>44850</v>
      </c>
      <c r="ES52" s="231">
        <v>19330</v>
      </c>
      <c r="ET52" s="231">
        <v>157682</v>
      </c>
      <c r="EU52" s="231">
        <v>96587231</v>
      </c>
      <c r="EV52" s="231">
        <v>221863</v>
      </c>
      <c r="EW52" s="231">
        <v>207179</v>
      </c>
      <c r="EX52" s="231">
        <v>14684</v>
      </c>
      <c r="EY52" s="229">
        <v>7.0900000000000005E-2</v>
      </c>
      <c r="EZ52" s="229">
        <v>0.80789999999999995</v>
      </c>
      <c r="FA52" s="227" t="s">
        <v>555</v>
      </c>
      <c r="FB52" s="161">
        <f t="shared" si="0"/>
        <v>878750</v>
      </c>
    </row>
    <row r="53" spans="1:158" ht="17.25" thickBot="1" x14ac:dyDescent="0.3">
      <c r="A53" s="226">
        <v>46148</v>
      </c>
      <c r="B53" s="227" t="s">
        <v>184</v>
      </c>
      <c r="C53" s="227" t="s">
        <v>203</v>
      </c>
      <c r="D53" s="228">
        <v>200</v>
      </c>
      <c r="E53" s="231">
        <v>5348.5</v>
      </c>
      <c r="F53" s="231">
        <v>5290.5</v>
      </c>
      <c r="G53" s="228">
        <v>58</v>
      </c>
      <c r="H53" s="229">
        <v>1.0999999999999999E-2</v>
      </c>
      <c r="I53" s="231">
        <v>5324.5</v>
      </c>
      <c r="J53" s="231">
        <v>5260</v>
      </c>
      <c r="K53" s="228">
        <v>64.5</v>
      </c>
      <c r="L53" s="229">
        <v>1.23E-2</v>
      </c>
      <c r="M53" s="231">
        <v>5348.5</v>
      </c>
      <c r="N53" s="231">
        <v>5290.5</v>
      </c>
      <c r="O53" s="228">
        <v>58</v>
      </c>
      <c r="P53" s="229">
        <v>1.0999999999999999E-2</v>
      </c>
      <c r="Q53" s="231">
        <v>5378.5</v>
      </c>
      <c r="R53" s="231">
        <v>5326</v>
      </c>
      <c r="S53" s="228">
        <v>52.5</v>
      </c>
      <c r="T53" s="229">
        <v>9.9000000000000008E-3</v>
      </c>
      <c r="U53" s="231">
        <v>5385</v>
      </c>
      <c r="V53" s="231">
        <v>5310.5</v>
      </c>
      <c r="W53" s="228">
        <v>74.5</v>
      </c>
      <c r="X53" s="229">
        <v>1.4E-2</v>
      </c>
      <c r="Y53" s="228">
        <v>24</v>
      </c>
      <c r="Z53" s="228">
        <v>30.5</v>
      </c>
      <c r="AA53" s="228">
        <v>-6.5</v>
      </c>
      <c r="AB53" s="229">
        <v>4.4999999999999997E-3</v>
      </c>
      <c r="AC53" s="228">
        <v>24</v>
      </c>
      <c r="AD53" s="228">
        <v>30.5</v>
      </c>
      <c r="AE53" s="228">
        <v>-6.5</v>
      </c>
      <c r="AF53" s="229">
        <v>4.4999999999999997E-3</v>
      </c>
      <c r="AG53" s="228">
        <v>54</v>
      </c>
      <c r="AH53" s="228">
        <v>66</v>
      </c>
      <c r="AI53" s="228">
        <v>-12</v>
      </c>
      <c r="AJ53" s="229">
        <v>1.01E-2</v>
      </c>
      <c r="AK53" s="228">
        <v>60.5</v>
      </c>
      <c r="AL53" s="228">
        <v>50.5</v>
      </c>
      <c r="AM53" s="228">
        <v>10</v>
      </c>
      <c r="AN53" s="229">
        <v>1.14E-2</v>
      </c>
      <c r="AO53" s="231">
        <v>5329.81</v>
      </c>
      <c r="AP53" s="231">
        <v>5360.84</v>
      </c>
      <c r="AQ53" s="228">
        <v>0</v>
      </c>
      <c r="AR53" s="230">
        <v>744200</v>
      </c>
      <c r="AS53" s="230">
        <v>380800</v>
      </c>
      <c r="AT53" s="230">
        <v>363400</v>
      </c>
      <c r="AU53" s="229">
        <v>0.95430000000000004</v>
      </c>
      <c r="AV53" s="230">
        <v>694600</v>
      </c>
      <c r="AW53" s="230">
        <v>365400</v>
      </c>
      <c r="AX53" s="230">
        <v>329200</v>
      </c>
      <c r="AY53" s="229">
        <v>0.90090000000000003</v>
      </c>
      <c r="AZ53" s="230">
        <v>48600</v>
      </c>
      <c r="BA53" s="230">
        <v>15200</v>
      </c>
      <c r="BB53" s="230">
        <v>33400</v>
      </c>
      <c r="BC53" s="229">
        <v>2.1974</v>
      </c>
      <c r="BD53" s="230">
        <v>1000</v>
      </c>
      <c r="BE53" s="228">
        <v>200</v>
      </c>
      <c r="BF53" s="228">
        <v>800</v>
      </c>
      <c r="BG53" s="229">
        <v>4</v>
      </c>
      <c r="BH53" s="230">
        <v>1323800</v>
      </c>
      <c r="BI53" s="230">
        <v>458400</v>
      </c>
      <c r="BJ53" s="230">
        <v>865400</v>
      </c>
      <c r="BK53" s="229">
        <v>1.8878999999999999</v>
      </c>
      <c r="BL53" s="230">
        <v>706200</v>
      </c>
      <c r="BM53" s="230">
        <v>266200</v>
      </c>
      <c r="BN53" s="230">
        <v>440000</v>
      </c>
      <c r="BO53" s="229">
        <v>1.6529</v>
      </c>
      <c r="BP53" s="230">
        <v>2774200</v>
      </c>
      <c r="BQ53" s="230">
        <v>1105400</v>
      </c>
      <c r="BR53" s="230">
        <v>1668800</v>
      </c>
      <c r="BS53" s="229">
        <v>1.5097</v>
      </c>
      <c r="BT53" s="230">
        <v>357464</v>
      </c>
      <c r="BU53" s="230">
        <v>315605</v>
      </c>
      <c r="BV53" s="230">
        <v>41859</v>
      </c>
      <c r="BW53" s="229">
        <v>0.1326</v>
      </c>
      <c r="BX53" s="230">
        <v>3984800</v>
      </c>
      <c r="BY53" s="230">
        <v>4045600</v>
      </c>
      <c r="BZ53" s="230">
        <v>-60800</v>
      </c>
      <c r="CA53" s="229">
        <v>-1.4999999999999999E-2</v>
      </c>
      <c r="CB53" s="230">
        <v>3674000</v>
      </c>
      <c r="CC53" s="230">
        <v>3742200</v>
      </c>
      <c r="CD53" s="230">
        <v>-68200</v>
      </c>
      <c r="CE53" s="229">
        <v>-1.8200000000000001E-2</v>
      </c>
      <c r="CF53" s="230">
        <v>308200</v>
      </c>
      <c r="CG53" s="230">
        <v>300800</v>
      </c>
      <c r="CH53" s="230">
        <v>7400</v>
      </c>
      <c r="CI53" s="229">
        <v>2.46E-2</v>
      </c>
      <c r="CJ53" s="230">
        <v>2600</v>
      </c>
      <c r="CK53" s="230">
        <v>2600</v>
      </c>
      <c r="CL53" s="228">
        <v>0</v>
      </c>
      <c r="CM53" s="229">
        <v>0</v>
      </c>
      <c r="CN53" s="230">
        <v>697400</v>
      </c>
      <c r="CO53" s="230">
        <v>620600</v>
      </c>
      <c r="CP53" s="230">
        <v>76800</v>
      </c>
      <c r="CQ53" s="229">
        <v>0.12379999999999999</v>
      </c>
      <c r="CR53" s="230">
        <v>495800</v>
      </c>
      <c r="CS53" s="230">
        <v>436600</v>
      </c>
      <c r="CT53" s="230">
        <v>59200</v>
      </c>
      <c r="CU53" s="229">
        <v>0.1356</v>
      </c>
      <c r="CV53" s="230">
        <v>5178000</v>
      </c>
      <c r="CW53" s="230">
        <v>5102800</v>
      </c>
      <c r="CX53" s="230">
        <v>75200</v>
      </c>
      <c r="CY53" s="229">
        <v>1.47E-2</v>
      </c>
      <c r="CZ53" s="228">
        <v>30.19</v>
      </c>
      <c r="DA53" s="228">
        <v>32.53</v>
      </c>
      <c r="DB53" s="228">
        <v>-2.34</v>
      </c>
      <c r="DC53" s="228">
        <v>-2.34</v>
      </c>
      <c r="DD53" s="228">
        <v>35.409999999999997</v>
      </c>
      <c r="DE53" s="228">
        <v>35.46</v>
      </c>
      <c r="DF53" s="228">
        <v>-5.22</v>
      </c>
      <c r="DG53" s="228">
        <v>-0.05</v>
      </c>
      <c r="DH53" s="228">
        <v>29.78</v>
      </c>
      <c r="DI53" s="228">
        <v>32.15</v>
      </c>
      <c r="DJ53" s="228">
        <v>-2.37</v>
      </c>
      <c r="DK53" s="228">
        <v>-2.37</v>
      </c>
      <c r="DL53" s="228">
        <v>30.97</v>
      </c>
      <c r="DM53" s="228">
        <v>33.19</v>
      </c>
      <c r="DN53" s="228">
        <v>-2.2200000000000002</v>
      </c>
      <c r="DO53" s="228">
        <v>-2.2200000000000002</v>
      </c>
      <c r="DP53" s="228">
        <v>0.71</v>
      </c>
      <c r="DQ53" s="228">
        <v>0.7</v>
      </c>
      <c r="DR53" s="228">
        <v>0.01</v>
      </c>
      <c r="DS53" s="229">
        <v>1.43E-2</v>
      </c>
      <c r="DT53" s="231">
        <v>5500</v>
      </c>
      <c r="DU53" s="231">
        <v>5300</v>
      </c>
      <c r="DV53" s="228">
        <v>0.53</v>
      </c>
      <c r="DW53" s="228">
        <v>0.57999999999999996</v>
      </c>
      <c r="DX53" s="228">
        <v>-0.05</v>
      </c>
      <c r="DY53" s="229">
        <v>-8.6199999999999999E-2</v>
      </c>
      <c r="DZ53" s="229">
        <v>7.8E-2</v>
      </c>
      <c r="EA53" s="230">
        <v>303400</v>
      </c>
      <c r="EB53" s="229">
        <v>5.5999999999999999E-3</v>
      </c>
      <c r="EC53" s="229">
        <v>7.8E-2</v>
      </c>
      <c r="ED53" s="228">
        <v>31.03</v>
      </c>
      <c r="EE53" s="229">
        <v>5.7999999999999996E-3</v>
      </c>
      <c r="EF53" s="230">
        <v>179515</v>
      </c>
      <c r="EG53" s="230">
        <v>188375</v>
      </c>
      <c r="EH53" s="229">
        <v>-4.7E-2</v>
      </c>
      <c r="EI53" s="229">
        <v>0.50219999999999998</v>
      </c>
      <c r="EJ53" s="231">
        <v>73911.320000000007</v>
      </c>
      <c r="EK53" s="231">
        <v>36340.120000000003</v>
      </c>
      <c r="EL53" s="231">
        <v>39680</v>
      </c>
      <c r="EM53" s="231">
        <v>2527</v>
      </c>
      <c r="EN53" s="231">
        <v>149931.44</v>
      </c>
      <c r="EO53" s="231">
        <v>59387.31</v>
      </c>
      <c r="EP53" s="231">
        <v>90544.13</v>
      </c>
      <c r="EQ53" s="229">
        <v>1.5246</v>
      </c>
      <c r="ER53" s="231">
        <v>38268</v>
      </c>
      <c r="ES53" s="231">
        <v>25102</v>
      </c>
      <c r="ET53" s="231">
        <v>213220</v>
      </c>
      <c r="EU53" s="231">
        <v>20374200</v>
      </c>
      <c r="EV53" s="231">
        <v>276590</v>
      </c>
      <c r="EW53" s="231">
        <v>269931</v>
      </c>
      <c r="EX53" s="231">
        <v>6659</v>
      </c>
      <c r="EY53" s="229">
        <v>2.47E-2</v>
      </c>
      <c r="EZ53" s="229">
        <v>0.25409999999999999</v>
      </c>
      <c r="FA53" s="227" t="s">
        <v>691</v>
      </c>
      <c r="FB53" s="161">
        <f t="shared" si="0"/>
        <v>310800</v>
      </c>
    </row>
    <row r="54" spans="1:158" ht="17.25" thickBot="1" x14ac:dyDescent="0.3">
      <c r="A54" s="226">
        <v>46148</v>
      </c>
      <c r="B54" s="227" t="s">
        <v>168</v>
      </c>
      <c r="C54" s="227" t="s">
        <v>204</v>
      </c>
      <c r="D54" s="228">
        <v>1250</v>
      </c>
      <c r="E54" s="228">
        <v>468.35</v>
      </c>
      <c r="F54" s="228">
        <v>462</v>
      </c>
      <c r="G54" s="228">
        <v>6.35</v>
      </c>
      <c r="H54" s="229">
        <v>1.37E-2</v>
      </c>
      <c r="I54" s="228">
        <v>466.25</v>
      </c>
      <c r="J54" s="228">
        <v>460.55</v>
      </c>
      <c r="K54" s="228">
        <v>5.7</v>
      </c>
      <c r="L54" s="229">
        <v>1.24E-2</v>
      </c>
      <c r="M54" s="228">
        <v>468.35</v>
      </c>
      <c r="N54" s="228">
        <v>462</v>
      </c>
      <c r="O54" s="228">
        <v>6.35</v>
      </c>
      <c r="P54" s="229">
        <v>1.37E-2</v>
      </c>
      <c r="Q54" s="228">
        <v>471.4</v>
      </c>
      <c r="R54" s="228">
        <v>465</v>
      </c>
      <c r="S54" s="228">
        <v>6.4</v>
      </c>
      <c r="T54" s="229">
        <v>1.38E-2</v>
      </c>
      <c r="U54" s="228">
        <v>468.5</v>
      </c>
      <c r="V54" s="228">
        <v>461.6</v>
      </c>
      <c r="W54" s="228">
        <v>6.9</v>
      </c>
      <c r="X54" s="229">
        <v>1.49E-2</v>
      </c>
      <c r="Y54" s="228">
        <v>2.1</v>
      </c>
      <c r="Z54" s="228">
        <v>1.45</v>
      </c>
      <c r="AA54" s="228">
        <v>0.65</v>
      </c>
      <c r="AB54" s="229">
        <v>4.4999999999999997E-3</v>
      </c>
      <c r="AC54" s="228">
        <v>2.1</v>
      </c>
      <c r="AD54" s="228">
        <v>1.45</v>
      </c>
      <c r="AE54" s="228">
        <v>0.65</v>
      </c>
      <c r="AF54" s="229">
        <v>4.4999999999999997E-3</v>
      </c>
      <c r="AG54" s="228">
        <v>5.15</v>
      </c>
      <c r="AH54" s="228">
        <v>4.45</v>
      </c>
      <c r="AI54" s="228">
        <v>0.7</v>
      </c>
      <c r="AJ54" s="229">
        <v>1.0999999999999999E-2</v>
      </c>
      <c r="AK54" s="228">
        <v>2.25</v>
      </c>
      <c r="AL54" s="228">
        <v>1.05</v>
      </c>
      <c r="AM54" s="228">
        <v>1.2</v>
      </c>
      <c r="AN54" s="229">
        <v>4.7999999999999996E-3</v>
      </c>
      <c r="AO54" s="228">
        <v>465.78</v>
      </c>
      <c r="AP54" s="228">
        <v>468.58</v>
      </c>
      <c r="AQ54" s="228">
        <v>0</v>
      </c>
      <c r="AR54" s="230">
        <v>5061250</v>
      </c>
      <c r="AS54" s="230">
        <v>5200000</v>
      </c>
      <c r="AT54" s="230">
        <v>-138750</v>
      </c>
      <c r="AU54" s="229">
        <v>-2.6700000000000002E-2</v>
      </c>
      <c r="AV54" s="230">
        <v>4728750</v>
      </c>
      <c r="AW54" s="230">
        <v>4940000</v>
      </c>
      <c r="AX54" s="230">
        <v>-211250</v>
      </c>
      <c r="AY54" s="229">
        <v>-4.2799999999999998E-2</v>
      </c>
      <c r="AZ54" s="230">
        <v>232500</v>
      </c>
      <c r="BA54" s="230">
        <v>216250</v>
      </c>
      <c r="BB54" s="230">
        <v>16250</v>
      </c>
      <c r="BC54" s="229">
        <v>7.51E-2</v>
      </c>
      <c r="BD54" s="230">
        <v>100000</v>
      </c>
      <c r="BE54" s="230">
        <v>43750</v>
      </c>
      <c r="BF54" s="230">
        <v>56250</v>
      </c>
      <c r="BG54" s="229">
        <v>1.2857000000000001</v>
      </c>
      <c r="BH54" s="230">
        <v>20451250</v>
      </c>
      <c r="BI54" s="230">
        <v>20632500</v>
      </c>
      <c r="BJ54" s="230">
        <v>-181250</v>
      </c>
      <c r="BK54" s="229">
        <v>-8.8000000000000005E-3</v>
      </c>
      <c r="BL54" s="230">
        <v>5160000</v>
      </c>
      <c r="BM54" s="230">
        <v>5111250</v>
      </c>
      <c r="BN54" s="230">
        <v>48750</v>
      </c>
      <c r="BO54" s="229">
        <v>9.4999999999999998E-3</v>
      </c>
      <c r="BP54" s="230">
        <v>30672500</v>
      </c>
      <c r="BQ54" s="230">
        <v>30943750</v>
      </c>
      <c r="BR54" s="230">
        <v>-271250</v>
      </c>
      <c r="BS54" s="229">
        <v>-8.8000000000000005E-3</v>
      </c>
      <c r="BT54" s="230">
        <v>3034715</v>
      </c>
      <c r="BU54" s="230">
        <v>2839688</v>
      </c>
      <c r="BV54" s="230">
        <v>195027</v>
      </c>
      <c r="BW54" s="229">
        <v>6.8699999999999997E-2</v>
      </c>
      <c r="BX54" s="230">
        <v>27388750</v>
      </c>
      <c r="BY54" s="230">
        <v>28213750</v>
      </c>
      <c r="BZ54" s="230">
        <v>-825000</v>
      </c>
      <c r="CA54" s="229">
        <v>-2.92E-2</v>
      </c>
      <c r="CB54" s="230">
        <v>26720000</v>
      </c>
      <c r="CC54" s="230">
        <v>27597500</v>
      </c>
      <c r="CD54" s="230">
        <v>-877500</v>
      </c>
      <c r="CE54" s="229">
        <v>-3.1800000000000002E-2</v>
      </c>
      <c r="CF54" s="230">
        <v>557500</v>
      </c>
      <c r="CG54" s="230">
        <v>500000</v>
      </c>
      <c r="CH54" s="230">
        <v>57500</v>
      </c>
      <c r="CI54" s="229">
        <v>0.115</v>
      </c>
      <c r="CJ54" s="230">
        <v>111250</v>
      </c>
      <c r="CK54" s="230">
        <v>116250</v>
      </c>
      <c r="CL54" s="230">
        <v>-5000</v>
      </c>
      <c r="CM54" s="229">
        <v>-4.2999999999999997E-2</v>
      </c>
      <c r="CN54" s="230">
        <v>9717500</v>
      </c>
      <c r="CO54" s="230">
        <v>7395000</v>
      </c>
      <c r="CP54" s="230">
        <v>2322500</v>
      </c>
      <c r="CQ54" s="229">
        <v>0.31409999999999999</v>
      </c>
      <c r="CR54" s="230">
        <v>5433750</v>
      </c>
      <c r="CS54" s="230">
        <v>4931250</v>
      </c>
      <c r="CT54" s="230">
        <v>502500</v>
      </c>
      <c r="CU54" s="229">
        <v>0.1019</v>
      </c>
      <c r="CV54" s="230">
        <v>42540000</v>
      </c>
      <c r="CW54" s="230">
        <v>40540000</v>
      </c>
      <c r="CX54" s="230">
        <v>2000000</v>
      </c>
      <c r="CY54" s="229">
        <v>4.9299999999999997E-2</v>
      </c>
      <c r="CZ54" s="228">
        <v>31.66</v>
      </c>
      <c r="DA54" s="228">
        <v>30.98</v>
      </c>
      <c r="DB54" s="228">
        <v>0.68</v>
      </c>
      <c r="DC54" s="228">
        <v>0.68</v>
      </c>
      <c r="DD54" s="228">
        <v>27.62</v>
      </c>
      <c r="DE54" s="228">
        <v>27.64</v>
      </c>
      <c r="DF54" s="228">
        <v>4.04</v>
      </c>
      <c r="DG54" s="228">
        <v>-0.02</v>
      </c>
      <c r="DH54" s="228">
        <v>31.65</v>
      </c>
      <c r="DI54" s="228">
        <v>30.88</v>
      </c>
      <c r="DJ54" s="228">
        <v>0.77</v>
      </c>
      <c r="DK54" s="228">
        <v>0.77</v>
      </c>
      <c r="DL54" s="228">
        <v>31.72</v>
      </c>
      <c r="DM54" s="228">
        <v>31.36</v>
      </c>
      <c r="DN54" s="228">
        <v>0.36</v>
      </c>
      <c r="DO54" s="228">
        <v>0.36</v>
      </c>
      <c r="DP54" s="228">
        <v>0.56000000000000005</v>
      </c>
      <c r="DQ54" s="228">
        <v>0.67</v>
      </c>
      <c r="DR54" s="228">
        <v>-0.11</v>
      </c>
      <c r="DS54" s="229">
        <v>-0.16420000000000001</v>
      </c>
      <c r="DT54" s="228">
        <v>500</v>
      </c>
      <c r="DU54" s="228">
        <v>400</v>
      </c>
      <c r="DV54" s="228">
        <v>0.25</v>
      </c>
      <c r="DW54" s="228">
        <v>0.25</v>
      </c>
      <c r="DX54" s="228">
        <v>0</v>
      </c>
      <c r="DY54" s="229">
        <v>0</v>
      </c>
      <c r="DZ54" s="229">
        <v>2.4400000000000002E-2</v>
      </c>
      <c r="EA54" s="230">
        <v>616250</v>
      </c>
      <c r="EB54" s="229">
        <v>6.4999999999999997E-3</v>
      </c>
      <c r="EC54" s="229">
        <v>2.4400000000000002E-2</v>
      </c>
      <c r="ED54" s="228">
        <v>2.8</v>
      </c>
      <c r="EE54" s="229">
        <v>6.0000000000000001E-3</v>
      </c>
      <c r="EF54" s="230">
        <v>1501829</v>
      </c>
      <c r="EG54" s="230">
        <v>1088386</v>
      </c>
      <c r="EH54" s="229">
        <v>0.37990000000000002</v>
      </c>
      <c r="EI54" s="229">
        <v>0.49490000000000001</v>
      </c>
      <c r="EJ54" s="231">
        <v>101328.87</v>
      </c>
      <c r="EK54" s="231">
        <v>23190.41</v>
      </c>
      <c r="EL54" s="231">
        <v>23580.240000000002</v>
      </c>
      <c r="EM54" s="231">
        <v>2577</v>
      </c>
      <c r="EN54" s="231">
        <v>148099.51999999999</v>
      </c>
      <c r="EO54" s="231">
        <v>146297.25</v>
      </c>
      <c r="EP54" s="231">
        <v>1802.27</v>
      </c>
      <c r="EQ54" s="229">
        <v>1.23E-2</v>
      </c>
      <c r="ER54" s="231">
        <v>47362</v>
      </c>
      <c r="ES54" s="231">
        <v>23737</v>
      </c>
      <c r="ET54" s="231">
        <v>128292</v>
      </c>
      <c r="EU54" s="231">
        <v>76827821</v>
      </c>
      <c r="EV54" s="231">
        <v>199392</v>
      </c>
      <c r="EW54" s="231">
        <v>187451</v>
      </c>
      <c r="EX54" s="231">
        <v>11941</v>
      </c>
      <c r="EY54" s="229">
        <v>6.3700000000000007E-2</v>
      </c>
      <c r="EZ54" s="229">
        <v>0.55369999999999997</v>
      </c>
      <c r="FA54" s="227" t="s">
        <v>691</v>
      </c>
      <c r="FB54" s="161">
        <f t="shared" si="0"/>
        <v>668750</v>
      </c>
    </row>
    <row r="55" spans="1:158" ht="17.25" thickBot="1" x14ac:dyDescent="0.3">
      <c r="A55" s="226">
        <v>46148</v>
      </c>
      <c r="B55" s="227" t="s">
        <v>157</v>
      </c>
      <c r="C55" s="227" t="s">
        <v>524</v>
      </c>
      <c r="D55" s="228">
        <v>325</v>
      </c>
      <c r="E55" s="231">
        <v>1986.8</v>
      </c>
      <c r="F55" s="231">
        <v>1967.9</v>
      </c>
      <c r="G55" s="228">
        <v>18.899999999999999</v>
      </c>
      <c r="H55" s="229">
        <v>9.5999999999999992E-3</v>
      </c>
      <c r="I55" s="231">
        <v>1974.6</v>
      </c>
      <c r="J55" s="231">
        <v>1968.1</v>
      </c>
      <c r="K55" s="228">
        <v>6.5</v>
      </c>
      <c r="L55" s="229">
        <v>3.3E-3</v>
      </c>
      <c r="M55" s="231">
        <v>1986.8</v>
      </c>
      <c r="N55" s="231">
        <v>1967.9</v>
      </c>
      <c r="O55" s="228">
        <v>18.899999999999999</v>
      </c>
      <c r="P55" s="229">
        <v>9.5999999999999992E-3</v>
      </c>
      <c r="Q55" s="231">
        <v>1990.1</v>
      </c>
      <c r="R55" s="231">
        <v>1978</v>
      </c>
      <c r="S55" s="228">
        <v>12.1</v>
      </c>
      <c r="T55" s="229">
        <v>6.1000000000000004E-3</v>
      </c>
      <c r="U55" s="231">
        <v>1927.9</v>
      </c>
      <c r="V55" s="231">
        <v>1927.9</v>
      </c>
      <c r="W55" s="228">
        <v>0</v>
      </c>
      <c r="X55" s="229">
        <v>0</v>
      </c>
      <c r="Y55" s="228">
        <v>12.2</v>
      </c>
      <c r="Z55" s="228">
        <v>-0.2</v>
      </c>
      <c r="AA55" s="228">
        <v>12.4</v>
      </c>
      <c r="AB55" s="229">
        <v>6.1999999999999998E-3</v>
      </c>
      <c r="AC55" s="228">
        <v>12.2</v>
      </c>
      <c r="AD55" s="228">
        <v>-0.2</v>
      </c>
      <c r="AE55" s="228">
        <v>12.4</v>
      </c>
      <c r="AF55" s="229">
        <v>6.1999999999999998E-3</v>
      </c>
      <c r="AG55" s="228">
        <v>15.5</v>
      </c>
      <c r="AH55" s="228">
        <v>9.9</v>
      </c>
      <c r="AI55" s="228">
        <v>5.6</v>
      </c>
      <c r="AJ55" s="229">
        <v>7.7999999999999996E-3</v>
      </c>
      <c r="AK55" s="228">
        <v>-46.7</v>
      </c>
      <c r="AL55" s="228">
        <v>-40.200000000000003</v>
      </c>
      <c r="AM55" s="228">
        <v>-6.5</v>
      </c>
      <c r="AN55" s="229">
        <v>-2.3699999999999999E-2</v>
      </c>
      <c r="AO55" s="231">
        <v>1967.86</v>
      </c>
      <c r="AP55" s="231">
        <v>1977.67</v>
      </c>
      <c r="AQ55" s="228">
        <v>0</v>
      </c>
      <c r="AR55" s="230">
        <v>539175</v>
      </c>
      <c r="AS55" s="230">
        <v>611325</v>
      </c>
      <c r="AT55" s="230">
        <v>-72150</v>
      </c>
      <c r="AU55" s="229">
        <v>-0.11799999999999999</v>
      </c>
      <c r="AV55" s="230">
        <v>520325</v>
      </c>
      <c r="AW55" s="230">
        <v>597350</v>
      </c>
      <c r="AX55" s="230">
        <v>-77025</v>
      </c>
      <c r="AY55" s="229">
        <v>-0.12889999999999999</v>
      </c>
      <c r="AZ55" s="230">
        <v>18850</v>
      </c>
      <c r="BA55" s="230">
        <v>13975</v>
      </c>
      <c r="BB55" s="230">
        <v>4875</v>
      </c>
      <c r="BC55" s="229">
        <v>0.3488</v>
      </c>
      <c r="BD55" s="228">
        <v>0</v>
      </c>
      <c r="BE55" s="228">
        <v>0</v>
      </c>
      <c r="BF55" s="228">
        <v>0</v>
      </c>
      <c r="BG55" s="229">
        <v>0</v>
      </c>
      <c r="BH55" s="230">
        <v>1390350</v>
      </c>
      <c r="BI55" s="230">
        <v>776100</v>
      </c>
      <c r="BJ55" s="230">
        <v>614250</v>
      </c>
      <c r="BK55" s="229">
        <v>0.79149999999999998</v>
      </c>
      <c r="BL55" s="230">
        <v>312000</v>
      </c>
      <c r="BM55" s="230">
        <v>290550</v>
      </c>
      <c r="BN55" s="230">
        <v>21450</v>
      </c>
      <c r="BO55" s="229">
        <v>7.3800000000000004E-2</v>
      </c>
      <c r="BP55" s="230">
        <v>2241525</v>
      </c>
      <c r="BQ55" s="230">
        <v>1677975</v>
      </c>
      <c r="BR55" s="230">
        <v>563550</v>
      </c>
      <c r="BS55" s="229">
        <v>0.33589999999999998</v>
      </c>
      <c r="BT55" s="230">
        <v>151859</v>
      </c>
      <c r="BU55" s="230">
        <v>335999</v>
      </c>
      <c r="BV55" s="230">
        <v>-184140</v>
      </c>
      <c r="BW55" s="229">
        <v>-0.54800000000000004</v>
      </c>
      <c r="BX55" s="230">
        <v>2789150</v>
      </c>
      <c r="BY55" s="230">
        <v>2715700</v>
      </c>
      <c r="BZ55" s="230">
        <v>73450</v>
      </c>
      <c r="CA55" s="229">
        <v>2.7E-2</v>
      </c>
      <c r="CB55" s="230">
        <v>2761850</v>
      </c>
      <c r="CC55" s="230">
        <v>2689375</v>
      </c>
      <c r="CD55" s="230">
        <v>72475</v>
      </c>
      <c r="CE55" s="229">
        <v>2.69E-2</v>
      </c>
      <c r="CF55" s="230">
        <v>26325</v>
      </c>
      <c r="CG55" s="230">
        <v>25350</v>
      </c>
      <c r="CH55" s="228">
        <v>975</v>
      </c>
      <c r="CI55" s="229">
        <v>3.85E-2</v>
      </c>
      <c r="CJ55" s="228">
        <v>975</v>
      </c>
      <c r="CK55" s="228">
        <v>975</v>
      </c>
      <c r="CL55" s="228">
        <v>0</v>
      </c>
      <c r="CM55" s="229">
        <v>0</v>
      </c>
      <c r="CN55" s="230">
        <v>1021475</v>
      </c>
      <c r="CO55" s="230">
        <v>865475</v>
      </c>
      <c r="CP55" s="230">
        <v>156000</v>
      </c>
      <c r="CQ55" s="229">
        <v>0.1802</v>
      </c>
      <c r="CR55" s="230">
        <v>529425</v>
      </c>
      <c r="CS55" s="230">
        <v>525200</v>
      </c>
      <c r="CT55" s="230">
        <v>4225</v>
      </c>
      <c r="CU55" s="229">
        <v>8.0000000000000002E-3</v>
      </c>
      <c r="CV55" s="230">
        <v>4340050</v>
      </c>
      <c r="CW55" s="230">
        <v>4106375</v>
      </c>
      <c r="CX55" s="230">
        <v>233675</v>
      </c>
      <c r="CY55" s="229">
        <v>5.6899999999999999E-2</v>
      </c>
      <c r="CZ55" s="228">
        <v>29.56</v>
      </c>
      <c r="DA55" s="228">
        <v>30.71</v>
      </c>
      <c r="DB55" s="228">
        <v>-1.1499999999999999</v>
      </c>
      <c r="DC55" s="228">
        <v>-1.1499999999999999</v>
      </c>
      <c r="DD55" s="228">
        <v>33.99</v>
      </c>
      <c r="DE55" s="228">
        <v>34.049999999999997</v>
      </c>
      <c r="DF55" s="228">
        <v>-4.43</v>
      </c>
      <c r="DG55" s="228">
        <v>-0.06</v>
      </c>
      <c r="DH55" s="228">
        <v>29.17</v>
      </c>
      <c r="DI55" s="228">
        <v>30.65</v>
      </c>
      <c r="DJ55" s="228">
        <v>-1.48</v>
      </c>
      <c r="DK55" s="228">
        <v>-1.48</v>
      </c>
      <c r="DL55" s="228">
        <v>31.32</v>
      </c>
      <c r="DM55" s="228">
        <v>30.88</v>
      </c>
      <c r="DN55" s="228">
        <v>0.44</v>
      </c>
      <c r="DO55" s="228">
        <v>0.44</v>
      </c>
      <c r="DP55" s="228">
        <v>0.52</v>
      </c>
      <c r="DQ55" s="228">
        <v>0.61</v>
      </c>
      <c r="DR55" s="228">
        <v>-0.09</v>
      </c>
      <c r="DS55" s="229">
        <v>-0.14749999999999999</v>
      </c>
      <c r="DT55" s="231">
        <v>2100</v>
      </c>
      <c r="DU55" s="231">
        <v>1900</v>
      </c>
      <c r="DV55" s="228">
        <v>0.22</v>
      </c>
      <c r="DW55" s="228">
        <v>0.37</v>
      </c>
      <c r="DX55" s="228">
        <v>-0.15</v>
      </c>
      <c r="DY55" s="229">
        <v>-0.40539999999999998</v>
      </c>
      <c r="DZ55" s="229">
        <v>9.7999999999999997E-3</v>
      </c>
      <c r="EA55" s="230">
        <v>26325</v>
      </c>
      <c r="EB55" s="229">
        <v>1.6999999999999999E-3</v>
      </c>
      <c r="EC55" s="229">
        <v>9.7999999999999997E-3</v>
      </c>
      <c r="ED55" s="228">
        <v>9.81</v>
      </c>
      <c r="EE55" s="229">
        <v>5.0000000000000001E-3</v>
      </c>
      <c r="EF55" s="230">
        <v>74689</v>
      </c>
      <c r="EG55" s="230">
        <v>204393</v>
      </c>
      <c r="EH55" s="229">
        <v>-0.63460000000000005</v>
      </c>
      <c r="EI55" s="229">
        <v>0.49180000000000001</v>
      </c>
      <c r="EJ55" s="231">
        <v>29053.200000000001</v>
      </c>
      <c r="EK55" s="231">
        <v>6120.68</v>
      </c>
      <c r="EL55" s="231">
        <v>10612.05</v>
      </c>
      <c r="EM55" s="231">
        <v>2819</v>
      </c>
      <c r="EN55" s="231">
        <v>45785.93</v>
      </c>
      <c r="EO55" s="231">
        <v>34035.120000000003</v>
      </c>
      <c r="EP55" s="231">
        <v>11750.81</v>
      </c>
      <c r="EQ55" s="229">
        <v>0.3453</v>
      </c>
      <c r="ER55" s="231">
        <v>21091</v>
      </c>
      <c r="ES55" s="231">
        <v>9907</v>
      </c>
      <c r="ET55" s="231">
        <v>55415</v>
      </c>
      <c r="EU55" s="231">
        <v>12425160</v>
      </c>
      <c r="EV55" s="231">
        <v>86414</v>
      </c>
      <c r="EW55" s="231">
        <v>81106</v>
      </c>
      <c r="EX55" s="231">
        <v>5308</v>
      </c>
      <c r="EY55" s="229">
        <v>6.54E-2</v>
      </c>
      <c r="EZ55" s="229">
        <v>0.3493</v>
      </c>
      <c r="FA55" s="227" t="s">
        <v>555</v>
      </c>
      <c r="FB55" s="161">
        <f t="shared" si="0"/>
        <v>27300</v>
      </c>
    </row>
    <row r="56" spans="1:158" ht="17.25" thickBot="1" x14ac:dyDescent="0.3">
      <c r="A56" s="226">
        <v>46148</v>
      </c>
      <c r="B56" s="227" t="s">
        <v>614</v>
      </c>
      <c r="C56" s="227" t="s">
        <v>599</v>
      </c>
      <c r="D56" s="228">
        <v>2075</v>
      </c>
      <c r="E56" s="228">
        <v>473.7</v>
      </c>
      <c r="F56" s="228">
        <v>461.4</v>
      </c>
      <c r="G56" s="228">
        <v>12.3</v>
      </c>
      <c r="H56" s="229">
        <v>2.6700000000000002E-2</v>
      </c>
      <c r="I56" s="228">
        <v>471</v>
      </c>
      <c r="J56" s="228">
        <v>459.5</v>
      </c>
      <c r="K56" s="228">
        <v>11.5</v>
      </c>
      <c r="L56" s="229">
        <v>2.5000000000000001E-2</v>
      </c>
      <c r="M56" s="228">
        <v>473.7</v>
      </c>
      <c r="N56" s="228">
        <v>461.4</v>
      </c>
      <c r="O56" s="228">
        <v>12.3</v>
      </c>
      <c r="P56" s="229">
        <v>2.6700000000000002E-2</v>
      </c>
      <c r="Q56" s="228">
        <v>476.05</v>
      </c>
      <c r="R56" s="228">
        <v>463.65</v>
      </c>
      <c r="S56" s="228">
        <v>12.4</v>
      </c>
      <c r="T56" s="229">
        <v>2.6700000000000002E-2</v>
      </c>
      <c r="U56" s="228">
        <v>478.7</v>
      </c>
      <c r="V56" s="228">
        <v>461.5</v>
      </c>
      <c r="W56" s="228">
        <v>17.2</v>
      </c>
      <c r="X56" s="229">
        <v>3.73E-2</v>
      </c>
      <c r="Y56" s="228">
        <v>2.7</v>
      </c>
      <c r="Z56" s="228">
        <v>1.9</v>
      </c>
      <c r="AA56" s="228">
        <v>0.8</v>
      </c>
      <c r="AB56" s="229">
        <v>5.7000000000000002E-3</v>
      </c>
      <c r="AC56" s="228">
        <v>2.7</v>
      </c>
      <c r="AD56" s="228">
        <v>1.9</v>
      </c>
      <c r="AE56" s="228">
        <v>0.8</v>
      </c>
      <c r="AF56" s="229">
        <v>5.7000000000000002E-3</v>
      </c>
      <c r="AG56" s="228">
        <v>5.05</v>
      </c>
      <c r="AH56" s="228">
        <v>4.1500000000000004</v>
      </c>
      <c r="AI56" s="228">
        <v>0.9</v>
      </c>
      <c r="AJ56" s="229">
        <v>1.0699999999999999E-2</v>
      </c>
      <c r="AK56" s="228">
        <v>7.7</v>
      </c>
      <c r="AL56" s="228">
        <v>2</v>
      </c>
      <c r="AM56" s="228">
        <v>5.7</v>
      </c>
      <c r="AN56" s="229">
        <v>1.6299999999999999E-2</v>
      </c>
      <c r="AO56" s="228">
        <v>468.02</v>
      </c>
      <c r="AP56" s="228">
        <v>472.07</v>
      </c>
      <c r="AQ56" s="228">
        <v>0</v>
      </c>
      <c r="AR56" s="230">
        <v>5490450</v>
      </c>
      <c r="AS56" s="230">
        <v>10476675</v>
      </c>
      <c r="AT56" s="230">
        <v>-4986225</v>
      </c>
      <c r="AU56" s="229">
        <v>-0.47589999999999999</v>
      </c>
      <c r="AV56" s="230">
        <v>5301625</v>
      </c>
      <c r="AW56" s="230">
        <v>10088650</v>
      </c>
      <c r="AX56" s="230">
        <v>-4787025</v>
      </c>
      <c r="AY56" s="229">
        <v>-0.47449999999999998</v>
      </c>
      <c r="AZ56" s="230">
        <v>180525</v>
      </c>
      <c r="BA56" s="230">
        <v>381800</v>
      </c>
      <c r="BB56" s="230">
        <v>-201275</v>
      </c>
      <c r="BC56" s="229">
        <v>-0.5272</v>
      </c>
      <c r="BD56" s="230">
        <v>8300</v>
      </c>
      <c r="BE56" s="230">
        <v>6225</v>
      </c>
      <c r="BF56" s="230">
        <v>2075</v>
      </c>
      <c r="BG56" s="229">
        <v>0.33329999999999999</v>
      </c>
      <c r="BH56" s="230">
        <v>7970075</v>
      </c>
      <c r="BI56" s="230">
        <v>13286225</v>
      </c>
      <c r="BJ56" s="230">
        <v>-5316150</v>
      </c>
      <c r="BK56" s="229">
        <v>-0.40010000000000001</v>
      </c>
      <c r="BL56" s="230">
        <v>4471625</v>
      </c>
      <c r="BM56" s="230">
        <v>17519225</v>
      </c>
      <c r="BN56" s="230">
        <v>-13047600</v>
      </c>
      <c r="BO56" s="229">
        <v>-0.74480000000000002</v>
      </c>
      <c r="BP56" s="230">
        <v>17932150</v>
      </c>
      <c r="BQ56" s="230">
        <v>41282125</v>
      </c>
      <c r="BR56" s="230">
        <v>-23349975</v>
      </c>
      <c r="BS56" s="229">
        <v>-0.56559999999999999</v>
      </c>
      <c r="BT56" s="230">
        <v>2430013</v>
      </c>
      <c r="BU56" s="230">
        <v>4782248</v>
      </c>
      <c r="BV56" s="230">
        <v>-2352235</v>
      </c>
      <c r="BW56" s="229">
        <v>-0.4919</v>
      </c>
      <c r="BX56" s="230">
        <v>29220150</v>
      </c>
      <c r="BY56" s="230">
        <v>30537775</v>
      </c>
      <c r="BZ56" s="230">
        <v>-1317625</v>
      </c>
      <c r="CA56" s="229">
        <v>-4.3099999999999999E-2</v>
      </c>
      <c r="CB56" s="230">
        <v>28888150</v>
      </c>
      <c r="CC56" s="230">
        <v>30220300</v>
      </c>
      <c r="CD56" s="230">
        <v>-1332150</v>
      </c>
      <c r="CE56" s="229">
        <v>-4.41E-2</v>
      </c>
      <c r="CF56" s="230">
        <v>317475</v>
      </c>
      <c r="CG56" s="230">
        <v>294650</v>
      </c>
      <c r="CH56" s="230">
        <v>22825</v>
      </c>
      <c r="CI56" s="229">
        <v>7.7499999999999999E-2</v>
      </c>
      <c r="CJ56" s="230">
        <v>14525</v>
      </c>
      <c r="CK56" s="230">
        <v>22825</v>
      </c>
      <c r="CL56" s="230">
        <v>-8300</v>
      </c>
      <c r="CM56" s="229">
        <v>-0.36359999999999998</v>
      </c>
      <c r="CN56" s="230">
        <v>7142150</v>
      </c>
      <c r="CO56" s="230">
        <v>6554925</v>
      </c>
      <c r="CP56" s="230">
        <v>587225</v>
      </c>
      <c r="CQ56" s="229">
        <v>8.9599999999999999E-2</v>
      </c>
      <c r="CR56" s="230">
        <v>4195650</v>
      </c>
      <c r="CS56" s="230">
        <v>4245450</v>
      </c>
      <c r="CT56" s="230">
        <v>-49800</v>
      </c>
      <c r="CU56" s="229">
        <v>-1.17E-2</v>
      </c>
      <c r="CV56" s="230">
        <v>40557950</v>
      </c>
      <c r="CW56" s="230">
        <v>41338150</v>
      </c>
      <c r="CX56" s="230">
        <v>-780200</v>
      </c>
      <c r="CY56" s="229">
        <v>-1.89E-2</v>
      </c>
      <c r="CZ56" s="228">
        <v>35.340000000000003</v>
      </c>
      <c r="DA56" s="228">
        <v>36.19</v>
      </c>
      <c r="DB56" s="228">
        <v>-0.85</v>
      </c>
      <c r="DC56" s="228">
        <v>-0.85</v>
      </c>
      <c r="DD56" s="228">
        <v>38.99</v>
      </c>
      <c r="DE56" s="228">
        <v>38.93</v>
      </c>
      <c r="DF56" s="228">
        <v>-3.65</v>
      </c>
      <c r="DG56" s="228">
        <v>0.06</v>
      </c>
      <c r="DH56" s="228">
        <v>34.85</v>
      </c>
      <c r="DI56" s="228">
        <v>35.479999999999997</v>
      </c>
      <c r="DJ56" s="228">
        <v>-0.63</v>
      </c>
      <c r="DK56" s="228">
        <v>-0.63</v>
      </c>
      <c r="DL56" s="228">
        <v>36.229999999999997</v>
      </c>
      <c r="DM56" s="228">
        <v>36.729999999999997</v>
      </c>
      <c r="DN56" s="228">
        <v>-0.5</v>
      </c>
      <c r="DO56" s="228">
        <v>-0.5</v>
      </c>
      <c r="DP56" s="228">
        <v>0.59</v>
      </c>
      <c r="DQ56" s="228">
        <v>0.65</v>
      </c>
      <c r="DR56" s="228">
        <v>-0.06</v>
      </c>
      <c r="DS56" s="229">
        <v>-9.2299999999999993E-2</v>
      </c>
      <c r="DT56" s="228">
        <v>500</v>
      </c>
      <c r="DU56" s="228">
        <v>440</v>
      </c>
      <c r="DV56" s="228">
        <v>0.56000000000000005</v>
      </c>
      <c r="DW56" s="228">
        <v>1.32</v>
      </c>
      <c r="DX56" s="228">
        <v>-0.76</v>
      </c>
      <c r="DY56" s="229">
        <v>-0.57579999999999998</v>
      </c>
      <c r="DZ56" s="229">
        <v>1.14E-2</v>
      </c>
      <c r="EA56" s="230">
        <v>317475</v>
      </c>
      <c r="EB56" s="229">
        <v>5.0000000000000001E-3</v>
      </c>
      <c r="EC56" s="229">
        <v>1.14E-2</v>
      </c>
      <c r="ED56" s="228">
        <v>4.05</v>
      </c>
      <c r="EE56" s="229">
        <v>8.6999999999999994E-3</v>
      </c>
      <c r="EF56" s="230">
        <v>975029</v>
      </c>
      <c r="EG56" s="230">
        <v>1969544</v>
      </c>
      <c r="EH56" s="229">
        <v>-0.50490000000000002</v>
      </c>
      <c r="EI56" s="229">
        <v>0.4012</v>
      </c>
      <c r="EJ56" s="231">
        <v>39420.120000000003</v>
      </c>
      <c r="EK56" s="231">
        <v>20432.37</v>
      </c>
      <c r="EL56" s="231">
        <v>25704.42</v>
      </c>
      <c r="EM56" s="231">
        <v>2777</v>
      </c>
      <c r="EN56" s="231">
        <v>85556.91</v>
      </c>
      <c r="EO56" s="231">
        <v>192760.36</v>
      </c>
      <c r="EP56" s="231">
        <v>-107203.45</v>
      </c>
      <c r="EQ56" s="229">
        <v>-0.55610000000000004</v>
      </c>
      <c r="ER56" s="231">
        <v>34965</v>
      </c>
      <c r="ES56" s="231">
        <v>18529</v>
      </c>
      <c r="ET56" s="231">
        <v>138424</v>
      </c>
      <c r="EU56" s="231">
        <v>83072620</v>
      </c>
      <c r="EV56" s="231">
        <v>191918</v>
      </c>
      <c r="EW56" s="231">
        <v>191579</v>
      </c>
      <c r="EX56" s="228">
        <v>339</v>
      </c>
      <c r="EY56" s="229">
        <v>1.8E-3</v>
      </c>
      <c r="EZ56" s="229">
        <v>0.48820000000000002</v>
      </c>
      <c r="FA56" s="227" t="s">
        <v>691</v>
      </c>
      <c r="FB56" s="161">
        <f t="shared" si="0"/>
        <v>332000</v>
      </c>
    </row>
    <row r="57" spans="1:158" ht="17.25" thickBot="1" x14ac:dyDescent="0.3">
      <c r="A57" s="226">
        <v>46148</v>
      </c>
      <c r="B57" s="227" t="s">
        <v>170</v>
      </c>
      <c r="C57" s="227" t="s">
        <v>205</v>
      </c>
      <c r="D57" s="228">
        <v>100</v>
      </c>
      <c r="E57" s="231">
        <v>6738.5</v>
      </c>
      <c r="F57" s="231">
        <v>6667</v>
      </c>
      <c r="G57" s="228">
        <v>71.5</v>
      </c>
      <c r="H57" s="229">
        <v>1.0699999999999999E-2</v>
      </c>
      <c r="I57" s="231">
        <v>6702</v>
      </c>
      <c r="J57" s="231">
        <v>6651</v>
      </c>
      <c r="K57" s="228">
        <v>51</v>
      </c>
      <c r="L57" s="229">
        <v>7.7000000000000002E-3</v>
      </c>
      <c r="M57" s="231">
        <v>6738.5</v>
      </c>
      <c r="N57" s="231">
        <v>6667</v>
      </c>
      <c r="O57" s="228">
        <v>71.5</v>
      </c>
      <c r="P57" s="229">
        <v>1.0699999999999999E-2</v>
      </c>
      <c r="Q57" s="231">
        <v>6783</v>
      </c>
      <c r="R57" s="231">
        <v>6710</v>
      </c>
      <c r="S57" s="228">
        <v>73</v>
      </c>
      <c r="T57" s="229">
        <v>1.09E-2</v>
      </c>
      <c r="U57" s="231">
        <v>6787</v>
      </c>
      <c r="V57" s="231">
        <v>6716</v>
      </c>
      <c r="W57" s="228">
        <v>71</v>
      </c>
      <c r="X57" s="229">
        <v>1.06E-2</v>
      </c>
      <c r="Y57" s="228">
        <v>36.5</v>
      </c>
      <c r="Z57" s="228">
        <v>16</v>
      </c>
      <c r="AA57" s="228">
        <v>20.5</v>
      </c>
      <c r="AB57" s="229">
        <v>5.4000000000000003E-3</v>
      </c>
      <c r="AC57" s="228">
        <v>36.5</v>
      </c>
      <c r="AD57" s="228">
        <v>16</v>
      </c>
      <c r="AE57" s="228">
        <v>20.5</v>
      </c>
      <c r="AF57" s="229">
        <v>5.4000000000000003E-3</v>
      </c>
      <c r="AG57" s="228">
        <v>81</v>
      </c>
      <c r="AH57" s="228">
        <v>59</v>
      </c>
      <c r="AI57" s="228">
        <v>22</v>
      </c>
      <c r="AJ57" s="229">
        <v>1.21E-2</v>
      </c>
      <c r="AK57" s="228">
        <v>85</v>
      </c>
      <c r="AL57" s="228">
        <v>65</v>
      </c>
      <c r="AM57" s="228">
        <v>20</v>
      </c>
      <c r="AN57" s="229">
        <v>1.2699999999999999E-2</v>
      </c>
      <c r="AO57" s="231">
        <v>6743.26</v>
      </c>
      <c r="AP57" s="231">
        <v>6769.38</v>
      </c>
      <c r="AQ57" s="228">
        <v>0</v>
      </c>
      <c r="AR57" s="230">
        <v>312900</v>
      </c>
      <c r="AS57" s="230">
        <v>159800</v>
      </c>
      <c r="AT57" s="230">
        <v>153100</v>
      </c>
      <c r="AU57" s="229">
        <v>0.95809999999999995</v>
      </c>
      <c r="AV57" s="230">
        <v>305900</v>
      </c>
      <c r="AW57" s="230">
        <v>154900</v>
      </c>
      <c r="AX57" s="230">
        <v>151000</v>
      </c>
      <c r="AY57" s="229">
        <v>0.9748</v>
      </c>
      <c r="AZ57" s="230">
        <v>6400</v>
      </c>
      <c r="BA57" s="230">
        <v>4300</v>
      </c>
      <c r="BB57" s="230">
        <v>2100</v>
      </c>
      <c r="BC57" s="229">
        <v>0.4884</v>
      </c>
      <c r="BD57" s="228">
        <v>600</v>
      </c>
      <c r="BE57" s="228">
        <v>600</v>
      </c>
      <c r="BF57" s="228">
        <v>0</v>
      </c>
      <c r="BG57" s="229">
        <v>0</v>
      </c>
      <c r="BH57" s="230">
        <v>1120400</v>
      </c>
      <c r="BI57" s="230">
        <v>815800</v>
      </c>
      <c r="BJ57" s="230">
        <v>304600</v>
      </c>
      <c r="BK57" s="229">
        <v>0.37340000000000001</v>
      </c>
      <c r="BL57" s="230">
        <v>503200</v>
      </c>
      <c r="BM57" s="230">
        <v>356600</v>
      </c>
      <c r="BN57" s="230">
        <v>146600</v>
      </c>
      <c r="BO57" s="229">
        <v>0.41110000000000002</v>
      </c>
      <c r="BP57" s="230">
        <v>1936500</v>
      </c>
      <c r="BQ57" s="230">
        <v>1332200</v>
      </c>
      <c r="BR57" s="230">
        <v>604300</v>
      </c>
      <c r="BS57" s="229">
        <v>0.4536</v>
      </c>
      <c r="BT57" s="230">
        <v>331939</v>
      </c>
      <c r="BU57" s="230">
        <v>205766</v>
      </c>
      <c r="BV57" s="230">
        <v>126173</v>
      </c>
      <c r="BW57" s="229">
        <v>0.61319999999999997</v>
      </c>
      <c r="BX57" s="230">
        <v>2413700</v>
      </c>
      <c r="BY57" s="230">
        <v>2438800</v>
      </c>
      <c r="BZ57" s="230">
        <v>-25100</v>
      </c>
      <c r="CA57" s="229">
        <v>-1.03E-2</v>
      </c>
      <c r="CB57" s="230">
        <v>2121700</v>
      </c>
      <c r="CC57" s="230">
        <v>2145800</v>
      </c>
      <c r="CD57" s="230">
        <v>-24100</v>
      </c>
      <c r="CE57" s="229">
        <v>-1.12E-2</v>
      </c>
      <c r="CF57" s="230">
        <v>291300</v>
      </c>
      <c r="CG57" s="230">
        <v>292100</v>
      </c>
      <c r="CH57" s="228">
        <v>-800</v>
      </c>
      <c r="CI57" s="229">
        <v>-2.7000000000000001E-3</v>
      </c>
      <c r="CJ57" s="228">
        <v>700</v>
      </c>
      <c r="CK57" s="228">
        <v>900</v>
      </c>
      <c r="CL57" s="228">
        <v>-200</v>
      </c>
      <c r="CM57" s="229">
        <v>-0.22220000000000001</v>
      </c>
      <c r="CN57" s="230">
        <v>707500</v>
      </c>
      <c r="CO57" s="230">
        <v>642000</v>
      </c>
      <c r="CP57" s="230">
        <v>65500</v>
      </c>
      <c r="CQ57" s="229">
        <v>0.10199999999999999</v>
      </c>
      <c r="CR57" s="230">
        <v>477200</v>
      </c>
      <c r="CS57" s="230">
        <v>414100</v>
      </c>
      <c r="CT57" s="230">
        <v>63100</v>
      </c>
      <c r="CU57" s="229">
        <v>0.15240000000000001</v>
      </c>
      <c r="CV57" s="230">
        <v>3598400</v>
      </c>
      <c r="CW57" s="230">
        <v>3494900</v>
      </c>
      <c r="CX57" s="230">
        <v>103500</v>
      </c>
      <c r="CY57" s="229">
        <v>2.9600000000000001E-2</v>
      </c>
      <c r="CZ57" s="228">
        <v>27.36</v>
      </c>
      <c r="DA57" s="228">
        <v>28.76</v>
      </c>
      <c r="DB57" s="228">
        <v>-1.4</v>
      </c>
      <c r="DC57" s="228">
        <v>-1.4</v>
      </c>
      <c r="DD57" s="228">
        <v>29.27</v>
      </c>
      <c r="DE57" s="228">
        <v>29.33</v>
      </c>
      <c r="DF57" s="228">
        <v>-1.91</v>
      </c>
      <c r="DG57" s="228">
        <v>-0.06</v>
      </c>
      <c r="DH57" s="228">
        <v>27.21</v>
      </c>
      <c r="DI57" s="228">
        <v>28.56</v>
      </c>
      <c r="DJ57" s="228">
        <v>-1.35</v>
      </c>
      <c r="DK57" s="228">
        <v>-1.35</v>
      </c>
      <c r="DL57" s="228">
        <v>27.72</v>
      </c>
      <c r="DM57" s="228">
        <v>29.22</v>
      </c>
      <c r="DN57" s="228">
        <v>-1.5</v>
      </c>
      <c r="DO57" s="228">
        <v>-1.5</v>
      </c>
      <c r="DP57" s="228">
        <v>0.67</v>
      </c>
      <c r="DQ57" s="228">
        <v>0.65</v>
      </c>
      <c r="DR57" s="228">
        <v>0.02</v>
      </c>
      <c r="DS57" s="229">
        <v>3.0800000000000001E-2</v>
      </c>
      <c r="DT57" s="231">
        <v>7300</v>
      </c>
      <c r="DU57" s="231">
        <v>6500</v>
      </c>
      <c r="DV57" s="228">
        <v>0.45</v>
      </c>
      <c r="DW57" s="228">
        <v>0.44</v>
      </c>
      <c r="DX57" s="228">
        <v>0.01</v>
      </c>
      <c r="DY57" s="229">
        <v>2.2700000000000001E-2</v>
      </c>
      <c r="DZ57" s="229">
        <v>0.121</v>
      </c>
      <c r="EA57" s="230">
        <v>293000</v>
      </c>
      <c r="EB57" s="229">
        <v>6.6E-3</v>
      </c>
      <c r="EC57" s="229">
        <v>0.121</v>
      </c>
      <c r="ED57" s="228">
        <v>26.12</v>
      </c>
      <c r="EE57" s="229">
        <v>3.8999999999999998E-3</v>
      </c>
      <c r="EF57" s="230">
        <v>170820</v>
      </c>
      <c r="EG57" s="230">
        <v>104626</v>
      </c>
      <c r="EH57" s="229">
        <v>0.63270000000000004</v>
      </c>
      <c r="EI57" s="229">
        <v>0.51459999999999995</v>
      </c>
      <c r="EJ57" s="231">
        <v>79119.89</v>
      </c>
      <c r="EK57" s="231">
        <v>32554.46</v>
      </c>
      <c r="EL57" s="231">
        <v>21101.8</v>
      </c>
      <c r="EM57" s="231">
        <v>2029</v>
      </c>
      <c r="EN57" s="231">
        <v>132776.15</v>
      </c>
      <c r="EO57" s="231">
        <v>90915.36</v>
      </c>
      <c r="EP57" s="231">
        <v>41860.79</v>
      </c>
      <c r="EQ57" s="229">
        <v>0.46039999999999998</v>
      </c>
      <c r="ER57" s="231">
        <v>48856</v>
      </c>
      <c r="ES57" s="231">
        <v>30122</v>
      </c>
      <c r="ET57" s="231">
        <v>162777</v>
      </c>
      <c r="EU57" s="231">
        <v>15815194</v>
      </c>
      <c r="EV57" s="231">
        <v>241755</v>
      </c>
      <c r="EW57" s="231">
        <v>232606</v>
      </c>
      <c r="EX57" s="231">
        <v>9149</v>
      </c>
      <c r="EY57" s="229">
        <v>3.9300000000000002E-2</v>
      </c>
      <c r="EZ57" s="229">
        <v>0.22750000000000001</v>
      </c>
      <c r="FA57" s="227" t="s">
        <v>691</v>
      </c>
      <c r="FB57" s="161">
        <f t="shared" si="0"/>
        <v>292000</v>
      </c>
    </row>
    <row r="58" spans="1:158" ht="17.25" thickBot="1" x14ac:dyDescent="0.3">
      <c r="A58" s="226">
        <v>46148</v>
      </c>
      <c r="B58" s="227" t="s">
        <v>184</v>
      </c>
      <c r="C58" s="227" t="s">
        <v>512</v>
      </c>
      <c r="D58" s="228">
        <v>50</v>
      </c>
      <c r="E58" s="231">
        <v>11360</v>
      </c>
      <c r="F58" s="231">
        <v>11277</v>
      </c>
      <c r="G58" s="228">
        <v>83</v>
      </c>
      <c r="H58" s="229">
        <v>7.4000000000000003E-3</v>
      </c>
      <c r="I58" s="231">
        <v>11299</v>
      </c>
      <c r="J58" s="231">
        <v>11253</v>
      </c>
      <c r="K58" s="228">
        <v>46</v>
      </c>
      <c r="L58" s="229">
        <v>4.1000000000000003E-3</v>
      </c>
      <c r="M58" s="231">
        <v>11360</v>
      </c>
      <c r="N58" s="231">
        <v>11277</v>
      </c>
      <c r="O58" s="228">
        <v>83</v>
      </c>
      <c r="P58" s="229">
        <v>7.4000000000000003E-3</v>
      </c>
      <c r="Q58" s="231">
        <v>11308</v>
      </c>
      <c r="R58" s="231">
        <v>11222</v>
      </c>
      <c r="S58" s="228">
        <v>86</v>
      </c>
      <c r="T58" s="229">
        <v>7.7000000000000002E-3</v>
      </c>
      <c r="U58" s="231">
        <v>11290</v>
      </c>
      <c r="V58" s="231">
        <v>11204</v>
      </c>
      <c r="W58" s="228">
        <v>86</v>
      </c>
      <c r="X58" s="229">
        <v>7.7000000000000002E-3</v>
      </c>
      <c r="Y58" s="228">
        <v>61</v>
      </c>
      <c r="Z58" s="228">
        <v>24</v>
      </c>
      <c r="AA58" s="228">
        <v>37</v>
      </c>
      <c r="AB58" s="229">
        <v>5.4000000000000003E-3</v>
      </c>
      <c r="AC58" s="228">
        <v>61</v>
      </c>
      <c r="AD58" s="228">
        <v>24</v>
      </c>
      <c r="AE58" s="228">
        <v>37</v>
      </c>
      <c r="AF58" s="229">
        <v>5.4000000000000003E-3</v>
      </c>
      <c r="AG58" s="228">
        <v>9</v>
      </c>
      <c r="AH58" s="228">
        <v>-31</v>
      </c>
      <c r="AI58" s="228">
        <v>40</v>
      </c>
      <c r="AJ58" s="229">
        <v>8.0000000000000004E-4</v>
      </c>
      <c r="AK58" s="228">
        <v>-9</v>
      </c>
      <c r="AL58" s="228">
        <v>-49</v>
      </c>
      <c r="AM58" s="228">
        <v>40</v>
      </c>
      <c r="AN58" s="229">
        <v>-8.0000000000000004E-4</v>
      </c>
      <c r="AO58" s="231">
        <v>11302.71</v>
      </c>
      <c r="AP58" s="231">
        <v>11248.1</v>
      </c>
      <c r="AQ58" s="228">
        <v>0</v>
      </c>
      <c r="AR58" s="230">
        <v>484600</v>
      </c>
      <c r="AS58" s="230">
        <v>721400</v>
      </c>
      <c r="AT58" s="230">
        <v>-236800</v>
      </c>
      <c r="AU58" s="229">
        <v>-0.32829999999999998</v>
      </c>
      <c r="AV58" s="230">
        <v>434400</v>
      </c>
      <c r="AW58" s="230">
        <v>645000</v>
      </c>
      <c r="AX58" s="230">
        <v>-210600</v>
      </c>
      <c r="AY58" s="229">
        <v>-0.32650000000000001</v>
      </c>
      <c r="AZ58" s="230">
        <v>44100</v>
      </c>
      <c r="BA58" s="230">
        <v>64350</v>
      </c>
      <c r="BB58" s="230">
        <v>-20250</v>
      </c>
      <c r="BC58" s="229">
        <v>-0.31469999999999998</v>
      </c>
      <c r="BD58" s="230">
        <v>6100</v>
      </c>
      <c r="BE58" s="230">
        <v>12050</v>
      </c>
      <c r="BF58" s="230">
        <v>-5950</v>
      </c>
      <c r="BG58" s="229">
        <v>-0.49380000000000002</v>
      </c>
      <c r="BH58" s="230">
        <v>1076250</v>
      </c>
      <c r="BI58" s="230">
        <v>1501000</v>
      </c>
      <c r="BJ58" s="230">
        <v>-424750</v>
      </c>
      <c r="BK58" s="229">
        <v>-0.28299999999999997</v>
      </c>
      <c r="BL58" s="230">
        <v>477450</v>
      </c>
      <c r="BM58" s="230">
        <v>780550</v>
      </c>
      <c r="BN58" s="230">
        <v>-303100</v>
      </c>
      <c r="BO58" s="229">
        <v>-0.38829999999999998</v>
      </c>
      <c r="BP58" s="230">
        <v>2038300</v>
      </c>
      <c r="BQ58" s="230">
        <v>3002950</v>
      </c>
      <c r="BR58" s="230">
        <v>-964650</v>
      </c>
      <c r="BS58" s="229">
        <v>-0.32119999999999999</v>
      </c>
      <c r="BT58" s="230">
        <v>409541</v>
      </c>
      <c r="BU58" s="230">
        <v>587595</v>
      </c>
      <c r="BV58" s="230">
        <v>-178054</v>
      </c>
      <c r="BW58" s="229">
        <v>-0.30299999999999999</v>
      </c>
      <c r="BX58" s="230">
        <v>3142850</v>
      </c>
      <c r="BY58" s="230">
        <v>3096000</v>
      </c>
      <c r="BZ58" s="230">
        <v>46850</v>
      </c>
      <c r="CA58" s="229">
        <v>1.5100000000000001E-2</v>
      </c>
      <c r="CB58" s="230">
        <v>2950300</v>
      </c>
      <c r="CC58" s="230">
        <v>2916800</v>
      </c>
      <c r="CD58" s="230">
        <v>33500</v>
      </c>
      <c r="CE58" s="229">
        <v>1.15E-2</v>
      </c>
      <c r="CF58" s="230">
        <v>172500</v>
      </c>
      <c r="CG58" s="230">
        <v>162050</v>
      </c>
      <c r="CH58" s="230">
        <v>10450</v>
      </c>
      <c r="CI58" s="229">
        <v>6.4500000000000002E-2</v>
      </c>
      <c r="CJ58" s="230">
        <v>20050</v>
      </c>
      <c r="CK58" s="230">
        <v>17150</v>
      </c>
      <c r="CL58" s="230">
        <v>2900</v>
      </c>
      <c r="CM58" s="229">
        <v>0.1691</v>
      </c>
      <c r="CN58" s="230">
        <v>1186750</v>
      </c>
      <c r="CO58" s="230">
        <v>1071550</v>
      </c>
      <c r="CP58" s="230">
        <v>115200</v>
      </c>
      <c r="CQ58" s="229">
        <v>0.1075</v>
      </c>
      <c r="CR58" s="230">
        <v>1017900</v>
      </c>
      <c r="CS58" s="230">
        <v>988150</v>
      </c>
      <c r="CT58" s="230">
        <v>29750</v>
      </c>
      <c r="CU58" s="229">
        <v>3.0099999999999998E-2</v>
      </c>
      <c r="CV58" s="230">
        <v>5347500</v>
      </c>
      <c r="CW58" s="230">
        <v>5155700</v>
      </c>
      <c r="CX58" s="230">
        <v>191800</v>
      </c>
      <c r="CY58" s="229">
        <v>3.7199999999999997E-2</v>
      </c>
      <c r="CZ58" s="228">
        <v>47.48</v>
      </c>
      <c r="DA58" s="228">
        <v>48.55</v>
      </c>
      <c r="DB58" s="228">
        <v>-1.07</v>
      </c>
      <c r="DC58" s="228">
        <v>-1.07</v>
      </c>
      <c r="DD58" s="228">
        <v>48.71</v>
      </c>
      <c r="DE58" s="228">
        <v>48.83</v>
      </c>
      <c r="DF58" s="228">
        <v>-1.23</v>
      </c>
      <c r="DG58" s="228">
        <v>-0.12</v>
      </c>
      <c r="DH58" s="228">
        <v>47.29</v>
      </c>
      <c r="DI58" s="228">
        <v>48.45</v>
      </c>
      <c r="DJ58" s="228">
        <v>-1.1599999999999999</v>
      </c>
      <c r="DK58" s="228">
        <v>-1.1599999999999999</v>
      </c>
      <c r="DL58" s="228">
        <v>47.91</v>
      </c>
      <c r="DM58" s="228">
        <v>48.75</v>
      </c>
      <c r="DN58" s="228">
        <v>-0.84</v>
      </c>
      <c r="DO58" s="228">
        <v>-0.84</v>
      </c>
      <c r="DP58" s="228">
        <v>0.86</v>
      </c>
      <c r="DQ58" s="228">
        <v>0.92</v>
      </c>
      <c r="DR58" s="228">
        <v>-0.06</v>
      </c>
      <c r="DS58" s="229">
        <v>-6.5199999999999994E-2</v>
      </c>
      <c r="DT58" s="231">
        <v>12000</v>
      </c>
      <c r="DU58" s="231">
        <v>11000</v>
      </c>
      <c r="DV58" s="228">
        <v>0.44</v>
      </c>
      <c r="DW58" s="228">
        <v>0.52</v>
      </c>
      <c r="DX58" s="228">
        <v>-0.08</v>
      </c>
      <c r="DY58" s="229">
        <v>-0.15379999999999999</v>
      </c>
      <c r="DZ58" s="229">
        <v>6.13E-2</v>
      </c>
      <c r="EA58" s="230">
        <v>179200</v>
      </c>
      <c r="EB58" s="229">
        <v>-4.5999999999999999E-3</v>
      </c>
      <c r="EC58" s="229">
        <v>6.13E-2</v>
      </c>
      <c r="ED58" s="228">
        <v>-54.61</v>
      </c>
      <c r="EE58" s="229">
        <v>-4.7999999999999996E-3</v>
      </c>
      <c r="EF58" s="230">
        <v>117419</v>
      </c>
      <c r="EG58" s="230">
        <v>145204</v>
      </c>
      <c r="EH58" s="229">
        <v>-0.19139999999999999</v>
      </c>
      <c r="EI58" s="229">
        <v>0.28670000000000001</v>
      </c>
      <c r="EJ58" s="231">
        <v>130935.58</v>
      </c>
      <c r="EK58" s="231">
        <v>52238.73</v>
      </c>
      <c r="EL58" s="231">
        <v>54743.88</v>
      </c>
      <c r="EM58" s="231">
        <v>11871</v>
      </c>
      <c r="EN58" s="231">
        <v>237918.19</v>
      </c>
      <c r="EO58" s="231">
        <v>353327.15</v>
      </c>
      <c r="EP58" s="231">
        <v>-115408.96000000001</v>
      </c>
      <c r="EQ58" s="229">
        <v>-0.3266</v>
      </c>
      <c r="ER58" s="231">
        <v>140240</v>
      </c>
      <c r="ES58" s="231">
        <v>108669</v>
      </c>
      <c r="ET58" s="231">
        <v>356924</v>
      </c>
      <c r="EU58" s="231">
        <v>6478285</v>
      </c>
      <c r="EV58" s="231">
        <v>605832</v>
      </c>
      <c r="EW58" s="231">
        <v>580977</v>
      </c>
      <c r="EX58" s="231">
        <v>24855</v>
      </c>
      <c r="EY58" s="229">
        <v>4.2799999999999998E-2</v>
      </c>
      <c r="EZ58" s="229">
        <v>0.82540000000000002</v>
      </c>
      <c r="FA58" s="227" t="s">
        <v>555</v>
      </c>
      <c r="FB58" s="161">
        <f t="shared" si="0"/>
        <v>192550</v>
      </c>
    </row>
    <row r="59" spans="1:158" ht="17.25" thickBot="1" x14ac:dyDescent="0.3">
      <c r="A59" s="226">
        <v>46148</v>
      </c>
      <c r="B59" s="227" t="s">
        <v>206</v>
      </c>
      <c r="C59" s="227" t="s">
        <v>207</v>
      </c>
      <c r="D59" s="228">
        <v>825</v>
      </c>
      <c r="E59" s="228">
        <v>614</v>
      </c>
      <c r="F59" s="228">
        <v>599.1</v>
      </c>
      <c r="G59" s="228">
        <v>14.9</v>
      </c>
      <c r="H59" s="229">
        <v>2.4899999999999999E-2</v>
      </c>
      <c r="I59" s="228">
        <v>609.6</v>
      </c>
      <c r="J59" s="228">
        <v>597.29999999999995</v>
      </c>
      <c r="K59" s="228">
        <v>12.3</v>
      </c>
      <c r="L59" s="229">
        <v>2.06E-2</v>
      </c>
      <c r="M59" s="228">
        <v>614</v>
      </c>
      <c r="N59" s="228">
        <v>599.1</v>
      </c>
      <c r="O59" s="228">
        <v>14.9</v>
      </c>
      <c r="P59" s="229">
        <v>2.4899999999999999E-2</v>
      </c>
      <c r="Q59" s="228">
        <v>617.75</v>
      </c>
      <c r="R59" s="228">
        <v>602.70000000000005</v>
      </c>
      <c r="S59" s="228">
        <v>15.05</v>
      </c>
      <c r="T59" s="229">
        <v>2.5000000000000001E-2</v>
      </c>
      <c r="U59" s="228">
        <v>618.4</v>
      </c>
      <c r="V59" s="228">
        <v>602.65</v>
      </c>
      <c r="W59" s="228">
        <v>15.75</v>
      </c>
      <c r="X59" s="229">
        <v>2.6100000000000002E-2</v>
      </c>
      <c r="Y59" s="228">
        <v>4.4000000000000004</v>
      </c>
      <c r="Z59" s="228">
        <v>1.8</v>
      </c>
      <c r="AA59" s="228">
        <v>2.6</v>
      </c>
      <c r="AB59" s="229">
        <v>7.1999999999999998E-3</v>
      </c>
      <c r="AC59" s="228">
        <v>4.4000000000000004</v>
      </c>
      <c r="AD59" s="228">
        <v>1.8</v>
      </c>
      <c r="AE59" s="228">
        <v>2.6</v>
      </c>
      <c r="AF59" s="229">
        <v>7.1999999999999998E-3</v>
      </c>
      <c r="AG59" s="228">
        <v>8.15</v>
      </c>
      <c r="AH59" s="228">
        <v>5.4</v>
      </c>
      <c r="AI59" s="228">
        <v>2.75</v>
      </c>
      <c r="AJ59" s="229">
        <v>1.34E-2</v>
      </c>
      <c r="AK59" s="228">
        <v>8.8000000000000007</v>
      </c>
      <c r="AL59" s="228">
        <v>5.35</v>
      </c>
      <c r="AM59" s="228">
        <v>3.45</v>
      </c>
      <c r="AN59" s="229">
        <v>1.44E-2</v>
      </c>
      <c r="AO59" s="228">
        <v>608.16999999999996</v>
      </c>
      <c r="AP59" s="228">
        <v>612.41999999999996</v>
      </c>
      <c r="AQ59" s="228">
        <v>0</v>
      </c>
      <c r="AR59" s="230">
        <v>4624125</v>
      </c>
      <c r="AS59" s="230">
        <v>4134900</v>
      </c>
      <c r="AT59" s="230">
        <v>489225</v>
      </c>
      <c r="AU59" s="229">
        <v>0.1183</v>
      </c>
      <c r="AV59" s="230">
        <v>4366725</v>
      </c>
      <c r="AW59" s="230">
        <v>3927825</v>
      </c>
      <c r="AX59" s="230">
        <v>438900</v>
      </c>
      <c r="AY59" s="229">
        <v>0.11169999999999999</v>
      </c>
      <c r="AZ59" s="230">
        <v>219450</v>
      </c>
      <c r="BA59" s="230">
        <v>185625</v>
      </c>
      <c r="BB59" s="230">
        <v>33825</v>
      </c>
      <c r="BC59" s="229">
        <v>0.1822</v>
      </c>
      <c r="BD59" s="230">
        <v>37950</v>
      </c>
      <c r="BE59" s="230">
        <v>21450</v>
      </c>
      <c r="BF59" s="230">
        <v>16500</v>
      </c>
      <c r="BG59" s="229">
        <v>0.76919999999999999</v>
      </c>
      <c r="BH59" s="230">
        <v>11169675</v>
      </c>
      <c r="BI59" s="230">
        <v>10402425</v>
      </c>
      <c r="BJ59" s="230">
        <v>767250</v>
      </c>
      <c r="BK59" s="229">
        <v>7.3800000000000004E-2</v>
      </c>
      <c r="BL59" s="230">
        <v>4855950</v>
      </c>
      <c r="BM59" s="230">
        <v>4760250</v>
      </c>
      <c r="BN59" s="230">
        <v>95700</v>
      </c>
      <c r="BO59" s="229">
        <v>2.01E-2</v>
      </c>
      <c r="BP59" s="230">
        <v>20649750</v>
      </c>
      <c r="BQ59" s="230">
        <v>19297575</v>
      </c>
      <c r="BR59" s="230">
        <v>1352175</v>
      </c>
      <c r="BS59" s="229">
        <v>7.0099999999999996E-2</v>
      </c>
      <c r="BT59" s="230">
        <v>2634554</v>
      </c>
      <c r="BU59" s="230">
        <v>3671434</v>
      </c>
      <c r="BV59" s="230">
        <v>-1036880</v>
      </c>
      <c r="BW59" s="229">
        <v>-0.28239999999999998</v>
      </c>
      <c r="BX59" s="230">
        <v>45728100</v>
      </c>
      <c r="BY59" s="230">
        <v>45705050</v>
      </c>
      <c r="BZ59" s="230">
        <v>23050</v>
      </c>
      <c r="CA59" s="229">
        <v>5.0000000000000001E-4</v>
      </c>
      <c r="CB59" s="230">
        <v>42650025</v>
      </c>
      <c r="CC59" s="230">
        <v>42678900</v>
      </c>
      <c r="CD59" s="230">
        <v>-28875</v>
      </c>
      <c r="CE59" s="229">
        <v>-6.9999999999999999E-4</v>
      </c>
      <c r="CF59" s="230">
        <v>3015375</v>
      </c>
      <c r="CG59" s="230">
        <v>2988150</v>
      </c>
      <c r="CH59" s="230">
        <v>27225</v>
      </c>
      <c r="CI59" s="229">
        <v>9.1000000000000004E-3</v>
      </c>
      <c r="CJ59" s="230">
        <v>62700</v>
      </c>
      <c r="CK59" s="230">
        <v>38000</v>
      </c>
      <c r="CL59" s="230">
        <v>24700</v>
      </c>
      <c r="CM59" s="229">
        <v>0.65</v>
      </c>
      <c r="CN59" s="230">
        <v>8149350</v>
      </c>
      <c r="CO59" s="230">
        <v>8129550</v>
      </c>
      <c r="CP59" s="230">
        <v>19800</v>
      </c>
      <c r="CQ59" s="229">
        <v>2.3999999999999998E-3</v>
      </c>
      <c r="CR59" s="230">
        <v>5960625</v>
      </c>
      <c r="CS59" s="230">
        <v>5875650</v>
      </c>
      <c r="CT59" s="230">
        <v>84975</v>
      </c>
      <c r="CU59" s="229">
        <v>1.4500000000000001E-2</v>
      </c>
      <c r="CV59" s="230">
        <v>59838075</v>
      </c>
      <c r="CW59" s="230">
        <v>59710250</v>
      </c>
      <c r="CX59" s="230">
        <v>127825</v>
      </c>
      <c r="CY59" s="229">
        <v>2.0999999999999999E-3</v>
      </c>
      <c r="CZ59" s="228">
        <v>35.44</v>
      </c>
      <c r="DA59" s="228">
        <v>36.39</v>
      </c>
      <c r="DB59" s="228">
        <v>-0.95</v>
      </c>
      <c r="DC59" s="228">
        <v>-0.95</v>
      </c>
      <c r="DD59" s="228">
        <v>37.799999999999997</v>
      </c>
      <c r="DE59" s="228">
        <v>37.799999999999997</v>
      </c>
      <c r="DF59" s="228">
        <v>-2.36</v>
      </c>
      <c r="DG59" s="228">
        <v>0</v>
      </c>
      <c r="DH59" s="228">
        <v>35.04</v>
      </c>
      <c r="DI59" s="228">
        <v>36.22</v>
      </c>
      <c r="DJ59" s="228">
        <v>-1.18</v>
      </c>
      <c r="DK59" s="228">
        <v>-1.18</v>
      </c>
      <c r="DL59" s="228">
        <v>36.369999999999997</v>
      </c>
      <c r="DM59" s="228">
        <v>36.76</v>
      </c>
      <c r="DN59" s="228">
        <v>-0.39</v>
      </c>
      <c r="DO59" s="228">
        <v>-0.39</v>
      </c>
      <c r="DP59" s="228">
        <v>0.73</v>
      </c>
      <c r="DQ59" s="228">
        <v>0.72</v>
      </c>
      <c r="DR59" s="228">
        <v>0.01</v>
      </c>
      <c r="DS59" s="229">
        <v>1.3899999999999999E-2</v>
      </c>
      <c r="DT59" s="228">
        <v>600</v>
      </c>
      <c r="DU59" s="228">
        <v>600</v>
      </c>
      <c r="DV59" s="228">
        <v>0.43</v>
      </c>
      <c r="DW59" s="228">
        <v>0.46</v>
      </c>
      <c r="DX59" s="228">
        <v>-0.03</v>
      </c>
      <c r="DY59" s="229">
        <v>-6.5199999999999994E-2</v>
      </c>
      <c r="DZ59" s="229">
        <v>6.7299999999999999E-2</v>
      </c>
      <c r="EA59" s="230">
        <v>3026150</v>
      </c>
      <c r="EB59" s="229">
        <v>6.1000000000000004E-3</v>
      </c>
      <c r="EC59" s="229">
        <v>6.7299999999999999E-2</v>
      </c>
      <c r="ED59" s="228">
        <v>4.25</v>
      </c>
      <c r="EE59" s="229">
        <v>7.0000000000000001E-3</v>
      </c>
      <c r="EF59" s="230">
        <v>973653</v>
      </c>
      <c r="EG59" s="230">
        <v>1412250</v>
      </c>
      <c r="EH59" s="229">
        <v>-0.31059999999999999</v>
      </c>
      <c r="EI59" s="229">
        <v>0.36959999999999998</v>
      </c>
      <c r="EJ59" s="231">
        <v>71441.38</v>
      </c>
      <c r="EK59" s="231">
        <v>29242</v>
      </c>
      <c r="EL59" s="231">
        <v>28169.52</v>
      </c>
      <c r="EM59" s="231">
        <v>5522</v>
      </c>
      <c r="EN59" s="231">
        <v>128852.9</v>
      </c>
      <c r="EO59" s="231">
        <v>120085.48</v>
      </c>
      <c r="EP59" s="231">
        <v>8767.42</v>
      </c>
      <c r="EQ59" s="229">
        <v>7.2999999999999995E-2</v>
      </c>
      <c r="ER59" s="231">
        <v>51109</v>
      </c>
      <c r="ES59" s="231">
        <v>35165</v>
      </c>
      <c r="ET59" s="231">
        <v>280886</v>
      </c>
      <c r="EU59" s="231">
        <v>96251298</v>
      </c>
      <c r="EV59" s="231">
        <v>367161</v>
      </c>
      <c r="EW59" s="231">
        <v>359269</v>
      </c>
      <c r="EX59" s="231">
        <v>7892</v>
      </c>
      <c r="EY59" s="229">
        <v>2.1999999999999999E-2</v>
      </c>
      <c r="EZ59" s="229">
        <v>0.62170000000000003</v>
      </c>
      <c r="FA59" s="227" t="s">
        <v>555</v>
      </c>
      <c r="FB59" s="161">
        <f t="shared" si="0"/>
        <v>3078075</v>
      </c>
    </row>
    <row r="60" spans="1:158" ht="17.25" thickBot="1" x14ac:dyDescent="0.3">
      <c r="A60" s="226">
        <v>46148</v>
      </c>
      <c r="B60" s="227" t="s">
        <v>614</v>
      </c>
      <c r="C60" s="227" t="s">
        <v>582</v>
      </c>
      <c r="D60" s="228">
        <v>150</v>
      </c>
      <c r="E60" s="231">
        <v>4432.6000000000004</v>
      </c>
      <c r="F60" s="231">
        <v>4370</v>
      </c>
      <c r="G60" s="228">
        <v>62.6</v>
      </c>
      <c r="H60" s="229">
        <v>1.43E-2</v>
      </c>
      <c r="I60" s="231">
        <v>4432.2</v>
      </c>
      <c r="J60" s="231">
        <v>4358.7</v>
      </c>
      <c r="K60" s="228">
        <v>73.5</v>
      </c>
      <c r="L60" s="229">
        <v>1.6899999999999998E-2</v>
      </c>
      <c r="M60" s="231">
        <v>4432.6000000000004</v>
      </c>
      <c r="N60" s="231">
        <v>4370</v>
      </c>
      <c r="O60" s="228">
        <v>62.6</v>
      </c>
      <c r="P60" s="229">
        <v>1.43E-2</v>
      </c>
      <c r="Q60" s="231">
        <v>4425.7</v>
      </c>
      <c r="R60" s="231">
        <v>4362.3</v>
      </c>
      <c r="S60" s="228">
        <v>63.4</v>
      </c>
      <c r="T60" s="229">
        <v>1.4500000000000001E-2</v>
      </c>
      <c r="U60" s="231">
        <v>4424.5</v>
      </c>
      <c r="V60" s="231">
        <v>4357.3999999999996</v>
      </c>
      <c r="W60" s="228">
        <v>67.099999999999994</v>
      </c>
      <c r="X60" s="229">
        <v>1.54E-2</v>
      </c>
      <c r="Y60" s="228">
        <v>0.4</v>
      </c>
      <c r="Z60" s="228">
        <v>11.3</v>
      </c>
      <c r="AA60" s="228">
        <v>-10.9</v>
      </c>
      <c r="AB60" s="229">
        <v>1E-4</v>
      </c>
      <c r="AC60" s="228">
        <v>0.4</v>
      </c>
      <c r="AD60" s="228">
        <v>11.3</v>
      </c>
      <c r="AE60" s="228">
        <v>-10.9</v>
      </c>
      <c r="AF60" s="229">
        <v>1E-4</v>
      </c>
      <c r="AG60" s="228">
        <v>-6.5</v>
      </c>
      <c r="AH60" s="228">
        <v>3.6</v>
      </c>
      <c r="AI60" s="228">
        <v>-10.1</v>
      </c>
      <c r="AJ60" s="229">
        <v>-1.5E-3</v>
      </c>
      <c r="AK60" s="228">
        <v>-7.7</v>
      </c>
      <c r="AL60" s="228">
        <v>-1.3</v>
      </c>
      <c r="AM60" s="228">
        <v>-6.4</v>
      </c>
      <c r="AN60" s="229">
        <v>-1.6999999999999999E-3</v>
      </c>
      <c r="AO60" s="231">
        <v>4411.71</v>
      </c>
      <c r="AP60" s="231">
        <v>4407.1000000000004</v>
      </c>
      <c r="AQ60" s="228">
        <v>0</v>
      </c>
      <c r="AR60" s="230">
        <v>541500</v>
      </c>
      <c r="AS60" s="230">
        <v>481500</v>
      </c>
      <c r="AT60" s="230">
        <v>60000</v>
      </c>
      <c r="AU60" s="229">
        <v>0.1246</v>
      </c>
      <c r="AV60" s="230">
        <v>504600</v>
      </c>
      <c r="AW60" s="230">
        <v>458400</v>
      </c>
      <c r="AX60" s="230">
        <v>46200</v>
      </c>
      <c r="AY60" s="229">
        <v>0.1008</v>
      </c>
      <c r="AZ60" s="230">
        <v>32100</v>
      </c>
      <c r="BA60" s="230">
        <v>19800</v>
      </c>
      <c r="BB60" s="230">
        <v>12300</v>
      </c>
      <c r="BC60" s="229">
        <v>0.62119999999999997</v>
      </c>
      <c r="BD60" s="230">
        <v>4800</v>
      </c>
      <c r="BE60" s="230">
        <v>3300</v>
      </c>
      <c r="BF60" s="230">
        <v>1500</v>
      </c>
      <c r="BG60" s="229">
        <v>0.45450000000000002</v>
      </c>
      <c r="BH60" s="230">
        <v>3235650</v>
      </c>
      <c r="BI60" s="230">
        <v>3534750</v>
      </c>
      <c r="BJ60" s="230">
        <v>-299100</v>
      </c>
      <c r="BK60" s="229">
        <v>-8.4599999999999995E-2</v>
      </c>
      <c r="BL60" s="230">
        <v>1210500</v>
      </c>
      <c r="BM60" s="230">
        <v>1475850</v>
      </c>
      <c r="BN60" s="230">
        <v>-265350</v>
      </c>
      <c r="BO60" s="229">
        <v>-0.17979999999999999</v>
      </c>
      <c r="BP60" s="230">
        <v>4987650</v>
      </c>
      <c r="BQ60" s="230">
        <v>5492100</v>
      </c>
      <c r="BR60" s="230">
        <v>-504450</v>
      </c>
      <c r="BS60" s="229">
        <v>-9.1899999999999996E-2</v>
      </c>
      <c r="BT60" s="230">
        <v>420373</v>
      </c>
      <c r="BU60" s="230">
        <v>339522</v>
      </c>
      <c r="BV60" s="230">
        <v>80851</v>
      </c>
      <c r="BW60" s="229">
        <v>0.23810000000000001</v>
      </c>
      <c r="BX60" s="230">
        <v>3980550</v>
      </c>
      <c r="BY60" s="230">
        <v>4014450</v>
      </c>
      <c r="BZ60" s="230">
        <v>-33900</v>
      </c>
      <c r="CA60" s="229">
        <v>-8.3999999999999995E-3</v>
      </c>
      <c r="CB60" s="230">
        <v>3882300</v>
      </c>
      <c r="CC60" s="230">
        <v>3906750</v>
      </c>
      <c r="CD60" s="230">
        <v>-24450</v>
      </c>
      <c r="CE60" s="229">
        <v>-6.3E-3</v>
      </c>
      <c r="CF60" s="230">
        <v>89850</v>
      </c>
      <c r="CG60" s="230">
        <v>97800</v>
      </c>
      <c r="CH60" s="230">
        <v>-7950</v>
      </c>
      <c r="CI60" s="229">
        <v>-8.1299999999999997E-2</v>
      </c>
      <c r="CJ60" s="230">
        <v>8400</v>
      </c>
      <c r="CK60" s="230">
        <v>9900</v>
      </c>
      <c r="CL60" s="230">
        <v>-1500</v>
      </c>
      <c r="CM60" s="229">
        <v>-0.1515</v>
      </c>
      <c r="CN60" s="230">
        <v>1631250</v>
      </c>
      <c r="CO60" s="230">
        <v>1904400</v>
      </c>
      <c r="CP60" s="230">
        <v>-273150</v>
      </c>
      <c r="CQ60" s="229">
        <v>-0.1434</v>
      </c>
      <c r="CR60" s="230">
        <v>857400</v>
      </c>
      <c r="CS60" s="230">
        <v>851850</v>
      </c>
      <c r="CT60" s="230">
        <v>5550</v>
      </c>
      <c r="CU60" s="229">
        <v>6.4999999999999997E-3</v>
      </c>
      <c r="CV60" s="230">
        <v>6469200</v>
      </c>
      <c r="CW60" s="230">
        <v>6770700</v>
      </c>
      <c r="CX60" s="230">
        <v>-301500</v>
      </c>
      <c r="CY60" s="229">
        <v>-4.4499999999999998E-2</v>
      </c>
      <c r="CZ60" s="228">
        <v>27.64</v>
      </c>
      <c r="DA60" s="228">
        <v>28.52</v>
      </c>
      <c r="DB60" s="228">
        <v>-0.88</v>
      </c>
      <c r="DC60" s="228">
        <v>-0.88</v>
      </c>
      <c r="DD60" s="228">
        <v>33.42</v>
      </c>
      <c r="DE60" s="228">
        <v>33.450000000000003</v>
      </c>
      <c r="DF60" s="228">
        <v>-5.78</v>
      </c>
      <c r="DG60" s="228">
        <v>-0.03</v>
      </c>
      <c r="DH60" s="228">
        <v>27.76</v>
      </c>
      <c r="DI60" s="228">
        <v>28.4</v>
      </c>
      <c r="DJ60" s="228">
        <v>-0.64</v>
      </c>
      <c r="DK60" s="228">
        <v>-0.64</v>
      </c>
      <c r="DL60" s="228">
        <v>27.3</v>
      </c>
      <c r="DM60" s="228">
        <v>28.83</v>
      </c>
      <c r="DN60" s="228">
        <v>-1.53</v>
      </c>
      <c r="DO60" s="228">
        <v>-1.53</v>
      </c>
      <c r="DP60" s="228">
        <v>0.53</v>
      </c>
      <c r="DQ60" s="228">
        <v>0.45</v>
      </c>
      <c r="DR60" s="228">
        <v>0.08</v>
      </c>
      <c r="DS60" s="229">
        <v>0.17780000000000001</v>
      </c>
      <c r="DT60" s="231">
        <v>5000</v>
      </c>
      <c r="DU60" s="231">
        <v>4000</v>
      </c>
      <c r="DV60" s="228">
        <v>0.37</v>
      </c>
      <c r="DW60" s="228">
        <v>0.42</v>
      </c>
      <c r="DX60" s="228">
        <v>-0.05</v>
      </c>
      <c r="DY60" s="229">
        <v>-0.11899999999999999</v>
      </c>
      <c r="DZ60" s="229">
        <v>2.47E-2</v>
      </c>
      <c r="EA60" s="230">
        <v>107700</v>
      </c>
      <c r="EB60" s="229">
        <v>-1.6000000000000001E-3</v>
      </c>
      <c r="EC60" s="229">
        <v>2.47E-2</v>
      </c>
      <c r="ED60" s="228">
        <v>-4.6100000000000003</v>
      </c>
      <c r="EE60" s="229">
        <v>-1E-3</v>
      </c>
      <c r="EF60" s="230">
        <v>205769</v>
      </c>
      <c r="EG60" s="230">
        <v>101363</v>
      </c>
      <c r="EH60" s="229">
        <v>1.03</v>
      </c>
      <c r="EI60" s="229">
        <v>0.48949999999999999</v>
      </c>
      <c r="EJ60" s="231">
        <v>151217.62</v>
      </c>
      <c r="EK60" s="231">
        <v>52444.24</v>
      </c>
      <c r="EL60" s="231">
        <v>23887.69</v>
      </c>
      <c r="EM60" s="231">
        <v>5633</v>
      </c>
      <c r="EN60" s="231">
        <v>227549.55</v>
      </c>
      <c r="EO60" s="231">
        <v>248757.15</v>
      </c>
      <c r="EP60" s="231">
        <v>-21207.599999999999</v>
      </c>
      <c r="EQ60" s="229">
        <v>-8.5300000000000001E-2</v>
      </c>
      <c r="ER60" s="231">
        <v>76593</v>
      </c>
      <c r="ES60" s="231">
        <v>36588</v>
      </c>
      <c r="ET60" s="231">
        <v>176435</v>
      </c>
      <c r="EU60" s="231">
        <v>16494391</v>
      </c>
      <c r="EV60" s="231">
        <v>289616</v>
      </c>
      <c r="EW60" s="231">
        <v>300934</v>
      </c>
      <c r="EX60" s="231">
        <v>-11318</v>
      </c>
      <c r="EY60" s="229">
        <v>-3.7600000000000001E-2</v>
      </c>
      <c r="EZ60" s="229">
        <v>0.39219999999999999</v>
      </c>
      <c r="FA60" s="227" t="s">
        <v>691</v>
      </c>
      <c r="FB60" s="161">
        <f t="shared" si="0"/>
        <v>98250</v>
      </c>
    </row>
    <row r="61" spans="1:158" ht="17.25" thickBot="1" x14ac:dyDescent="0.3">
      <c r="A61" s="226">
        <v>46148</v>
      </c>
      <c r="B61" s="227" t="s">
        <v>170</v>
      </c>
      <c r="C61" s="227" t="s">
        <v>208</v>
      </c>
      <c r="D61" s="228">
        <v>625</v>
      </c>
      <c r="E61" s="231">
        <v>1305.5</v>
      </c>
      <c r="F61" s="231">
        <v>1268.5999999999999</v>
      </c>
      <c r="G61" s="228">
        <v>36.9</v>
      </c>
      <c r="H61" s="229">
        <v>2.9100000000000001E-2</v>
      </c>
      <c r="I61" s="231">
        <v>1311</v>
      </c>
      <c r="J61" s="231">
        <v>1271.2</v>
      </c>
      <c r="K61" s="228">
        <v>39.799999999999997</v>
      </c>
      <c r="L61" s="229">
        <v>3.1300000000000001E-2</v>
      </c>
      <c r="M61" s="231">
        <v>1305.5</v>
      </c>
      <c r="N61" s="231">
        <v>1268.5999999999999</v>
      </c>
      <c r="O61" s="228">
        <v>36.9</v>
      </c>
      <c r="P61" s="229">
        <v>2.9100000000000001E-2</v>
      </c>
      <c r="Q61" s="231">
        <v>1305.3</v>
      </c>
      <c r="R61" s="231">
        <v>1268.4000000000001</v>
      </c>
      <c r="S61" s="228">
        <v>36.9</v>
      </c>
      <c r="T61" s="229">
        <v>2.9100000000000001E-2</v>
      </c>
      <c r="U61" s="231">
        <v>1299</v>
      </c>
      <c r="V61" s="231">
        <v>1265.4000000000001</v>
      </c>
      <c r="W61" s="228">
        <v>33.6</v>
      </c>
      <c r="X61" s="229">
        <v>2.6599999999999999E-2</v>
      </c>
      <c r="Y61" s="228">
        <v>-5.5</v>
      </c>
      <c r="Z61" s="228">
        <v>-2.6</v>
      </c>
      <c r="AA61" s="228">
        <v>-2.9</v>
      </c>
      <c r="AB61" s="229">
        <v>-4.1999999999999997E-3</v>
      </c>
      <c r="AC61" s="228">
        <v>-5.5</v>
      </c>
      <c r="AD61" s="228">
        <v>-2.6</v>
      </c>
      <c r="AE61" s="228">
        <v>-2.9</v>
      </c>
      <c r="AF61" s="229">
        <v>-4.1999999999999997E-3</v>
      </c>
      <c r="AG61" s="228">
        <v>-5.7</v>
      </c>
      <c r="AH61" s="228">
        <v>-2.8</v>
      </c>
      <c r="AI61" s="228">
        <v>-2.9</v>
      </c>
      <c r="AJ61" s="229">
        <v>-4.3E-3</v>
      </c>
      <c r="AK61" s="228">
        <v>-12</v>
      </c>
      <c r="AL61" s="228">
        <v>-5.8</v>
      </c>
      <c r="AM61" s="228">
        <v>-6.2</v>
      </c>
      <c r="AN61" s="229">
        <v>-9.1999999999999998E-3</v>
      </c>
      <c r="AO61" s="231">
        <v>1302.45</v>
      </c>
      <c r="AP61" s="231">
        <v>1301.27</v>
      </c>
      <c r="AQ61" s="228">
        <v>0</v>
      </c>
      <c r="AR61" s="230">
        <v>5038750</v>
      </c>
      <c r="AS61" s="230">
        <v>2926875</v>
      </c>
      <c r="AT61" s="230">
        <v>2111875</v>
      </c>
      <c r="AU61" s="229">
        <v>0.72150000000000003</v>
      </c>
      <c r="AV61" s="230">
        <v>4770000</v>
      </c>
      <c r="AW61" s="230">
        <v>2750625</v>
      </c>
      <c r="AX61" s="230">
        <v>2019375</v>
      </c>
      <c r="AY61" s="229">
        <v>0.73419999999999996</v>
      </c>
      <c r="AZ61" s="230">
        <v>250625</v>
      </c>
      <c r="BA61" s="230">
        <v>166875</v>
      </c>
      <c r="BB61" s="230">
        <v>83750</v>
      </c>
      <c r="BC61" s="229">
        <v>0.50190000000000001</v>
      </c>
      <c r="BD61" s="230">
        <v>18125</v>
      </c>
      <c r="BE61" s="230">
        <v>9375</v>
      </c>
      <c r="BF61" s="230">
        <v>8750</v>
      </c>
      <c r="BG61" s="229">
        <v>0.93330000000000002</v>
      </c>
      <c r="BH61" s="230">
        <v>23827500</v>
      </c>
      <c r="BI61" s="230">
        <v>8281875</v>
      </c>
      <c r="BJ61" s="230">
        <v>15545625</v>
      </c>
      <c r="BK61" s="229">
        <v>1.8771</v>
      </c>
      <c r="BL61" s="230">
        <v>9414375</v>
      </c>
      <c r="BM61" s="230">
        <v>3751250</v>
      </c>
      <c r="BN61" s="230">
        <v>5663125</v>
      </c>
      <c r="BO61" s="229">
        <v>1.5097</v>
      </c>
      <c r="BP61" s="230">
        <v>38280625</v>
      </c>
      <c r="BQ61" s="230">
        <v>14960000</v>
      </c>
      <c r="BR61" s="230">
        <v>23320625</v>
      </c>
      <c r="BS61" s="229">
        <v>1.5589</v>
      </c>
      <c r="BT61" s="230">
        <v>3434521</v>
      </c>
      <c r="BU61" s="230">
        <v>1046223</v>
      </c>
      <c r="BV61" s="230">
        <v>2388298</v>
      </c>
      <c r="BW61" s="229">
        <v>2.2827999999999999</v>
      </c>
      <c r="BX61" s="230">
        <v>18201250</v>
      </c>
      <c r="BY61" s="230">
        <v>17041250</v>
      </c>
      <c r="BZ61" s="230">
        <v>1160000</v>
      </c>
      <c r="CA61" s="229">
        <v>6.8099999999999994E-2</v>
      </c>
      <c r="CB61" s="230">
        <v>17650000</v>
      </c>
      <c r="CC61" s="230">
        <v>16582500</v>
      </c>
      <c r="CD61" s="230">
        <v>1067500</v>
      </c>
      <c r="CE61" s="229">
        <v>6.4399999999999999E-2</v>
      </c>
      <c r="CF61" s="230">
        <v>508125</v>
      </c>
      <c r="CG61" s="230">
        <v>426250</v>
      </c>
      <c r="CH61" s="230">
        <v>81875</v>
      </c>
      <c r="CI61" s="229">
        <v>0.19209999999999999</v>
      </c>
      <c r="CJ61" s="230">
        <v>43125</v>
      </c>
      <c r="CK61" s="230">
        <v>32500</v>
      </c>
      <c r="CL61" s="230">
        <v>10625</v>
      </c>
      <c r="CM61" s="229">
        <v>0.32690000000000002</v>
      </c>
      <c r="CN61" s="230">
        <v>10065000</v>
      </c>
      <c r="CO61" s="230">
        <v>9565625</v>
      </c>
      <c r="CP61" s="230">
        <v>499375</v>
      </c>
      <c r="CQ61" s="229">
        <v>5.2200000000000003E-2</v>
      </c>
      <c r="CR61" s="230">
        <v>5222500</v>
      </c>
      <c r="CS61" s="230">
        <v>4390000</v>
      </c>
      <c r="CT61" s="230">
        <v>832500</v>
      </c>
      <c r="CU61" s="229">
        <v>0.18959999999999999</v>
      </c>
      <c r="CV61" s="230">
        <v>33488750</v>
      </c>
      <c r="CW61" s="230">
        <v>30996875</v>
      </c>
      <c r="CX61" s="230">
        <v>2491875</v>
      </c>
      <c r="CY61" s="229">
        <v>8.0399999999999999E-2</v>
      </c>
      <c r="CZ61" s="228">
        <v>31.17</v>
      </c>
      <c r="DA61" s="228">
        <v>30.34</v>
      </c>
      <c r="DB61" s="228">
        <v>0.83</v>
      </c>
      <c r="DC61" s="228">
        <v>0.83</v>
      </c>
      <c r="DD61" s="228">
        <v>28.82</v>
      </c>
      <c r="DE61" s="228">
        <v>28.59</v>
      </c>
      <c r="DF61" s="228">
        <v>2.35</v>
      </c>
      <c r="DG61" s="228">
        <v>0.23</v>
      </c>
      <c r="DH61" s="228">
        <v>31.41</v>
      </c>
      <c r="DI61" s="228">
        <v>30.63</v>
      </c>
      <c r="DJ61" s="228">
        <v>0.78</v>
      </c>
      <c r="DK61" s="228">
        <v>0.78</v>
      </c>
      <c r="DL61" s="228">
        <v>30.57</v>
      </c>
      <c r="DM61" s="228">
        <v>29.69</v>
      </c>
      <c r="DN61" s="228">
        <v>0.88</v>
      </c>
      <c r="DO61" s="228">
        <v>0.88</v>
      </c>
      <c r="DP61" s="228">
        <v>0.52</v>
      </c>
      <c r="DQ61" s="228">
        <v>0.46</v>
      </c>
      <c r="DR61" s="228">
        <v>0.06</v>
      </c>
      <c r="DS61" s="229">
        <v>0.13039999999999999</v>
      </c>
      <c r="DT61" s="231">
        <v>1400</v>
      </c>
      <c r="DU61" s="231">
        <v>1300</v>
      </c>
      <c r="DV61" s="228">
        <v>0.4</v>
      </c>
      <c r="DW61" s="228">
        <v>0.45</v>
      </c>
      <c r="DX61" s="228">
        <v>-0.05</v>
      </c>
      <c r="DY61" s="229">
        <v>-0.1111</v>
      </c>
      <c r="DZ61" s="229">
        <v>3.0300000000000001E-2</v>
      </c>
      <c r="EA61" s="230">
        <v>458750</v>
      </c>
      <c r="EB61" s="229">
        <v>-2.0000000000000001E-4</v>
      </c>
      <c r="EC61" s="229">
        <v>3.0300000000000001E-2</v>
      </c>
      <c r="ED61" s="228">
        <v>-1.18</v>
      </c>
      <c r="EE61" s="229">
        <v>-8.9999999999999998E-4</v>
      </c>
      <c r="EF61" s="230">
        <v>1547705</v>
      </c>
      <c r="EG61" s="230">
        <v>408318</v>
      </c>
      <c r="EH61" s="229">
        <v>2.7904</v>
      </c>
      <c r="EI61" s="229">
        <v>0.4506</v>
      </c>
      <c r="EJ61" s="231">
        <v>325697.81</v>
      </c>
      <c r="EK61" s="231">
        <v>122256.66</v>
      </c>
      <c r="EL61" s="231">
        <v>65624.08</v>
      </c>
      <c r="EM61" s="231">
        <v>7064</v>
      </c>
      <c r="EN61" s="231">
        <v>513578.55</v>
      </c>
      <c r="EO61" s="231">
        <v>197456.75</v>
      </c>
      <c r="EP61" s="231">
        <v>316121.8</v>
      </c>
      <c r="EQ61" s="229">
        <v>1.601</v>
      </c>
      <c r="ER61" s="231">
        <v>137788</v>
      </c>
      <c r="ES61" s="231">
        <v>66378</v>
      </c>
      <c r="ET61" s="231">
        <v>237613</v>
      </c>
      <c r="EU61" s="231">
        <v>61026255</v>
      </c>
      <c r="EV61" s="231">
        <v>441779</v>
      </c>
      <c r="EW61" s="231">
        <v>403186</v>
      </c>
      <c r="EX61" s="231">
        <v>38593</v>
      </c>
      <c r="EY61" s="229">
        <v>9.5699999999999993E-2</v>
      </c>
      <c r="EZ61" s="229">
        <v>0.54879999999999995</v>
      </c>
      <c r="FA61" s="227" t="s">
        <v>555</v>
      </c>
      <c r="FB61" s="161">
        <f t="shared" si="0"/>
        <v>551250</v>
      </c>
    </row>
    <row r="62" spans="1:158" ht="17.25" thickBot="1" x14ac:dyDescent="0.3">
      <c r="A62" s="226">
        <v>46148</v>
      </c>
      <c r="B62" s="227" t="s">
        <v>162</v>
      </c>
      <c r="C62" s="227" t="s">
        <v>209</v>
      </c>
      <c r="D62" s="228">
        <v>100</v>
      </c>
      <c r="E62" s="231">
        <v>7349.5</v>
      </c>
      <c r="F62" s="231">
        <v>7317.5</v>
      </c>
      <c r="G62" s="228">
        <v>32</v>
      </c>
      <c r="H62" s="229">
        <v>4.4000000000000003E-3</v>
      </c>
      <c r="I62" s="231">
        <v>7310.5</v>
      </c>
      <c r="J62" s="231">
        <v>7301.5</v>
      </c>
      <c r="K62" s="228">
        <v>9</v>
      </c>
      <c r="L62" s="229">
        <v>1.1999999999999999E-3</v>
      </c>
      <c r="M62" s="231">
        <v>7349.5</v>
      </c>
      <c r="N62" s="231">
        <v>7317.5</v>
      </c>
      <c r="O62" s="228">
        <v>32</v>
      </c>
      <c r="P62" s="229">
        <v>4.4000000000000003E-3</v>
      </c>
      <c r="Q62" s="231">
        <v>7402</v>
      </c>
      <c r="R62" s="231">
        <v>7368</v>
      </c>
      <c r="S62" s="228">
        <v>34</v>
      </c>
      <c r="T62" s="229">
        <v>4.5999999999999999E-3</v>
      </c>
      <c r="U62" s="231">
        <v>7435</v>
      </c>
      <c r="V62" s="231">
        <v>7402.5</v>
      </c>
      <c r="W62" s="228">
        <v>32.5</v>
      </c>
      <c r="X62" s="229">
        <v>4.4000000000000003E-3</v>
      </c>
      <c r="Y62" s="228">
        <v>39</v>
      </c>
      <c r="Z62" s="228">
        <v>16</v>
      </c>
      <c r="AA62" s="228">
        <v>23</v>
      </c>
      <c r="AB62" s="229">
        <v>5.3E-3</v>
      </c>
      <c r="AC62" s="228">
        <v>39</v>
      </c>
      <c r="AD62" s="228">
        <v>16</v>
      </c>
      <c r="AE62" s="228">
        <v>23</v>
      </c>
      <c r="AF62" s="229">
        <v>5.3E-3</v>
      </c>
      <c r="AG62" s="228">
        <v>91.5</v>
      </c>
      <c r="AH62" s="228">
        <v>66.5</v>
      </c>
      <c r="AI62" s="228">
        <v>25</v>
      </c>
      <c r="AJ62" s="229">
        <v>1.2500000000000001E-2</v>
      </c>
      <c r="AK62" s="228">
        <v>124.5</v>
      </c>
      <c r="AL62" s="228">
        <v>101</v>
      </c>
      <c r="AM62" s="228">
        <v>23.5</v>
      </c>
      <c r="AN62" s="229">
        <v>1.7000000000000001E-2</v>
      </c>
      <c r="AO62" s="231">
        <v>7302.6</v>
      </c>
      <c r="AP62" s="231">
        <v>7359.82</v>
      </c>
      <c r="AQ62" s="228">
        <v>0</v>
      </c>
      <c r="AR62" s="230">
        <v>605100</v>
      </c>
      <c r="AS62" s="230">
        <v>440100</v>
      </c>
      <c r="AT62" s="230">
        <v>165000</v>
      </c>
      <c r="AU62" s="229">
        <v>0.37490000000000001</v>
      </c>
      <c r="AV62" s="230">
        <v>579100</v>
      </c>
      <c r="AW62" s="230">
        <v>420700</v>
      </c>
      <c r="AX62" s="230">
        <v>158400</v>
      </c>
      <c r="AY62" s="229">
        <v>0.3765</v>
      </c>
      <c r="AZ62" s="230">
        <v>22600</v>
      </c>
      <c r="BA62" s="230">
        <v>17100</v>
      </c>
      <c r="BB62" s="230">
        <v>5500</v>
      </c>
      <c r="BC62" s="229">
        <v>0.3216</v>
      </c>
      <c r="BD62" s="230">
        <v>3400</v>
      </c>
      <c r="BE62" s="230">
        <v>2300</v>
      </c>
      <c r="BF62" s="230">
        <v>1100</v>
      </c>
      <c r="BG62" s="229">
        <v>0.4783</v>
      </c>
      <c r="BH62" s="230">
        <v>1437800</v>
      </c>
      <c r="BI62" s="230">
        <v>992000</v>
      </c>
      <c r="BJ62" s="230">
        <v>445800</v>
      </c>
      <c r="BK62" s="229">
        <v>0.44940000000000002</v>
      </c>
      <c r="BL62" s="230">
        <v>728300</v>
      </c>
      <c r="BM62" s="230">
        <v>560300</v>
      </c>
      <c r="BN62" s="230">
        <v>168000</v>
      </c>
      <c r="BO62" s="229">
        <v>0.29980000000000001</v>
      </c>
      <c r="BP62" s="230">
        <v>2771200</v>
      </c>
      <c r="BQ62" s="230">
        <v>1992400</v>
      </c>
      <c r="BR62" s="230">
        <v>778800</v>
      </c>
      <c r="BS62" s="229">
        <v>0.39090000000000003</v>
      </c>
      <c r="BT62" s="230">
        <v>418184</v>
      </c>
      <c r="BU62" s="230">
        <v>502307</v>
      </c>
      <c r="BV62" s="230">
        <v>-84123</v>
      </c>
      <c r="BW62" s="229">
        <v>-0.16750000000000001</v>
      </c>
      <c r="BX62" s="230">
        <v>3399900</v>
      </c>
      <c r="BY62" s="230">
        <v>3569800</v>
      </c>
      <c r="BZ62" s="230">
        <v>-169900</v>
      </c>
      <c r="CA62" s="229">
        <v>-4.7600000000000003E-2</v>
      </c>
      <c r="CB62" s="230">
        <v>2847400</v>
      </c>
      <c r="CC62" s="230">
        <v>3023500</v>
      </c>
      <c r="CD62" s="230">
        <v>-176100</v>
      </c>
      <c r="CE62" s="229">
        <v>-5.8200000000000002E-2</v>
      </c>
      <c r="CF62" s="230">
        <v>546700</v>
      </c>
      <c r="CG62" s="230">
        <v>541100</v>
      </c>
      <c r="CH62" s="230">
        <v>5600</v>
      </c>
      <c r="CI62" s="229">
        <v>1.03E-2</v>
      </c>
      <c r="CJ62" s="230">
        <v>5800</v>
      </c>
      <c r="CK62" s="230">
        <v>5200</v>
      </c>
      <c r="CL62" s="228">
        <v>600</v>
      </c>
      <c r="CM62" s="229">
        <v>0.1154</v>
      </c>
      <c r="CN62" s="230">
        <v>1121600</v>
      </c>
      <c r="CO62" s="230">
        <v>1043100</v>
      </c>
      <c r="CP62" s="230">
        <v>78500</v>
      </c>
      <c r="CQ62" s="229">
        <v>7.5300000000000006E-2</v>
      </c>
      <c r="CR62" s="230">
        <v>852600</v>
      </c>
      <c r="CS62" s="230">
        <v>853600</v>
      </c>
      <c r="CT62" s="230">
        <v>-1000</v>
      </c>
      <c r="CU62" s="229">
        <v>-1.1999999999999999E-3</v>
      </c>
      <c r="CV62" s="230">
        <v>5374100</v>
      </c>
      <c r="CW62" s="230">
        <v>5466500</v>
      </c>
      <c r="CX62" s="230">
        <v>-92400</v>
      </c>
      <c r="CY62" s="229">
        <v>-1.6899999999999998E-2</v>
      </c>
      <c r="CZ62" s="228">
        <v>32.4</v>
      </c>
      <c r="DA62" s="228">
        <v>33.020000000000003</v>
      </c>
      <c r="DB62" s="228">
        <v>-0.62</v>
      </c>
      <c r="DC62" s="228">
        <v>-0.62</v>
      </c>
      <c r="DD62" s="228">
        <v>33.409999999999997</v>
      </c>
      <c r="DE62" s="228">
        <v>33.5</v>
      </c>
      <c r="DF62" s="228">
        <v>-1.01</v>
      </c>
      <c r="DG62" s="228">
        <v>-0.09</v>
      </c>
      <c r="DH62" s="228">
        <v>31.94</v>
      </c>
      <c r="DI62" s="228">
        <v>32.619999999999997</v>
      </c>
      <c r="DJ62" s="228">
        <v>-0.68</v>
      </c>
      <c r="DK62" s="228">
        <v>-0.68</v>
      </c>
      <c r="DL62" s="228">
        <v>33.31</v>
      </c>
      <c r="DM62" s="228">
        <v>33.72</v>
      </c>
      <c r="DN62" s="228">
        <v>-0.41</v>
      </c>
      <c r="DO62" s="228">
        <v>-0.41</v>
      </c>
      <c r="DP62" s="228">
        <v>0.76</v>
      </c>
      <c r="DQ62" s="228">
        <v>0.82</v>
      </c>
      <c r="DR62" s="228">
        <v>-0.06</v>
      </c>
      <c r="DS62" s="229">
        <v>-7.3200000000000001E-2</v>
      </c>
      <c r="DT62" s="231">
        <v>7300</v>
      </c>
      <c r="DU62" s="231">
        <v>6800</v>
      </c>
      <c r="DV62" s="228">
        <v>0.51</v>
      </c>
      <c r="DW62" s="228">
        <v>0.56000000000000005</v>
      </c>
      <c r="DX62" s="228">
        <v>-0.05</v>
      </c>
      <c r="DY62" s="229">
        <v>-8.9300000000000004E-2</v>
      </c>
      <c r="DZ62" s="229">
        <v>0.16250000000000001</v>
      </c>
      <c r="EA62" s="230">
        <v>546300</v>
      </c>
      <c r="EB62" s="229">
        <v>7.1000000000000004E-3</v>
      </c>
      <c r="EC62" s="229">
        <v>0.16250000000000001</v>
      </c>
      <c r="ED62" s="228">
        <v>57.22</v>
      </c>
      <c r="EE62" s="229">
        <v>7.7999999999999996E-3</v>
      </c>
      <c r="EF62" s="230">
        <v>194954</v>
      </c>
      <c r="EG62" s="230">
        <v>261281</v>
      </c>
      <c r="EH62" s="229">
        <v>-0.25390000000000001</v>
      </c>
      <c r="EI62" s="229">
        <v>0.4662</v>
      </c>
      <c r="EJ62" s="231">
        <v>110606.44</v>
      </c>
      <c r="EK62" s="231">
        <v>51790.57</v>
      </c>
      <c r="EL62" s="231">
        <v>44203.94</v>
      </c>
      <c r="EM62" s="231">
        <v>5680</v>
      </c>
      <c r="EN62" s="231">
        <v>206600.95</v>
      </c>
      <c r="EO62" s="231">
        <v>148916.54999999999</v>
      </c>
      <c r="EP62" s="231">
        <v>57684.4</v>
      </c>
      <c r="EQ62" s="229">
        <v>0.38740000000000002</v>
      </c>
      <c r="ER62" s="231">
        <v>85258</v>
      </c>
      <c r="ES62" s="231">
        <v>59346</v>
      </c>
      <c r="ET62" s="231">
        <v>250168</v>
      </c>
      <c r="EU62" s="231">
        <v>20960143</v>
      </c>
      <c r="EV62" s="231">
        <v>394771</v>
      </c>
      <c r="EW62" s="231">
        <v>400069</v>
      </c>
      <c r="EX62" s="231">
        <v>-5298</v>
      </c>
      <c r="EY62" s="229">
        <v>-1.32E-2</v>
      </c>
      <c r="EZ62" s="229">
        <v>0.25640000000000002</v>
      </c>
      <c r="FA62" s="227" t="s">
        <v>691</v>
      </c>
      <c r="FB62" s="161">
        <f t="shared" si="0"/>
        <v>552500</v>
      </c>
    </row>
    <row r="63" spans="1:158" ht="17.25" thickBot="1" x14ac:dyDescent="0.3">
      <c r="A63" s="226">
        <v>46148</v>
      </c>
      <c r="B63" s="227" t="s">
        <v>614</v>
      </c>
      <c r="C63" s="227" t="s">
        <v>664</v>
      </c>
      <c r="D63" s="228">
        <v>2425</v>
      </c>
      <c r="E63" s="228">
        <v>257.83</v>
      </c>
      <c r="F63" s="228">
        <v>249.94</v>
      </c>
      <c r="G63" s="228">
        <v>7.89</v>
      </c>
      <c r="H63" s="229">
        <v>3.1600000000000003E-2</v>
      </c>
      <c r="I63" s="228">
        <v>256.05</v>
      </c>
      <c r="J63" s="228">
        <v>248.47</v>
      </c>
      <c r="K63" s="228">
        <v>7.58</v>
      </c>
      <c r="L63" s="229">
        <v>3.0499999999999999E-2</v>
      </c>
      <c r="M63" s="228">
        <v>257.83</v>
      </c>
      <c r="N63" s="228">
        <v>249.94</v>
      </c>
      <c r="O63" s="228">
        <v>7.89</v>
      </c>
      <c r="P63" s="229">
        <v>3.1600000000000003E-2</v>
      </c>
      <c r="Q63" s="228">
        <v>259.29000000000002</v>
      </c>
      <c r="R63" s="228">
        <v>251.47</v>
      </c>
      <c r="S63" s="228">
        <v>7.82</v>
      </c>
      <c r="T63" s="229">
        <v>3.1099999999999999E-2</v>
      </c>
      <c r="U63" s="228">
        <v>260.58</v>
      </c>
      <c r="V63" s="228">
        <v>253.04</v>
      </c>
      <c r="W63" s="228">
        <v>7.54</v>
      </c>
      <c r="X63" s="229">
        <v>2.98E-2</v>
      </c>
      <c r="Y63" s="228">
        <v>1.78</v>
      </c>
      <c r="Z63" s="228">
        <v>1.47</v>
      </c>
      <c r="AA63" s="228">
        <v>0.31</v>
      </c>
      <c r="AB63" s="229">
        <v>7.0000000000000001E-3</v>
      </c>
      <c r="AC63" s="228">
        <v>1.78</v>
      </c>
      <c r="AD63" s="228">
        <v>1.47</v>
      </c>
      <c r="AE63" s="228">
        <v>0.31</v>
      </c>
      <c r="AF63" s="229">
        <v>7.0000000000000001E-3</v>
      </c>
      <c r="AG63" s="228">
        <v>3.24</v>
      </c>
      <c r="AH63" s="228">
        <v>3</v>
      </c>
      <c r="AI63" s="228">
        <v>0.24</v>
      </c>
      <c r="AJ63" s="229">
        <v>1.2699999999999999E-2</v>
      </c>
      <c r="AK63" s="228">
        <v>4.53</v>
      </c>
      <c r="AL63" s="228">
        <v>4.57</v>
      </c>
      <c r="AM63" s="228">
        <v>-0.04</v>
      </c>
      <c r="AN63" s="229">
        <v>1.77E-2</v>
      </c>
      <c r="AO63" s="228">
        <v>255.06</v>
      </c>
      <c r="AP63" s="228">
        <v>256.32</v>
      </c>
      <c r="AQ63" s="228">
        <v>0</v>
      </c>
      <c r="AR63" s="230">
        <v>32317975</v>
      </c>
      <c r="AS63" s="230">
        <v>21293925</v>
      </c>
      <c r="AT63" s="230">
        <v>11024050</v>
      </c>
      <c r="AU63" s="229">
        <v>0.51770000000000005</v>
      </c>
      <c r="AV63" s="230">
        <v>28605300</v>
      </c>
      <c r="AW63" s="230">
        <v>18820425</v>
      </c>
      <c r="AX63" s="230">
        <v>9784875</v>
      </c>
      <c r="AY63" s="229">
        <v>0.51990000000000003</v>
      </c>
      <c r="AZ63" s="230">
        <v>3448350</v>
      </c>
      <c r="BA63" s="230">
        <v>2306175</v>
      </c>
      <c r="BB63" s="230">
        <v>1142175</v>
      </c>
      <c r="BC63" s="229">
        <v>0.49530000000000002</v>
      </c>
      <c r="BD63" s="230">
        <v>264325</v>
      </c>
      <c r="BE63" s="230">
        <v>167325</v>
      </c>
      <c r="BF63" s="230">
        <v>97000</v>
      </c>
      <c r="BG63" s="229">
        <v>0.57969999999999999</v>
      </c>
      <c r="BH63" s="230">
        <v>86109325</v>
      </c>
      <c r="BI63" s="230">
        <v>59041475</v>
      </c>
      <c r="BJ63" s="230">
        <v>27067850</v>
      </c>
      <c r="BK63" s="229">
        <v>0.45850000000000002</v>
      </c>
      <c r="BL63" s="230">
        <v>50830425</v>
      </c>
      <c r="BM63" s="230">
        <v>34759950</v>
      </c>
      <c r="BN63" s="230">
        <v>16070475</v>
      </c>
      <c r="BO63" s="229">
        <v>0.46229999999999999</v>
      </c>
      <c r="BP63" s="230">
        <v>169257725</v>
      </c>
      <c r="BQ63" s="230">
        <v>115095350</v>
      </c>
      <c r="BR63" s="230">
        <v>54162375</v>
      </c>
      <c r="BS63" s="229">
        <v>0.47060000000000002</v>
      </c>
      <c r="BT63" s="230">
        <v>35059081</v>
      </c>
      <c r="BU63" s="230">
        <v>31395709</v>
      </c>
      <c r="BV63" s="230">
        <v>3663372</v>
      </c>
      <c r="BW63" s="229">
        <v>0.1167</v>
      </c>
      <c r="BX63" s="230">
        <v>211062300</v>
      </c>
      <c r="BY63" s="230">
        <v>209112600</v>
      </c>
      <c r="BZ63" s="230">
        <v>1949700</v>
      </c>
      <c r="CA63" s="229">
        <v>9.2999999999999992E-3</v>
      </c>
      <c r="CB63" s="230">
        <v>191153050</v>
      </c>
      <c r="CC63" s="230">
        <v>190655925</v>
      </c>
      <c r="CD63" s="230">
        <v>497125</v>
      </c>
      <c r="CE63" s="229">
        <v>2.5999999999999999E-3</v>
      </c>
      <c r="CF63" s="230">
        <v>19062925</v>
      </c>
      <c r="CG63" s="230">
        <v>17632175</v>
      </c>
      <c r="CH63" s="230">
        <v>1430750</v>
      </c>
      <c r="CI63" s="229">
        <v>8.1100000000000005E-2</v>
      </c>
      <c r="CJ63" s="230">
        <v>846325</v>
      </c>
      <c r="CK63" s="230">
        <v>824500</v>
      </c>
      <c r="CL63" s="230">
        <v>21825</v>
      </c>
      <c r="CM63" s="229">
        <v>2.6499999999999999E-2</v>
      </c>
      <c r="CN63" s="230">
        <v>89307900</v>
      </c>
      <c r="CO63" s="230">
        <v>94722925</v>
      </c>
      <c r="CP63" s="230">
        <v>-5415025</v>
      </c>
      <c r="CQ63" s="229">
        <v>-5.7200000000000001E-2</v>
      </c>
      <c r="CR63" s="230">
        <v>50946825</v>
      </c>
      <c r="CS63" s="230">
        <v>51834375</v>
      </c>
      <c r="CT63" s="230">
        <v>-887550</v>
      </c>
      <c r="CU63" s="229">
        <v>-1.7100000000000001E-2</v>
      </c>
      <c r="CV63" s="230">
        <v>351317025</v>
      </c>
      <c r="CW63" s="230">
        <v>355669900</v>
      </c>
      <c r="CX63" s="230">
        <v>-4352875</v>
      </c>
      <c r="CY63" s="229">
        <v>-1.2200000000000001E-2</v>
      </c>
      <c r="CZ63" s="228">
        <v>37.04</v>
      </c>
      <c r="DA63" s="228">
        <v>39.229999999999997</v>
      </c>
      <c r="DB63" s="228">
        <v>-2.19</v>
      </c>
      <c r="DC63" s="228">
        <v>-2.19</v>
      </c>
      <c r="DD63" s="228">
        <v>45.52</v>
      </c>
      <c r="DE63" s="228">
        <v>45.45</v>
      </c>
      <c r="DF63" s="228">
        <v>-8.48</v>
      </c>
      <c r="DG63" s="228">
        <v>7.0000000000000007E-2</v>
      </c>
      <c r="DH63" s="228">
        <v>36.94</v>
      </c>
      <c r="DI63" s="228">
        <v>39.47</v>
      </c>
      <c r="DJ63" s="228">
        <v>-2.5299999999999998</v>
      </c>
      <c r="DK63" s="228">
        <v>-2.5299999999999998</v>
      </c>
      <c r="DL63" s="228">
        <v>37.200000000000003</v>
      </c>
      <c r="DM63" s="228">
        <v>38.82</v>
      </c>
      <c r="DN63" s="228">
        <v>-1.62</v>
      </c>
      <c r="DO63" s="228">
        <v>-1.62</v>
      </c>
      <c r="DP63" s="228">
        <v>0.56999999999999995</v>
      </c>
      <c r="DQ63" s="228">
        <v>0.55000000000000004</v>
      </c>
      <c r="DR63" s="228">
        <v>0.02</v>
      </c>
      <c r="DS63" s="229">
        <v>3.6400000000000002E-2</v>
      </c>
      <c r="DT63" s="228">
        <v>260</v>
      </c>
      <c r="DU63" s="228">
        <v>250</v>
      </c>
      <c r="DV63" s="228">
        <v>0.59</v>
      </c>
      <c r="DW63" s="228">
        <v>0.59</v>
      </c>
      <c r="DX63" s="228">
        <v>0</v>
      </c>
      <c r="DY63" s="229">
        <v>0</v>
      </c>
      <c r="DZ63" s="229">
        <v>9.4299999999999995E-2</v>
      </c>
      <c r="EA63" s="230">
        <v>18456675</v>
      </c>
      <c r="EB63" s="229">
        <v>5.7000000000000002E-3</v>
      </c>
      <c r="EC63" s="229">
        <v>9.4299999999999995E-2</v>
      </c>
      <c r="ED63" s="228">
        <v>1.26</v>
      </c>
      <c r="EE63" s="229">
        <v>4.8999999999999998E-3</v>
      </c>
      <c r="EF63" s="230">
        <v>16942598</v>
      </c>
      <c r="EG63" s="230">
        <v>11905097</v>
      </c>
      <c r="EH63" s="229">
        <v>0.42309999999999998</v>
      </c>
      <c r="EI63" s="229">
        <v>0.48330000000000001</v>
      </c>
      <c r="EJ63" s="231">
        <v>232350.11</v>
      </c>
      <c r="EK63" s="231">
        <v>126302.18</v>
      </c>
      <c r="EL63" s="231">
        <v>82478.570000000007</v>
      </c>
      <c r="EM63" s="231">
        <v>21974</v>
      </c>
      <c r="EN63" s="231">
        <v>441130.86</v>
      </c>
      <c r="EO63" s="231">
        <v>297687.53000000003</v>
      </c>
      <c r="EP63" s="231">
        <v>143443.32999999999</v>
      </c>
      <c r="EQ63" s="229">
        <v>0.4819</v>
      </c>
      <c r="ER63" s="231">
        <v>237088</v>
      </c>
      <c r="ES63" s="231">
        <v>124655</v>
      </c>
      <c r="ET63" s="231">
        <v>544484</v>
      </c>
      <c r="EU63" s="231">
        <v>1366821859</v>
      </c>
      <c r="EV63" s="231">
        <v>906227</v>
      </c>
      <c r="EW63" s="231">
        <v>900795</v>
      </c>
      <c r="EX63" s="231">
        <v>5432</v>
      </c>
      <c r="EY63" s="229">
        <v>6.0000000000000001E-3</v>
      </c>
      <c r="EZ63" s="229">
        <v>0.25700000000000001</v>
      </c>
      <c r="FA63" s="227" t="s">
        <v>555</v>
      </c>
      <c r="FB63" s="161">
        <f t="shared" si="0"/>
        <v>19909250</v>
      </c>
    </row>
    <row r="64" spans="1:158" ht="17.25" thickBot="1" x14ac:dyDescent="0.3">
      <c r="A64" s="226">
        <v>46148</v>
      </c>
      <c r="B64" s="227" t="s">
        <v>162</v>
      </c>
      <c r="C64" s="227" t="s">
        <v>211</v>
      </c>
      <c r="D64" s="228">
        <v>1800</v>
      </c>
      <c r="E64" s="228">
        <v>353.3</v>
      </c>
      <c r="F64" s="228">
        <v>362.6</v>
      </c>
      <c r="G64" s="228">
        <v>-9.3000000000000007</v>
      </c>
      <c r="H64" s="229">
        <v>-2.5600000000000001E-2</v>
      </c>
      <c r="I64" s="228">
        <v>351.7</v>
      </c>
      <c r="J64" s="228">
        <v>361.15</v>
      </c>
      <c r="K64" s="228">
        <v>-9.4499999999999993</v>
      </c>
      <c r="L64" s="229">
        <v>-2.6200000000000001E-2</v>
      </c>
      <c r="M64" s="228">
        <v>353.3</v>
      </c>
      <c r="N64" s="228">
        <v>362.6</v>
      </c>
      <c r="O64" s="228">
        <v>-9.3000000000000007</v>
      </c>
      <c r="P64" s="229">
        <v>-2.5600000000000001E-2</v>
      </c>
      <c r="Q64" s="228">
        <v>355.9</v>
      </c>
      <c r="R64" s="228">
        <v>365.1</v>
      </c>
      <c r="S64" s="228">
        <v>-9.1999999999999993</v>
      </c>
      <c r="T64" s="229">
        <v>-2.52E-2</v>
      </c>
      <c r="U64" s="228">
        <v>356.15</v>
      </c>
      <c r="V64" s="228">
        <v>365.45</v>
      </c>
      <c r="W64" s="228">
        <v>-9.3000000000000007</v>
      </c>
      <c r="X64" s="229">
        <v>-2.5399999999999999E-2</v>
      </c>
      <c r="Y64" s="228">
        <v>1.6</v>
      </c>
      <c r="Z64" s="228">
        <v>1.45</v>
      </c>
      <c r="AA64" s="228">
        <v>0.15</v>
      </c>
      <c r="AB64" s="229">
        <v>4.4999999999999997E-3</v>
      </c>
      <c r="AC64" s="228">
        <v>1.6</v>
      </c>
      <c r="AD64" s="228">
        <v>1.45</v>
      </c>
      <c r="AE64" s="228">
        <v>0.15</v>
      </c>
      <c r="AF64" s="229">
        <v>4.4999999999999997E-3</v>
      </c>
      <c r="AG64" s="228">
        <v>4.2</v>
      </c>
      <c r="AH64" s="228">
        <v>3.95</v>
      </c>
      <c r="AI64" s="228">
        <v>0.25</v>
      </c>
      <c r="AJ64" s="229">
        <v>1.1900000000000001E-2</v>
      </c>
      <c r="AK64" s="228">
        <v>4.45</v>
      </c>
      <c r="AL64" s="228">
        <v>4.3</v>
      </c>
      <c r="AM64" s="228">
        <v>0.15</v>
      </c>
      <c r="AN64" s="229">
        <v>1.2699999999999999E-2</v>
      </c>
      <c r="AO64" s="228">
        <v>352.04</v>
      </c>
      <c r="AP64" s="228">
        <v>354.64</v>
      </c>
      <c r="AQ64" s="228">
        <v>0</v>
      </c>
      <c r="AR64" s="230">
        <v>16774200</v>
      </c>
      <c r="AS64" s="230">
        <v>6589800</v>
      </c>
      <c r="AT64" s="230">
        <v>10184400</v>
      </c>
      <c r="AU64" s="229">
        <v>1.5455000000000001</v>
      </c>
      <c r="AV64" s="230">
        <v>15654600</v>
      </c>
      <c r="AW64" s="230">
        <v>6217200</v>
      </c>
      <c r="AX64" s="230">
        <v>9437400</v>
      </c>
      <c r="AY64" s="229">
        <v>1.518</v>
      </c>
      <c r="AZ64" s="230">
        <v>1004400</v>
      </c>
      <c r="BA64" s="230">
        <v>333000</v>
      </c>
      <c r="BB64" s="230">
        <v>671400</v>
      </c>
      <c r="BC64" s="229">
        <v>2.0162</v>
      </c>
      <c r="BD64" s="230">
        <v>115200</v>
      </c>
      <c r="BE64" s="230">
        <v>39600</v>
      </c>
      <c r="BF64" s="230">
        <v>75600</v>
      </c>
      <c r="BG64" s="229">
        <v>1.9091</v>
      </c>
      <c r="BH64" s="230">
        <v>48468600</v>
      </c>
      <c r="BI64" s="230">
        <v>29536200</v>
      </c>
      <c r="BJ64" s="230">
        <v>18932400</v>
      </c>
      <c r="BK64" s="229">
        <v>0.64100000000000001</v>
      </c>
      <c r="BL64" s="230">
        <v>31575600</v>
      </c>
      <c r="BM64" s="230">
        <v>10647000</v>
      </c>
      <c r="BN64" s="230">
        <v>20928600</v>
      </c>
      <c r="BO64" s="229">
        <v>1.9657</v>
      </c>
      <c r="BP64" s="230">
        <v>96818400</v>
      </c>
      <c r="BQ64" s="230">
        <v>46773000</v>
      </c>
      <c r="BR64" s="230">
        <v>50045400</v>
      </c>
      <c r="BS64" s="229">
        <v>1.07</v>
      </c>
      <c r="BT64" s="230">
        <v>9660222</v>
      </c>
      <c r="BU64" s="230">
        <v>5774781</v>
      </c>
      <c r="BV64" s="230">
        <v>3885441</v>
      </c>
      <c r="BW64" s="229">
        <v>0.67279999999999995</v>
      </c>
      <c r="BX64" s="230">
        <v>26740800</v>
      </c>
      <c r="BY64" s="230">
        <v>28276200</v>
      </c>
      <c r="BZ64" s="230">
        <v>-1535400</v>
      </c>
      <c r="CA64" s="229">
        <v>-5.4300000000000001E-2</v>
      </c>
      <c r="CB64" s="230">
        <v>25291800</v>
      </c>
      <c r="CC64" s="230">
        <v>27100800</v>
      </c>
      <c r="CD64" s="230">
        <v>-1809000</v>
      </c>
      <c r="CE64" s="229">
        <v>-6.6799999999999998E-2</v>
      </c>
      <c r="CF64" s="230">
        <v>1285200</v>
      </c>
      <c r="CG64" s="230">
        <v>1062000</v>
      </c>
      <c r="CH64" s="230">
        <v>223200</v>
      </c>
      <c r="CI64" s="229">
        <v>0.2102</v>
      </c>
      <c r="CJ64" s="230">
        <v>163800</v>
      </c>
      <c r="CK64" s="230">
        <v>113400</v>
      </c>
      <c r="CL64" s="230">
        <v>50400</v>
      </c>
      <c r="CM64" s="229">
        <v>0.44440000000000002</v>
      </c>
      <c r="CN64" s="230">
        <v>17613000</v>
      </c>
      <c r="CO64" s="230">
        <v>15141600</v>
      </c>
      <c r="CP64" s="230">
        <v>2471400</v>
      </c>
      <c r="CQ64" s="229">
        <v>0.16320000000000001</v>
      </c>
      <c r="CR64" s="230">
        <v>10681200</v>
      </c>
      <c r="CS64" s="230">
        <v>8829000</v>
      </c>
      <c r="CT64" s="230">
        <v>1852200</v>
      </c>
      <c r="CU64" s="229">
        <v>0.20979999999999999</v>
      </c>
      <c r="CV64" s="230">
        <v>55035000</v>
      </c>
      <c r="CW64" s="230">
        <v>52246800</v>
      </c>
      <c r="CX64" s="230">
        <v>2788200</v>
      </c>
      <c r="CY64" s="229">
        <v>5.3400000000000003E-2</v>
      </c>
      <c r="CZ64" s="228">
        <v>33.85</v>
      </c>
      <c r="DA64" s="228">
        <v>33.83</v>
      </c>
      <c r="DB64" s="228">
        <v>0.02</v>
      </c>
      <c r="DC64" s="228">
        <v>0.02</v>
      </c>
      <c r="DD64" s="228">
        <v>36.06</v>
      </c>
      <c r="DE64" s="228">
        <v>35.979999999999997</v>
      </c>
      <c r="DF64" s="228">
        <v>-2.21</v>
      </c>
      <c r="DG64" s="228">
        <v>0.08</v>
      </c>
      <c r="DH64" s="228">
        <v>33.82</v>
      </c>
      <c r="DI64" s="228">
        <v>33.81</v>
      </c>
      <c r="DJ64" s="228">
        <v>0.01</v>
      </c>
      <c r="DK64" s="228">
        <v>0.01</v>
      </c>
      <c r="DL64" s="228">
        <v>33.880000000000003</v>
      </c>
      <c r="DM64" s="228">
        <v>33.880000000000003</v>
      </c>
      <c r="DN64" s="228">
        <v>0</v>
      </c>
      <c r="DO64" s="228">
        <v>0</v>
      </c>
      <c r="DP64" s="228">
        <v>0.61</v>
      </c>
      <c r="DQ64" s="228">
        <v>0.57999999999999996</v>
      </c>
      <c r="DR64" s="228">
        <v>0.03</v>
      </c>
      <c r="DS64" s="229">
        <v>5.1700000000000003E-2</v>
      </c>
      <c r="DT64" s="228">
        <v>380</v>
      </c>
      <c r="DU64" s="228">
        <v>350</v>
      </c>
      <c r="DV64" s="228">
        <v>0.65</v>
      </c>
      <c r="DW64" s="228">
        <v>0.36</v>
      </c>
      <c r="DX64" s="228">
        <v>0.28999999999999998</v>
      </c>
      <c r="DY64" s="229">
        <v>0.80559999999999998</v>
      </c>
      <c r="DZ64" s="229">
        <v>5.4199999999999998E-2</v>
      </c>
      <c r="EA64" s="230">
        <v>1175400</v>
      </c>
      <c r="EB64" s="229">
        <v>7.4000000000000003E-3</v>
      </c>
      <c r="EC64" s="229">
        <v>5.4199999999999998E-2</v>
      </c>
      <c r="ED64" s="228">
        <v>2.6</v>
      </c>
      <c r="EE64" s="229">
        <v>7.4000000000000003E-3</v>
      </c>
      <c r="EF64" s="230">
        <v>3023396</v>
      </c>
      <c r="EG64" s="230">
        <v>1929461</v>
      </c>
      <c r="EH64" s="229">
        <v>0.56699999999999995</v>
      </c>
      <c r="EI64" s="229">
        <v>0.313</v>
      </c>
      <c r="EJ64" s="231">
        <v>181666.79</v>
      </c>
      <c r="EK64" s="231">
        <v>111226.75</v>
      </c>
      <c r="EL64" s="231">
        <v>59081.96</v>
      </c>
      <c r="EM64" s="231">
        <v>5765</v>
      </c>
      <c r="EN64" s="231">
        <v>351975.5</v>
      </c>
      <c r="EO64" s="231">
        <v>176732.89</v>
      </c>
      <c r="EP64" s="231">
        <v>175242.61</v>
      </c>
      <c r="EQ64" s="229">
        <v>0.99160000000000004</v>
      </c>
      <c r="ER64" s="231">
        <v>65205</v>
      </c>
      <c r="ES64" s="231">
        <v>37094</v>
      </c>
      <c r="ET64" s="231">
        <v>94513</v>
      </c>
      <c r="EU64" s="231">
        <v>50211048</v>
      </c>
      <c r="EV64" s="231">
        <v>196813</v>
      </c>
      <c r="EW64" s="231">
        <v>189756</v>
      </c>
      <c r="EX64" s="231">
        <v>7057</v>
      </c>
      <c r="EY64" s="229">
        <v>3.7199999999999997E-2</v>
      </c>
      <c r="EZ64" s="229">
        <v>1.0961000000000001</v>
      </c>
      <c r="FA64" s="227" t="s">
        <v>567</v>
      </c>
      <c r="FB64" s="161">
        <f t="shared" si="0"/>
        <v>1449000</v>
      </c>
    </row>
    <row r="65" spans="1:158" ht="17.25" thickBot="1" x14ac:dyDescent="0.3">
      <c r="A65" s="226">
        <v>46148</v>
      </c>
      <c r="B65" s="227" t="s">
        <v>172</v>
      </c>
      <c r="C65" s="227" t="s">
        <v>212</v>
      </c>
      <c r="D65" s="228">
        <v>2500</v>
      </c>
      <c r="E65" s="228">
        <v>295</v>
      </c>
      <c r="F65" s="228">
        <v>293.7</v>
      </c>
      <c r="G65" s="228">
        <v>1.3</v>
      </c>
      <c r="H65" s="229">
        <v>4.4000000000000003E-3</v>
      </c>
      <c r="I65" s="228">
        <v>293</v>
      </c>
      <c r="J65" s="228">
        <v>292.60000000000002</v>
      </c>
      <c r="K65" s="228">
        <v>0.4</v>
      </c>
      <c r="L65" s="229">
        <v>1.4E-3</v>
      </c>
      <c r="M65" s="228">
        <v>295</v>
      </c>
      <c r="N65" s="228">
        <v>293.7</v>
      </c>
      <c r="O65" s="228">
        <v>1.3</v>
      </c>
      <c r="P65" s="229">
        <v>4.4000000000000003E-3</v>
      </c>
      <c r="Q65" s="228">
        <v>296.55</v>
      </c>
      <c r="R65" s="228">
        <v>295.05</v>
      </c>
      <c r="S65" s="228">
        <v>1.5</v>
      </c>
      <c r="T65" s="229">
        <v>5.1000000000000004E-3</v>
      </c>
      <c r="U65" s="228">
        <v>297.3</v>
      </c>
      <c r="V65" s="228">
        <v>295.35000000000002</v>
      </c>
      <c r="W65" s="228">
        <v>1.95</v>
      </c>
      <c r="X65" s="229">
        <v>6.6E-3</v>
      </c>
      <c r="Y65" s="228">
        <v>2</v>
      </c>
      <c r="Z65" s="228">
        <v>1.1000000000000001</v>
      </c>
      <c r="AA65" s="228">
        <v>0.9</v>
      </c>
      <c r="AB65" s="229">
        <v>6.7999999999999996E-3</v>
      </c>
      <c r="AC65" s="228">
        <v>2</v>
      </c>
      <c r="AD65" s="228">
        <v>1.1000000000000001</v>
      </c>
      <c r="AE65" s="228">
        <v>0.9</v>
      </c>
      <c r="AF65" s="229">
        <v>6.7999999999999996E-3</v>
      </c>
      <c r="AG65" s="228">
        <v>3.55</v>
      </c>
      <c r="AH65" s="228">
        <v>2.4500000000000002</v>
      </c>
      <c r="AI65" s="228">
        <v>1.1000000000000001</v>
      </c>
      <c r="AJ65" s="229">
        <v>1.21E-2</v>
      </c>
      <c r="AK65" s="228">
        <v>4.3</v>
      </c>
      <c r="AL65" s="228">
        <v>2.75</v>
      </c>
      <c r="AM65" s="228">
        <v>1.55</v>
      </c>
      <c r="AN65" s="229">
        <v>1.47E-2</v>
      </c>
      <c r="AO65" s="228">
        <v>294.51</v>
      </c>
      <c r="AP65" s="228">
        <v>295.56</v>
      </c>
      <c r="AQ65" s="228">
        <v>0</v>
      </c>
      <c r="AR65" s="230">
        <v>15532500</v>
      </c>
      <c r="AS65" s="230">
        <v>12675000</v>
      </c>
      <c r="AT65" s="230">
        <v>2857500</v>
      </c>
      <c r="AU65" s="229">
        <v>0.22539999999999999</v>
      </c>
      <c r="AV65" s="230">
        <v>13995000</v>
      </c>
      <c r="AW65" s="230">
        <v>11187500</v>
      </c>
      <c r="AX65" s="230">
        <v>2807500</v>
      </c>
      <c r="AY65" s="229">
        <v>0.25090000000000001</v>
      </c>
      <c r="AZ65" s="230">
        <v>1465000</v>
      </c>
      <c r="BA65" s="230">
        <v>1337500</v>
      </c>
      <c r="BB65" s="230">
        <v>127500</v>
      </c>
      <c r="BC65" s="229">
        <v>9.5299999999999996E-2</v>
      </c>
      <c r="BD65" s="230">
        <v>72500</v>
      </c>
      <c r="BE65" s="230">
        <v>150000</v>
      </c>
      <c r="BF65" s="230">
        <v>-77500</v>
      </c>
      <c r="BG65" s="229">
        <v>-0.51670000000000005</v>
      </c>
      <c r="BH65" s="230">
        <v>41932500</v>
      </c>
      <c r="BI65" s="230">
        <v>47640000</v>
      </c>
      <c r="BJ65" s="230">
        <v>-5707500</v>
      </c>
      <c r="BK65" s="229">
        <v>-0.1198</v>
      </c>
      <c r="BL65" s="230">
        <v>19557500</v>
      </c>
      <c r="BM65" s="230">
        <v>20270000</v>
      </c>
      <c r="BN65" s="230">
        <v>-712500</v>
      </c>
      <c r="BO65" s="229">
        <v>-3.5200000000000002E-2</v>
      </c>
      <c r="BP65" s="230">
        <v>77022500</v>
      </c>
      <c r="BQ65" s="230">
        <v>80585000</v>
      </c>
      <c r="BR65" s="230">
        <v>-3562500</v>
      </c>
      <c r="BS65" s="229">
        <v>-4.4200000000000003E-2</v>
      </c>
      <c r="BT65" s="230">
        <v>10196261</v>
      </c>
      <c r="BU65" s="230">
        <v>5982972</v>
      </c>
      <c r="BV65" s="230">
        <v>4213289</v>
      </c>
      <c r="BW65" s="229">
        <v>0.70420000000000005</v>
      </c>
      <c r="BX65" s="230">
        <v>85100000</v>
      </c>
      <c r="BY65" s="230">
        <v>83967500</v>
      </c>
      <c r="BZ65" s="230">
        <v>1132500</v>
      </c>
      <c r="CA65" s="229">
        <v>1.35E-2</v>
      </c>
      <c r="CB65" s="230">
        <v>77350000</v>
      </c>
      <c r="CC65" s="230">
        <v>76775000</v>
      </c>
      <c r="CD65" s="230">
        <v>575000</v>
      </c>
      <c r="CE65" s="229">
        <v>7.4999999999999997E-3</v>
      </c>
      <c r="CF65" s="230">
        <v>7500000</v>
      </c>
      <c r="CG65" s="230">
        <v>6940000</v>
      </c>
      <c r="CH65" s="230">
        <v>560000</v>
      </c>
      <c r="CI65" s="229">
        <v>8.0699999999999994E-2</v>
      </c>
      <c r="CJ65" s="230">
        <v>250000</v>
      </c>
      <c r="CK65" s="230">
        <v>252500</v>
      </c>
      <c r="CL65" s="230">
        <v>-2500</v>
      </c>
      <c r="CM65" s="229">
        <v>-9.9000000000000008E-3</v>
      </c>
      <c r="CN65" s="230">
        <v>35330000</v>
      </c>
      <c r="CO65" s="230">
        <v>34427500</v>
      </c>
      <c r="CP65" s="230">
        <v>902500</v>
      </c>
      <c r="CQ65" s="229">
        <v>2.6200000000000001E-2</v>
      </c>
      <c r="CR65" s="230">
        <v>20190000</v>
      </c>
      <c r="CS65" s="230">
        <v>19595000</v>
      </c>
      <c r="CT65" s="230">
        <v>595000</v>
      </c>
      <c r="CU65" s="229">
        <v>3.04E-2</v>
      </c>
      <c r="CV65" s="230">
        <v>140620000</v>
      </c>
      <c r="CW65" s="230">
        <v>137990000</v>
      </c>
      <c r="CX65" s="230">
        <v>2630000</v>
      </c>
      <c r="CY65" s="229">
        <v>1.9099999999999999E-2</v>
      </c>
      <c r="CZ65" s="228">
        <v>28.37</v>
      </c>
      <c r="DA65" s="228">
        <v>28.63</v>
      </c>
      <c r="DB65" s="228">
        <v>-0.26</v>
      </c>
      <c r="DC65" s="228">
        <v>-0.26</v>
      </c>
      <c r="DD65" s="228">
        <v>31.71</v>
      </c>
      <c r="DE65" s="228">
        <v>31.79</v>
      </c>
      <c r="DF65" s="228">
        <v>-3.34</v>
      </c>
      <c r="DG65" s="228">
        <v>-0.08</v>
      </c>
      <c r="DH65" s="228">
        <v>28.57</v>
      </c>
      <c r="DI65" s="228">
        <v>28.53</v>
      </c>
      <c r="DJ65" s="228">
        <v>0.04</v>
      </c>
      <c r="DK65" s="228">
        <v>0.04</v>
      </c>
      <c r="DL65" s="228">
        <v>27.94</v>
      </c>
      <c r="DM65" s="228">
        <v>28.87</v>
      </c>
      <c r="DN65" s="228">
        <v>-0.93</v>
      </c>
      <c r="DO65" s="228">
        <v>-0.93</v>
      </c>
      <c r="DP65" s="228">
        <v>0.56999999999999995</v>
      </c>
      <c r="DQ65" s="228">
        <v>0.56999999999999995</v>
      </c>
      <c r="DR65" s="228">
        <v>0</v>
      </c>
      <c r="DS65" s="229">
        <v>0</v>
      </c>
      <c r="DT65" s="228">
        <v>300</v>
      </c>
      <c r="DU65" s="228">
        <v>290</v>
      </c>
      <c r="DV65" s="228">
        <v>0.47</v>
      </c>
      <c r="DW65" s="228">
        <v>0.43</v>
      </c>
      <c r="DX65" s="228">
        <v>0.04</v>
      </c>
      <c r="DY65" s="229">
        <v>9.2999999999999999E-2</v>
      </c>
      <c r="DZ65" s="229">
        <v>9.11E-2</v>
      </c>
      <c r="EA65" s="230">
        <v>7192500</v>
      </c>
      <c r="EB65" s="229">
        <v>5.3E-3</v>
      </c>
      <c r="EC65" s="229">
        <v>9.11E-2</v>
      </c>
      <c r="ED65" s="228">
        <v>1.05</v>
      </c>
      <c r="EE65" s="229">
        <v>3.5999999999999999E-3</v>
      </c>
      <c r="EF65" s="230">
        <v>5415410</v>
      </c>
      <c r="EG65" s="230">
        <v>2718018</v>
      </c>
      <c r="EH65" s="229">
        <v>0.99239999999999995</v>
      </c>
      <c r="EI65" s="229">
        <v>0.53110000000000002</v>
      </c>
      <c r="EJ65" s="231">
        <v>130623.48</v>
      </c>
      <c r="EK65" s="231">
        <v>56688.86</v>
      </c>
      <c r="EL65" s="231">
        <v>45760.95</v>
      </c>
      <c r="EM65" s="231">
        <v>11489</v>
      </c>
      <c r="EN65" s="231">
        <v>233073.29</v>
      </c>
      <c r="EO65" s="231">
        <v>244165.14</v>
      </c>
      <c r="EP65" s="231">
        <v>-11091.85</v>
      </c>
      <c r="EQ65" s="229">
        <v>-4.5400000000000003E-2</v>
      </c>
      <c r="ER65" s="231">
        <v>107694</v>
      </c>
      <c r="ES65" s="231">
        <v>57339</v>
      </c>
      <c r="ET65" s="231">
        <v>251167</v>
      </c>
      <c r="EU65" s="231">
        <v>359450597</v>
      </c>
      <c r="EV65" s="231">
        <v>416199</v>
      </c>
      <c r="EW65" s="231">
        <v>407329</v>
      </c>
      <c r="EX65" s="231">
        <v>8870</v>
      </c>
      <c r="EY65" s="229">
        <v>2.18E-2</v>
      </c>
      <c r="EZ65" s="229">
        <v>0.39119999999999999</v>
      </c>
      <c r="FA65" s="227" t="s">
        <v>555</v>
      </c>
      <c r="FB65" s="161">
        <f t="shared" si="0"/>
        <v>7750000</v>
      </c>
    </row>
    <row r="66" spans="1:158" ht="17.25" thickBot="1" x14ac:dyDescent="0.3">
      <c r="A66" s="226">
        <v>46148</v>
      </c>
      <c r="B66" s="227" t="s">
        <v>181</v>
      </c>
      <c r="C66" s="227" t="s">
        <v>480</v>
      </c>
      <c r="D66" s="228">
        <v>60</v>
      </c>
      <c r="E66" s="231">
        <v>26552.7</v>
      </c>
      <c r="F66" s="231">
        <v>25824.3</v>
      </c>
      <c r="G66" s="228">
        <v>728.4</v>
      </c>
      <c r="H66" s="229">
        <v>2.8199999999999999E-2</v>
      </c>
      <c r="I66" s="231">
        <v>26392.75</v>
      </c>
      <c r="J66" s="231">
        <v>25716.9</v>
      </c>
      <c r="K66" s="228">
        <v>675.85</v>
      </c>
      <c r="L66" s="229">
        <v>2.63E-2</v>
      </c>
      <c r="M66" s="231">
        <v>26552.7</v>
      </c>
      <c r="N66" s="231">
        <v>25824.3</v>
      </c>
      <c r="O66" s="228">
        <v>728.4</v>
      </c>
      <c r="P66" s="229">
        <v>2.8199999999999999E-2</v>
      </c>
      <c r="Q66" s="228">
        <v>0</v>
      </c>
      <c r="R66" s="228">
        <v>0</v>
      </c>
      <c r="S66" s="228">
        <v>0</v>
      </c>
      <c r="T66" s="229">
        <v>0</v>
      </c>
      <c r="U66" s="228">
        <v>0</v>
      </c>
      <c r="V66" s="228">
        <v>0</v>
      </c>
      <c r="W66" s="228">
        <v>0</v>
      </c>
      <c r="X66" s="229">
        <v>0</v>
      </c>
      <c r="Y66" s="228">
        <v>159.94999999999999</v>
      </c>
      <c r="Z66" s="228">
        <v>107.4</v>
      </c>
      <c r="AA66" s="228">
        <v>52.55</v>
      </c>
      <c r="AB66" s="229">
        <v>6.1000000000000004E-3</v>
      </c>
      <c r="AC66" s="228">
        <v>159.94999999999999</v>
      </c>
      <c r="AD66" s="228">
        <v>107.4</v>
      </c>
      <c r="AE66" s="228">
        <v>52.55</v>
      </c>
      <c r="AF66" s="229">
        <v>6.1000000000000004E-3</v>
      </c>
      <c r="AG66" s="228">
        <v>0</v>
      </c>
      <c r="AH66" s="228">
        <v>0</v>
      </c>
      <c r="AI66" s="228">
        <v>0</v>
      </c>
      <c r="AJ66" s="229">
        <v>0</v>
      </c>
      <c r="AK66" s="228">
        <v>0</v>
      </c>
      <c r="AL66" s="228">
        <v>0</v>
      </c>
      <c r="AM66" s="228">
        <v>0</v>
      </c>
      <c r="AN66" s="229">
        <v>0</v>
      </c>
      <c r="AO66" s="231">
        <v>26216.47</v>
      </c>
      <c r="AP66" s="228">
        <v>0</v>
      </c>
      <c r="AQ66" s="228">
        <v>0</v>
      </c>
      <c r="AR66" s="230">
        <v>15000</v>
      </c>
      <c r="AS66" s="230">
        <v>6060</v>
      </c>
      <c r="AT66" s="230">
        <v>8940</v>
      </c>
      <c r="AU66" s="229">
        <v>1.4752000000000001</v>
      </c>
      <c r="AV66" s="230">
        <v>15000</v>
      </c>
      <c r="AW66" s="230">
        <v>6060</v>
      </c>
      <c r="AX66" s="230">
        <v>8940</v>
      </c>
      <c r="AY66" s="229">
        <v>1.4752000000000001</v>
      </c>
      <c r="AZ66" s="228">
        <v>0</v>
      </c>
      <c r="BA66" s="228">
        <v>0</v>
      </c>
      <c r="BB66" s="228">
        <v>0</v>
      </c>
      <c r="BC66" s="229">
        <v>0</v>
      </c>
      <c r="BD66" s="228">
        <v>0</v>
      </c>
      <c r="BE66" s="228">
        <v>0</v>
      </c>
      <c r="BF66" s="228">
        <v>0</v>
      </c>
      <c r="BG66" s="229">
        <v>0</v>
      </c>
      <c r="BH66" s="230">
        <v>371460</v>
      </c>
      <c r="BI66" s="230">
        <v>245340</v>
      </c>
      <c r="BJ66" s="230">
        <v>126120</v>
      </c>
      <c r="BK66" s="229">
        <v>0.5141</v>
      </c>
      <c r="BL66" s="230">
        <v>308760</v>
      </c>
      <c r="BM66" s="230">
        <v>144840</v>
      </c>
      <c r="BN66" s="230">
        <v>163920</v>
      </c>
      <c r="BO66" s="229">
        <v>1.1316999999999999</v>
      </c>
      <c r="BP66" s="230">
        <v>695220</v>
      </c>
      <c r="BQ66" s="230">
        <v>396240</v>
      </c>
      <c r="BR66" s="230">
        <v>298980</v>
      </c>
      <c r="BS66" s="229">
        <v>0.75449999999999995</v>
      </c>
      <c r="BT66" s="228">
        <v>0</v>
      </c>
      <c r="BU66" s="228">
        <v>0</v>
      </c>
      <c r="BV66" s="228">
        <v>0</v>
      </c>
      <c r="BW66" s="229">
        <v>0</v>
      </c>
      <c r="BX66" s="230">
        <v>28140</v>
      </c>
      <c r="BY66" s="230">
        <v>28500</v>
      </c>
      <c r="BZ66" s="228">
        <v>-360</v>
      </c>
      <c r="CA66" s="229">
        <v>-1.26E-2</v>
      </c>
      <c r="CB66" s="230">
        <v>28140</v>
      </c>
      <c r="CC66" s="230">
        <v>28500</v>
      </c>
      <c r="CD66" s="228">
        <v>-360</v>
      </c>
      <c r="CE66" s="229">
        <v>-1.26E-2</v>
      </c>
      <c r="CF66" s="228">
        <v>0</v>
      </c>
      <c r="CG66" s="228">
        <v>0</v>
      </c>
      <c r="CH66" s="228">
        <v>0</v>
      </c>
      <c r="CI66" s="229">
        <v>0</v>
      </c>
      <c r="CJ66" s="228">
        <v>0</v>
      </c>
      <c r="CK66" s="228">
        <v>0</v>
      </c>
      <c r="CL66" s="228">
        <v>0</v>
      </c>
      <c r="CM66" s="229">
        <v>0</v>
      </c>
      <c r="CN66" s="230">
        <v>191340</v>
      </c>
      <c r="CO66" s="230">
        <v>166740</v>
      </c>
      <c r="CP66" s="230">
        <v>24600</v>
      </c>
      <c r="CQ66" s="229">
        <v>0.14749999999999999</v>
      </c>
      <c r="CR66" s="230">
        <v>151980</v>
      </c>
      <c r="CS66" s="230">
        <v>116040</v>
      </c>
      <c r="CT66" s="230">
        <v>35940</v>
      </c>
      <c r="CU66" s="229">
        <v>0.30969999999999998</v>
      </c>
      <c r="CV66" s="230">
        <v>371460</v>
      </c>
      <c r="CW66" s="230">
        <v>311280</v>
      </c>
      <c r="CX66" s="230">
        <v>60180</v>
      </c>
      <c r="CY66" s="229">
        <v>0.1933</v>
      </c>
      <c r="CZ66" s="228">
        <v>20.170000000000002</v>
      </c>
      <c r="DA66" s="228">
        <v>21.2</v>
      </c>
      <c r="DB66" s="228">
        <v>-1.03</v>
      </c>
      <c r="DC66" s="228">
        <v>-1.03</v>
      </c>
      <c r="DD66" s="228">
        <v>21.67</v>
      </c>
      <c r="DE66" s="228">
        <v>21.44</v>
      </c>
      <c r="DF66" s="228">
        <v>-1.5</v>
      </c>
      <c r="DG66" s="228">
        <v>0.23</v>
      </c>
      <c r="DH66" s="228">
        <v>18.420000000000002</v>
      </c>
      <c r="DI66" s="228">
        <v>20.62</v>
      </c>
      <c r="DJ66" s="228">
        <v>-2.2000000000000002</v>
      </c>
      <c r="DK66" s="228">
        <v>-2.2000000000000002</v>
      </c>
      <c r="DL66" s="228">
        <v>22.26</v>
      </c>
      <c r="DM66" s="228">
        <v>22.18</v>
      </c>
      <c r="DN66" s="228">
        <v>0.08</v>
      </c>
      <c r="DO66" s="228">
        <v>0.08</v>
      </c>
      <c r="DP66" s="228">
        <v>0.79</v>
      </c>
      <c r="DQ66" s="228">
        <v>0.7</v>
      </c>
      <c r="DR66" s="228">
        <v>0.09</v>
      </c>
      <c r="DS66" s="229">
        <v>0.12859999999999999</v>
      </c>
      <c r="DT66" s="231">
        <v>26000</v>
      </c>
      <c r="DU66" s="231">
        <v>26000</v>
      </c>
      <c r="DV66" s="228">
        <v>0.83</v>
      </c>
      <c r="DW66" s="228">
        <v>0.59</v>
      </c>
      <c r="DX66" s="228">
        <v>0.24</v>
      </c>
      <c r="DY66" s="229">
        <v>0.40679999999999999</v>
      </c>
      <c r="DZ66" s="229">
        <v>0</v>
      </c>
      <c r="EA66" s="228">
        <v>0</v>
      </c>
      <c r="EB66" s="229">
        <v>0</v>
      </c>
      <c r="EC66" s="229">
        <v>0</v>
      </c>
      <c r="ED66" s="228">
        <v>0</v>
      </c>
      <c r="EE66" s="229">
        <v>0</v>
      </c>
      <c r="EF66" s="228">
        <v>0</v>
      </c>
      <c r="EG66" s="228">
        <v>0</v>
      </c>
      <c r="EH66" s="229">
        <v>0</v>
      </c>
      <c r="EI66" s="229">
        <v>0</v>
      </c>
      <c r="EJ66" s="231">
        <v>100642.65</v>
      </c>
      <c r="EK66" s="231">
        <v>78814.990000000005</v>
      </c>
      <c r="EL66" s="231">
        <v>3932.47</v>
      </c>
      <c r="EM66" s="228">
        <v>0</v>
      </c>
      <c r="EN66" s="231">
        <v>183390.11</v>
      </c>
      <c r="EO66" s="231">
        <v>105306.86</v>
      </c>
      <c r="EP66" s="231">
        <v>78083.25</v>
      </c>
      <c r="EQ66" s="229">
        <v>0.74150000000000005</v>
      </c>
      <c r="ER66" s="231">
        <v>52168</v>
      </c>
      <c r="ES66" s="231">
        <v>36988</v>
      </c>
      <c r="ET66" s="231">
        <v>7472</v>
      </c>
      <c r="EU66" s="228">
        <v>0</v>
      </c>
      <c r="EV66" s="231">
        <v>96629</v>
      </c>
      <c r="EW66" s="231">
        <v>81026</v>
      </c>
      <c r="EX66" s="231">
        <v>15603</v>
      </c>
      <c r="EY66" s="229">
        <v>0.19259999999999999</v>
      </c>
      <c r="EZ66" s="229">
        <v>0</v>
      </c>
      <c r="FA66" s="227" t="s">
        <v>691</v>
      </c>
      <c r="FB66" s="161">
        <f t="shared" si="0"/>
        <v>0</v>
      </c>
    </row>
    <row r="67" spans="1:158" ht="17.25" thickBot="1" x14ac:dyDescent="0.3">
      <c r="A67" s="226">
        <v>46148</v>
      </c>
      <c r="B67" s="227" t="s">
        <v>162</v>
      </c>
      <c r="C67" s="227" t="s">
        <v>698</v>
      </c>
      <c r="D67" s="228">
        <v>25</v>
      </c>
      <c r="E67" s="231">
        <v>20183</v>
      </c>
      <c r="F67" s="231">
        <v>18966</v>
      </c>
      <c r="G67" s="231">
        <v>1217</v>
      </c>
      <c r="H67" s="229">
        <v>6.4199999999999993E-2</v>
      </c>
      <c r="I67" s="231">
        <v>20173</v>
      </c>
      <c r="J67" s="231">
        <v>18963</v>
      </c>
      <c r="K67" s="231">
        <v>1210</v>
      </c>
      <c r="L67" s="229">
        <v>6.3799999999999996E-2</v>
      </c>
      <c r="M67" s="231">
        <v>20183</v>
      </c>
      <c r="N67" s="231">
        <v>18966</v>
      </c>
      <c r="O67" s="231">
        <v>1217</v>
      </c>
      <c r="P67" s="229">
        <v>6.4199999999999993E-2</v>
      </c>
      <c r="Q67" s="231">
        <v>20028</v>
      </c>
      <c r="R67" s="231">
        <v>18674</v>
      </c>
      <c r="S67" s="231">
        <v>1354</v>
      </c>
      <c r="T67" s="229">
        <v>7.2499999999999995E-2</v>
      </c>
      <c r="U67" s="231">
        <v>19878</v>
      </c>
      <c r="V67" s="231">
        <v>18594</v>
      </c>
      <c r="W67" s="231">
        <v>1284</v>
      </c>
      <c r="X67" s="229">
        <v>6.9099999999999995E-2</v>
      </c>
      <c r="Y67" s="228">
        <v>10</v>
      </c>
      <c r="Z67" s="228">
        <v>3</v>
      </c>
      <c r="AA67" s="228">
        <v>7</v>
      </c>
      <c r="AB67" s="229">
        <v>5.0000000000000001E-4</v>
      </c>
      <c r="AC67" s="228">
        <v>10</v>
      </c>
      <c r="AD67" s="228">
        <v>3</v>
      </c>
      <c r="AE67" s="228">
        <v>7</v>
      </c>
      <c r="AF67" s="229">
        <v>5.0000000000000001E-4</v>
      </c>
      <c r="AG67" s="228">
        <v>-145</v>
      </c>
      <c r="AH67" s="228">
        <v>-289</v>
      </c>
      <c r="AI67" s="228">
        <v>144</v>
      </c>
      <c r="AJ67" s="229">
        <v>-7.1999999999999998E-3</v>
      </c>
      <c r="AK67" s="228">
        <v>-295</v>
      </c>
      <c r="AL67" s="228">
        <v>-369</v>
      </c>
      <c r="AM67" s="228">
        <v>74</v>
      </c>
      <c r="AN67" s="229">
        <v>-1.46E-2</v>
      </c>
      <c r="AO67" s="231">
        <v>20094.27</v>
      </c>
      <c r="AP67" s="231">
        <v>19944.150000000001</v>
      </c>
      <c r="AQ67" s="228">
        <v>0</v>
      </c>
      <c r="AR67" s="230">
        <v>136025</v>
      </c>
      <c r="AS67" s="230">
        <v>59825</v>
      </c>
      <c r="AT67" s="230">
        <v>76200</v>
      </c>
      <c r="AU67" s="229">
        <v>1.2737000000000001</v>
      </c>
      <c r="AV67" s="230">
        <v>113175</v>
      </c>
      <c r="AW67" s="230">
        <v>53500</v>
      </c>
      <c r="AX67" s="230">
        <v>59675</v>
      </c>
      <c r="AY67" s="229">
        <v>1.1153999999999999</v>
      </c>
      <c r="AZ67" s="230">
        <v>20825</v>
      </c>
      <c r="BA67" s="230">
        <v>5650</v>
      </c>
      <c r="BB67" s="230">
        <v>15175</v>
      </c>
      <c r="BC67" s="229">
        <v>2.6858</v>
      </c>
      <c r="BD67" s="230">
        <v>2025</v>
      </c>
      <c r="BE67" s="228">
        <v>675</v>
      </c>
      <c r="BF67" s="230">
        <v>1350</v>
      </c>
      <c r="BG67" s="229">
        <v>2</v>
      </c>
      <c r="BH67" s="230">
        <v>626125</v>
      </c>
      <c r="BI67" s="230">
        <v>140500</v>
      </c>
      <c r="BJ67" s="230">
        <v>485625</v>
      </c>
      <c r="BK67" s="229">
        <v>3.4563999999999999</v>
      </c>
      <c r="BL67" s="230">
        <v>192725</v>
      </c>
      <c r="BM67" s="230">
        <v>62425</v>
      </c>
      <c r="BN67" s="230">
        <v>130300</v>
      </c>
      <c r="BO67" s="229">
        <v>2.0872999999999999</v>
      </c>
      <c r="BP67" s="230">
        <v>954875</v>
      </c>
      <c r="BQ67" s="230">
        <v>262750</v>
      </c>
      <c r="BR67" s="230">
        <v>692125</v>
      </c>
      <c r="BS67" s="229">
        <v>2.6341999999999999</v>
      </c>
      <c r="BT67" s="230">
        <v>275979</v>
      </c>
      <c r="BU67" s="230">
        <v>142314</v>
      </c>
      <c r="BV67" s="230">
        <v>133665</v>
      </c>
      <c r="BW67" s="229">
        <v>0.93920000000000003</v>
      </c>
      <c r="BX67" s="230">
        <v>293725</v>
      </c>
      <c r="BY67" s="230">
        <v>291700</v>
      </c>
      <c r="BZ67" s="230">
        <v>2025</v>
      </c>
      <c r="CA67" s="229">
        <v>6.8999999999999999E-3</v>
      </c>
      <c r="CB67" s="230">
        <v>268575</v>
      </c>
      <c r="CC67" s="230">
        <v>275675</v>
      </c>
      <c r="CD67" s="230">
        <v>-7100</v>
      </c>
      <c r="CE67" s="229">
        <v>-2.58E-2</v>
      </c>
      <c r="CF67" s="230">
        <v>23275</v>
      </c>
      <c r="CG67" s="230">
        <v>14200</v>
      </c>
      <c r="CH67" s="230">
        <v>9075</v>
      </c>
      <c r="CI67" s="229">
        <v>0.6391</v>
      </c>
      <c r="CJ67" s="230">
        <v>1875</v>
      </c>
      <c r="CK67" s="230">
        <v>1825</v>
      </c>
      <c r="CL67" s="228">
        <v>50</v>
      </c>
      <c r="CM67" s="229">
        <v>2.7400000000000001E-2</v>
      </c>
      <c r="CN67" s="230">
        <v>156000</v>
      </c>
      <c r="CO67" s="230">
        <v>160900</v>
      </c>
      <c r="CP67" s="230">
        <v>-4900</v>
      </c>
      <c r="CQ67" s="229">
        <v>-3.0499999999999999E-2</v>
      </c>
      <c r="CR67" s="230">
        <v>70125</v>
      </c>
      <c r="CS67" s="230">
        <v>54275</v>
      </c>
      <c r="CT67" s="230">
        <v>15850</v>
      </c>
      <c r="CU67" s="229">
        <v>0.29199999999999998</v>
      </c>
      <c r="CV67" s="230">
        <v>519850</v>
      </c>
      <c r="CW67" s="230">
        <v>506875</v>
      </c>
      <c r="CX67" s="230">
        <v>12975</v>
      </c>
      <c r="CY67" s="229">
        <v>2.5600000000000001E-2</v>
      </c>
      <c r="CZ67" s="228">
        <v>52.81</v>
      </c>
      <c r="DA67" s="228">
        <v>54.34</v>
      </c>
      <c r="DB67" s="228">
        <v>-1.53</v>
      </c>
      <c r="DC67" s="228">
        <v>-1.53</v>
      </c>
      <c r="DD67" s="228">
        <v>65.739999999999995</v>
      </c>
      <c r="DE67" s="228">
        <v>65.36</v>
      </c>
      <c r="DF67" s="228">
        <v>-12.93</v>
      </c>
      <c r="DG67" s="228">
        <v>0.38</v>
      </c>
      <c r="DH67" s="228">
        <v>52.74</v>
      </c>
      <c r="DI67" s="228">
        <v>54.91</v>
      </c>
      <c r="DJ67" s="228">
        <v>-2.17</v>
      </c>
      <c r="DK67" s="228">
        <v>-2.17</v>
      </c>
      <c r="DL67" s="228">
        <v>53.05</v>
      </c>
      <c r="DM67" s="228">
        <v>53.06</v>
      </c>
      <c r="DN67" s="228">
        <v>-0.01</v>
      </c>
      <c r="DO67" s="228">
        <v>-0.01</v>
      </c>
      <c r="DP67" s="228">
        <v>0.45</v>
      </c>
      <c r="DQ67" s="228">
        <v>0.34</v>
      </c>
      <c r="DR67" s="228">
        <v>0.11</v>
      </c>
      <c r="DS67" s="229">
        <v>0.32350000000000001</v>
      </c>
      <c r="DT67" s="231">
        <v>23000</v>
      </c>
      <c r="DU67" s="231">
        <v>19000</v>
      </c>
      <c r="DV67" s="228">
        <v>0.31</v>
      </c>
      <c r="DW67" s="228">
        <v>0.44</v>
      </c>
      <c r="DX67" s="228">
        <v>-0.13</v>
      </c>
      <c r="DY67" s="229">
        <v>-0.29549999999999998</v>
      </c>
      <c r="DZ67" s="229">
        <v>8.5599999999999996E-2</v>
      </c>
      <c r="EA67" s="230">
        <v>16025</v>
      </c>
      <c r="EB67" s="229">
        <v>-7.7000000000000002E-3</v>
      </c>
      <c r="EC67" s="229">
        <v>8.5599999999999996E-2</v>
      </c>
      <c r="ED67" s="228">
        <v>-150.12</v>
      </c>
      <c r="EE67" s="229">
        <v>-7.4999999999999997E-3</v>
      </c>
      <c r="EF67" s="230">
        <v>76932</v>
      </c>
      <c r="EG67" s="230">
        <v>43973</v>
      </c>
      <c r="EH67" s="229">
        <v>0.74950000000000006</v>
      </c>
      <c r="EI67" s="229">
        <v>0.27879999999999999</v>
      </c>
      <c r="EJ67" s="231">
        <v>139129.10999999999</v>
      </c>
      <c r="EK67" s="231">
        <v>36506.49</v>
      </c>
      <c r="EL67" s="231">
        <v>27296.28</v>
      </c>
      <c r="EM67" s="231">
        <v>3605</v>
      </c>
      <c r="EN67" s="231">
        <v>202931.88</v>
      </c>
      <c r="EO67" s="231">
        <v>53831.02</v>
      </c>
      <c r="EP67" s="231">
        <v>149100.85999999999</v>
      </c>
      <c r="EQ67" s="229">
        <v>2.7698</v>
      </c>
      <c r="ER67" s="231">
        <v>35263</v>
      </c>
      <c r="ES67" s="231">
        <v>13061</v>
      </c>
      <c r="ET67" s="231">
        <v>59241</v>
      </c>
      <c r="EU67" s="231">
        <v>736885</v>
      </c>
      <c r="EV67" s="231">
        <v>107564</v>
      </c>
      <c r="EW67" s="231">
        <v>101437</v>
      </c>
      <c r="EX67" s="231">
        <v>6127</v>
      </c>
      <c r="EY67" s="229">
        <v>6.0400000000000002E-2</v>
      </c>
      <c r="EZ67" s="229">
        <v>0.70550000000000002</v>
      </c>
      <c r="FA67" s="227" t="s">
        <v>555</v>
      </c>
      <c r="FB67" s="161">
        <f t="shared" ref="FB67:FB130" si="1">BX67-CB67</f>
        <v>25150</v>
      </c>
    </row>
    <row r="68" spans="1:158" ht="17.25" thickBot="1" x14ac:dyDescent="0.3">
      <c r="A68" s="226">
        <v>46148</v>
      </c>
      <c r="B68" s="227" t="s">
        <v>170</v>
      </c>
      <c r="C68" s="227" t="s">
        <v>674</v>
      </c>
      <c r="D68" s="228">
        <v>775</v>
      </c>
      <c r="E68" s="228">
        <v>964.25</v>
      </c>
      <c r="F68" s="228">
        <v>952.05</v>
      </c>
      <c r="G68" s="228">
        <v>12.2</v>
      </c>
      <c r="H68" s="229">
        <v>1.2800000000000001E-2</v>
      </c>
      <c r="I68" s="228">
        <v>956.9</v>
      </c>
      <c r="J68" s="228">
        <v>949.55</v>
      </c>
      <c r="K68" s="228">
        <v>7.35</v>
      </c>
      <c r="L68" s="229">
        <v>7.7000000000000002E-3</v>
      </c>
      <c r="M68" s="228">
        <v>964.25</v>
      </c>
      <c r="N68" s="228">
        <v>952.05</v>
      </c>
      <c r="O68" s="228">
        <v>12.2</v>
      </c>
      <c r="P68" s="229">
        <v>1.2800000000000001E-2</v>
      </c>
      <c r="Q68" s="228">
        <v>970.15</v>
      </c>
      <c r="R68" s="228">
        <v>957.4</v>
      </c>
      <c r="S68" s="228">
        <v>12.75</v>
      </c>
      <c r="T68" s="229">
        <v>1.3299999999999999E-2</v>
      </c>
      <c r="U68" s="228">
        <v>973.1</v>
      </c>
      <c r="V68" s="228">
        <v>955</v>
      </c>
      <c r="W68" s="228">
        <v>18.100000000000001</v>
      </c>
      <c r="X68" s="229">
        <v>1.9E-2</v>
      </c>
      <c r="Y68" s="228">
        <v>7.35</v>
      </c>
      <c r="Z68" s="228">
        <v>2.5</v>
      </c>
      <c r="AA68" s="228">
        <v>4.8499999999999996</v>
      </c>
      <c r="AB68" s="229">
        <v>7.7000000000000002E-3</v>
      </c>
      <c r="AC68" s="228">
        <v>7.35</v>
      </c>
      <c r="AD68" s="228">
        <v>2.5</v>
      </c>
      <c r="AE68" s="228">
        <v>4.8499999999999996</v>
      </c>
      <c r="AF68" s="229">
        <v>7.7000000000000002E-3</v>
      </c>
      <c r="AG68" s="228">
        <v>13.25</v>
      </c>
      <c r="AH68" s="228">
        <v>7.85</v>
      </c>
      <c r="AI68" s="228">
        <v>5.4</v>
      </c>
      <c r="AJ68" s="229">
        <v>1.38E-2</v>
      </c>
      <c r="AK68" s="228">
        <v>16.2</v>
      </c>
      <c r="AL68" s="228">
        <v>5.45</v>
      </c>
      <c r="AM68" s="228">
        <v>10.75</v>
      </c>
      <c r="AN68" s="229">
        <v>1.6899999999999998E-2</v>
      </c>
      <c r="AO68" s="228">
        <v>958.07</v>
      </c>
      <c r="AP68" s="228">
        <v>964.42</v>
      </c>
      <c r="AQ68" s="228">
        <v>0</v>
      </c>
      <c r="AR68" s="230">
        <v>847850</v>
      </c>
      <c r="AS68" s="230">
        <v>638600</v>
      </c>
      <c r="AT68" s="230">
        <v>209250</v>
      </c>
      <c r="AU68" s="229">
        <v>0.32769999999999999</v>
      </c>
      <c r="AV68" s="230">
        <v>823825</v>
      </c>
      <c r="AW68" s="230">
        <v>582025</v>
      </c>
      <c r="AX68" s="230">
        <v>241800</v>
      </c>
      <c r="AY68" s="229">
        <v>0.41539999999999999</v>
      </c>
      <c r="AZ68" s="230">
        <v>21700</v>
      </c>
      <c r="BA68" s="230">
        <v>55025</v>
      </c>
      <c r="BB68" s="230">
        <v>-33325</v>
      </c>
      <c r="BC68" s="229">
        <v>-0.60560000000000003</v>
      </c>
      <c r="BD68" s="230">
        <v>2325</v>
      </c>
      <c r="BE68" s="230">
        <v>1550</v>
      </c>
      <c r="BF68" s="228">
        <v>775</v>
      </c>
      <c r="BG68" s="229">
        <v>0.5</v>
      </c>
      <c r="BH68" s="230">
        <v>1643000</v>
      </c>
      <c r="BI68" s="230">
        <v>1245425</v>
      </c>
      <c r="BJ68" s="230">
        <v>397575</v>
      </c>
      <c r="BK68" s="229">
        <v>0.31919999999999998</v>
      </c>
      <c r="BL68" s="230">
        <v>513050</v>
      </c>
      <c r="BM68" s="230">
        <v>427025</v>
      </c>
      <c r="BN68" s="230">
        <v>86025</v>
      </c>
      <c r="BO68" s="229">
        <v>0.20150000000000001</v>
      </c>
      <c r="BP68" s="230">
        <v>3003900</v>
      </c>
      <c r="BQ68" s="230">
        <v>2311050</v>
      </c>
      <c r="BR68" s="230">
        <v>692850</v>
      </c>
      <c r="BS68" s="229">
        <v>0.29980000000000001</v>
      </c>
      <c r="BT68" s="230">
        <v>850685</v>
      </c>
      <c r="BU68" s="230">
        <v>957385</v>
      </c>
      <c r="BV68" s="230">
        <v>-106700</v>
      </c>
      <c r="BW68" s="229">
        <v>-0.1114</v>
      </c>
      <c r="BX68" s="230">
        <v>9399975</v>
      </c>
      <c r="BY68" s="230">
        <v>9432525</v>
      </c>
      <c r="BZ68" s="230">
        <v>-32550</v>
      </c>
      <c r="CA68" s="229">
        <v>-3.5000000000000001E-3</v>
      </c>
      <c r="CB68" s="230">
        <v>7477975</v>
      </c>
      <c r="CC68" s="230">
        <v>7517500</v>
      </c>
      <c r="CD68" s="230">
        <v>-39525</v>
      </c>
      <c r="CE68" s="229">
        <v>-5.3E-3</v>
      </c>
      <c r="CF68" s="230">
        <v>1917350</v>
      </c>
      <c r="CG68" s="230">
        <v>1911150</v>
      </c>
      <c r="CH68" s="230">
        <v>6200</v>
      </c>
      <c r="CI68" s="229">
        <v>3.2000000000000002E-3</v>
      </c>
      <c r="CJ68" s="230">
        <v>4650</v>
      </c>
      <c r="CK68" s="230">
        <v>3875</v>
      </c>
      <c r="CL68" s="228">
        <v>775</v>
      </c>
      <c r="CM68" s="229">
        <v>0.2</v>
      </c>
      <c r="CN68" s="230">
        <v>1937500</v>
      </c>
      <c r="CO68" s="230">
        <v>1651525</v>
      </c>
      <c r="CP68" s="230">
        <v>285975</v>
      </c>
      <c r="CQ68" s="229">
        <v>0.17319999999999999</v>
      </c>
      <c r="CR68" s="230">
        <v>775775</v>
      </c>
      <c r="CS68" s="230">
        <v>821500</v>
      </c>
      <c r="CT68" s="230">
        <v>-45725</v>
      </c>
      <c r="CU68" s="229">
        <v>-5.57E-2</v>
      </c>
      <c r="CV68" s="230">
        <v>12113250</v>
      </c>
      <c r="CW68" s="230">
        <v>11905550</v>
      </c>
      <c r="CX68" s="230">
        <v>207700</v>
      </c>
      <c r="CY68" s="229">
        <v>1.7399999999999999E-2</v>
      </c>
      <c r="CZ68" s="228">
        <v>28.89</v>
      </c>
      <c r="DA68" s="228">
        <v>30.43</v>
      </c>
      <c r="DB68" s="228">
        <v>-1.54</v>
      </c>
      <c r="DC68" s="228">
        <v>-1.54</v>
      </c>
      <c r="DD68" s="228">
        <v>35.15</v>
      </c>
      <c r="DE68" s="228">
        <v>35.229999999999997</v>
      </c>
      <c r="DF68" s="228">
        <v>-6.26</v>
      </c>
      <c r="DG68" s="228">
        <v>-0.08</v>
      </c>
      <c r="DH68" s="228">
        <v>28.36</v>
      </c>
      <c r="DI68" s="228">
        <v>29.88</v>
      </c>
      <c r="DJ68" s="228">
        <v>-1.52</v>
      </c>
      <c r="DK68" s="228">
        <v>-1.52</v>
      </c>
      <c r="DL68" s="228">
        <v>30.59</v>
      </c>
      <c r="DM68" s="228">
        <v>32.049999999999997</v>
      </c>
      <c r="DN68" s="228">
        <v>-1.46</v>
      </c>
      <c r="DO68" s="228">
        <v>-1.46</v>
      </c>
      <c r="DP68" s="228">
        <v>0.4</v>
      </c>
      <c r="DQ68" s="228">
        <v>0.5</v>
      </c>
      <c r="DR68" s="228">
        <v>-0.1</v>
      </c>
      <c r="DS68" s="229">
        <v>-0.2</v>
      </c>
      <c r="DT68" s="231">
        <v>1000</v>
      </c>
      <c r="DU68" s="228">
        <v>900</v>
      </c>
      <c r="DV68" s="228">
        <v>0.31</v>
      </c>
      <c r="DW68" s="228">
        <v>0.34</v>
      </c>
      <c r="DX68" s="228">
        <v>-0.03</v>
      </c>
      <c r="DY68" s="229">
        <v>-8.8200000000000001E-2</v>
      </c>
      <c r="DZ68" s="229">
        <v>0.20449999999999999</v>
      </c>
      <c r="EA68" s="230">
        <v>1915025</v>
      </c>
      <c r="EB68" s="229">
        <v>6.1000000000000004E-3</v>
      </c>
      <c r="EC68" s="229">
        <v>0.20449999999999999</v>
      </c>
      <c r="ED68" s="228">
        <v>6.35</v>
      </c>
      <c r="EE68" s="229">
        <v>6.6E-3</v>
      </c>
      <c r="EF68" s="230">
        <v>441905</v>
      </c>
      <c r="EG68" s="230">
        <v>466043</v>
      </c>
      <c r="EH68" s="229">
        <v>-5.1799999999999999E-2</v>
      </c>
      <c r="EI68" s="229">
        <v>0.51949999999999996</v>
      </c>
      <c r="EJ68" s="231">
        <v>16508.73</v>
      </c>
      <c r="EK68" s="231">
        <v>4798</v>
      </c>
      <c r="EL68" s="231">
        <v>8124.74</v>
      </c>
      <c r="EM68" s="231">
        <v>1113</v>
      </c>
      <c r="EN68" s="231">
        <v>29431.47</v>
      </c>
      <c r="EO68" s="231">
        <v>22555.86</v>
      </c>
      <c r="EP68" s="231">
        <v>6875.61</v>
      </c>
      <c r="EQ68" s="229">
        <v>0.30480000000000002</v>
      </c>
      <c r="ER68" s="231">
        <v>18800</v>
      </c>
      <c r="ES68" s="231">
        <v>7086</v>
      </c>
      <c r="ET68" s="231">
        <v>90753</v>
      </c>
      <c r="EU68" s="231">
        <v>70894446</v>
      </c>
      <c r="EV68" s="231">
        <v>116639</v>
      </c>
      <c r="EW68" s="231">
        <v>113266</v>
      </c>
      <c r="EX68" s="231">
        <v>3373</v>
      </c>
      <c r="EY68" s="229">
        <v>2.98E-2</v>
      </c>
      <c r="EZ68" s="229">
        <v>0.1709</v>
      </c>
      <c r="FA68" s="227" t="s">
        <v>691</v>
      </c>
      <c r="FB68" s="161">
        <f t="shared" si="1"/>
        <v>1922000</v>
      </c>
    </row>
    <row r="69" spans="1:158" ht="17.25" thickBot="1" x14ac:dyDescent="0.3">
      <c r="A69" s="226">
        <v>46148</v>
      </c>
      <c r="B69" s="227" t="s">
        <v>193</v>
      </c>
      <c r="C69" s="227" t="s">
        <v>213</v>
      </c>
      <c r="D69" s="228">
        <v>3150</v>
      </c>
      <c r="E69" s="228">
        <v>166.36</v>
      </c>
      <c r="F69" s="228">
        <v>164.58</v>
      </c>
      <c r="G69" s="228">
        <v>1.78</v>
      </c>
      <c r="H69" s="229">
        <v>1.0800000000000001E-2</v>
      </c>
      <c r="I69" s="228">
        <v>165.68</v>
      </c>
      <c r="J69" s="228">
        <v>163.69999999999999</v>
      </c>
      <c r="K69" s="228">
        <v>1.98</v>
      </c>
      <c r="L69" s="229">
        <v>1.21E-2</v>
      </c>
      <c r="M69" s="228">
        <v>166.36</v>
      </c>
      <c r="N69" s="228">
        <v>164.58</v>
      </c>
      <c r="O69" s="228">
        <v>1.78</v>
      </c>
      <c r="P69" s="229">
        <v>1.0800000000000001E-2</v>
      </c>
      <c r="Q69" s="228">
        <v>167.35</v>
      </c>
      <c r="R69" s="228">
        <v>165.72</v>
      </c>
      <c r="S69" s="228">
        <v>1.63</v>
      </c>
      <c r="T69" s="229">
        <v>9.7999999999999997E-3</v>
      </c>
      <c r="U69" s="228">
        <v>168.5</v>
      </c>
      <c r="V69" s="228">
        <v>166.2</v>
      </c>
      <c r="W69" s="228">
        <v>2.2999999999999998</v>
      </c>
      <c r="X69" s="229">
        <v>1.38E-2</v>
      </c>
      <c r="Y69" s="228">
        <v>0.68</v>
      </c>
      <c r="Z69" s="228">
        <v>0.88</v>
      </c>
      <c r="AA69" s="228">
        <v>-0.2</v>
      </c>
      <c r="AB69" s="229">
        <v>4.1000000000000003E-3</v>
      </c>
      <c r="AC69" s="228">
        <v>0.68</v>
      </c>
      <c r="AD69" s="228">
        <v>0.88</v>
      </c>
      <c r="AE69" s="228">
        <v>-0.2</v>
      </c>
      <c r="AF69" s="229">
        <v>4.1000000000000003E-3</v>
      </c>
      <c r="AG69" s="228">
        <v>1.67</v>
      </c>
      <c r="AH69" s="228">
        <v>2.02</v>
      </c>
      <c r="AI69" s="228">
        <v>-0.35</v>
      </c>
      <c r="AJ69" s="229">
        <v>1.01E-2</v>
      </c>
      <c r="AK69" s="228">
        <v>2.82</v>
      </c>
      <c r="AL69" s="228">
        <v>2.5</v>
      </c>
      <c r="AM69" s="228">
        <v>0.32</v>
      </c>
      <c r="AN69" s="229">
        <v>1.7000000000000001E-2</v>
      </c>
      <c r="AO69" s="228">
        <v>165.62</v>
      </c>
      <c r="AP69" s="228">
        <v>166.89</v>
      </c>
      <c r="AQ69" s="228">
        <v>0</v>
      </c>
      <c r="AR69" s="230">
        <v>4917150</v>
      </c>
      <c r="AS69" s="230">
        <v>9616950</v>
      </c>
      <c r="AT69" s="230">
        <v>-4699800</v>
      </c>
      <c r="AU69" s="229">
        <v>-0.48870000000000002</v>
      </c>
      <c r="AV69" s="230">
        <v>4595850</v>
      </c>
      <c r="AW69" s="230">
        <v>9298800</v>
      </c>
      <c r="AX69" s="230">
        <v>-4702950</v>
      </c>
      <c r="AY69" s="229">
        <v>-0.50580000000000003</v>
      </c>
      <c r="AZ69" s="230">
        <v>248850</v>
      </c>
      <c r="BA69" s="230">
        <v>274050</v>
      </c>
      <c r="BB69" s="230">
        <v>-25200</v>
      </c>
      <c r="BC69" s="229">
        <v>-9.1999999999999998E-2</v>
      </c>
      <c r="BD69" s="230">
        <v>72450</v>
      </c>
      <c r="BE69" s="230">
        <v>44100</v>
      </c>
      <c r="BF69" s="230">
        <v>28350</v>
      </c>
      <c r="BG69" s="229">
        <v>0.64290000000000003</v>
      </c>
      <c r="BH69" s="230">
        <v>13189050</v>
      </c>
      <c r="BI69" s="230">
        <v>11314800</v>
      </c>
      <c r="BJ69" s="230">
        <v>1874250</v>
      </c>
      <c r="BK69" s="229">
        <v>0.1656</v>
      </c>
      <c r="BL69" s="230">
        <v>6322050</v>
      </c>
      <c r="BM69" s="230">
        <v>6596100</v>
      </c>
      <c r="BN69" s="230">
        <v>-274050</v>
      </c>
      <c r="BO69" s="229">
        <v>-4.1500000000000002E-2</v>
      </c>
      <c r="BP69" s="230">
        <v>24428250</v>
      </c>
      <c r="BQ69" s="230">
        <v>27527850</v>
      </c>
      <c r="BR69" s="230">
        <v>-3099600</v>
      </c>
      <c r="BS69" s="229">
        <v>-0.11260000000000001</v>
      </c>
      <c r="BT69" s="230">
        <v>4701896</v>
      </c>
      <c r="BU69" s="230">
        <v>14785432</v>
      </c>
      <c r="BV69" s="230">
        <v>-10083536</v>
      </c>
      <c r="BW69" s="229">
        <v>-0.68200000000000005</v>
      </c>
      <c r="BX69" s="230">
        <v>74419750</v>
      </c>
      <c r="BY69" s="230">
        <v>74129850</v>
      </c>
      <c r="BZ69" s="230">
        <v>289900</v>
      </c>
      <c r="CA69" s="229">
        <v>3.8999999999999998E-3</v>
      </c>
      <c r="CB69" s="230">
        <v>68332950</v>
      </c>
      <c r="CC69" s="230">
        <v>68109300</v>
      </c>
      <c r="CD69" s="230">
        <v>223650</v>
      </c>
      <c r="CE69" s="229">
        <v>3.3E-3</v>
      </c>
      <c r="CF69" s="230">
        <v>5966100</v>
      </c>
      <c r="CG69" s="230">
        <v>5956650</v>
      </c>
      <c r="CH69" s="230">
        <v>9450</v>
      </c>
      <c r="CI69" s="229">
        <v>1.6000000000000001E-3</v>
      </c>
      <c r="CJ69" s="230">
        <v>120700</v>
      </c>
      <c r="CK69" s="230">
        <v>63900</v>
      </c>
      <c r="CL69" s="230">
        <v>56800</v>
      </c>
      <c r="CM69" s="229">
        <v>0.88890000000000002</v>
      </c>
      <c r="CN69" s="230">
        <v>19999350</v>
      </c>
      <c r="CO69" s="230">
        <v>17712450</v>
      </c>
      <c r="CP69" s="230">
        <v>2286900</v>
      </c>
      <c r="CQ69" s="229">
        <v>0.12909999999999999</v>
      </c>
      <c r="CR69" s="230">
        <v>19041750</v>
      </c>
      <c r="CS69" s="230">
        <v>18307800</v>
      </c>
      <c r="CT69" s="230">
        <v>733950</v>
      </c>
      <c r="CU69" s="229">
        <v>4.0099999999999997E-2</v>
      </c>
      <c r="CV69" s="230">
        <v>113460850</v>
      </c>
      <c r="CW69" s="230">
        <v>110150100</v>
      </c>
      <c r="CX69" s="230">
        <v>3310750</v>
      </c>
      <c r="CY69" s="229">
        <v>3.0099999999999998E-2</v>
      </c>
      <c r="CZ69" s="228">
        <v>30.33</v>
      </c>
      <c r="DA69" s="228">
        <v>30.41</v>
      </c>
      <c r="DB69" s="228">
        <v>-0.08</v>
      </c>
      <c r="DC69" s="228">
        <v>-0.08</v>
      </c>
      <c r="DD69" s="228">
        <v>35.03</v>
      </c>
      <c r="DE69" s="228">
        <v>35.090000000000003</v>
      </c>
      <c r="DF69" s="228">
        <v>-4.7</v>
      </c>
      <c r="DG69" s="228">
        <v>-0.06</v>
      </c>
      <c r="DH69" s="228">
        <v>29.85</v>
      </c>
      <c r="DI69" s="228">
        <v>30.16</v>
      </c>
      <c r="DJ69" s="228">
        <v>-0.31</v>
      </c>
      <c r="DK69" s="228">
        <v>-0.31</v>
      </c>
      <c r="DL69" s="228">
        <v>31.34</v>
      </c>
      <c r="DM69" s="228">
        <v>30.83</v>
      </c>
      <c r="DN69" s="228">
        <v>0.51</v>
      </c>
      <c r="DO69" s="228">
        <v>0.51</v>
      </c>
      <c r="DP69" s="228">
        <v>0.95</v>
      </c>
      <c r="DQ69" s="228">
        <v>1.03</v>
      </c>
      <c r="DR69" s="228">
        <v>-0.08</v>
      </c>
      <c r="DS69" s="229">
        <v>-7.7700000000000005E-2</v>
      </c>
      <c r="DT69" s="228">
        <v>170</v>
      </c>
      <c r="DU69" s="228">
        <v>192</v>
      </c>
      <c r="DV69" s="228">
        <v>0.48</v>
      </c>
      <c r="DW69" s="228">
        <v>0.57999999999999996</v>
      </c>
      <c r="DX69" s="228">
        <v>-0.1</v>
      </c>
      <c r="DY69" s="229">
        <v>-0.1724</v>
      </c>
      <c r="DZ69" s="229">
        <v>8.1799999999999998E-2</v>
      </c>
      <c r="EA69" s="230">
        <v>6020550</v>
      </c>
      <c r="EB69" s="229">
        <v>6.0000000000000001E-3</v>
      </c>
      <c r="EC69" s="229">
        <v>8.1799999999999998E-2</v>
      </c>
      <c r="ED69" s="228">
        <v>1.27</v>
      </c>
      <c r="EE69" s="229">
        <v>7.7000000000000002E-3</v>
      </c>
      <c r="EF69" s="230">
        <v>2467478</v>
      </c>
      <c r="EG69" s="230">
        <v>10569164</v>
      </c>
      <c r="EH69" s="229">
        <v>-0.76649999999999996</v>
      </c>
      <c r="EI69" s="229">
        <v>0.52480000000000004</v>
      </c>
      <c r="EJ69" s="231">
        <v>23135.59</v>
      </c>
      <c r="EK69" s="231">
        <v>10310.67</v>
      </c>
      <c r="EL69" s="231">
        <v>8164.12</v>
      </c>
      <c r="EM69" s="231">
        <v>2954</v>
      </c>
      <c r="EN69" s="231">
        <v>41610.379999999997</v>
      </c>
      <c r="EO69" s="231">
        <v>46492.13</v>
      </c>
      <c r="EP69" s="231">
        <v>-4881.75</v>
      </c>
      <c r="EQ69" s="229">
        <v>-0.105</v>
      </c>
      <c r="ER69" s="231">
        <v>34214</v>
      </c>
      <c r="ES69" s="231">
        <v>31602</v>
      </c>
      <c r="ET69" s="231">
        <v>123866</v>
      </c>
      <c r="EU69" s="231">
        <v>471255857</v>
      </c>
      <c r="EV69" s="231">
        <v>189683</v>
      </c>
      <c r="EW69" s="231">
        <v>182660</v>
      </c>
      <c r="EX69" s="231">
        <v>7023</v>
      </c>
      <c r="EY69" s="229">
        <v>3.8399999999999997E-2</v>
      </c>
      <c r="EZ69" s="229">
        <v>0.24079999999999999</v>
      </c>
      <c r="FA69" s="227" t="s">
        <v>555</v>
      </c>
      <c r="FB69" s="161">
        <f t="shared" si="1"/>
        <v>6086800</v>
      </c>
    </row>
    <row r="70" spans="1:158" ht="17.25" thickBot="1" x14ac:dyDescent="0.3">
      <c r="A70" s="226">
        <v>46148</v>
      </c>
      <c r="B70" s="227" t="s">
        <v>170</v>
      </c>
      <c r="C70" s="227" t="s">
        <v>214</v>
      </c>
      <c r="D70" s="228">
        <v>375</v>
      </c>
      <c r="E70" s="231">
        <v>2390.6</v>
      </c>
      <c r="F70" s="231">
        <v>2433.1999999999998</v>
      </c>
      <c r="G70" s="228">
        <v>-42.6</v>
      </c>
      <c r="H70" s="229">
        <v>-1.7500000000000002E-2</v>
      </c>
      <c r="I70" s="231">
        <v>2377.6</v>
      </c>
      <c r="J70" s="231">
        <v>2417.9</v>
      </c>
      <c r="K70" s="228">
        <v>-40.299999999999997</v>
      </c>
      <c r="L70" s="229">
        <v>-1.67E-2</v>
      </c>
      <c r="M70" s="231">
        <v>2390.6</v>
      </c>
      <c r="N70" s="231">
        <v>2433.1999999999998</v>
      </c>
      <c r="O70" s="228">
        <v>-42.6</v>
      </c>
      <c r="P70" s="229">
        <v>-1.7500000000000002E-2</v>
      </c>
      <c r="Q70" s="231">
        <v>2399.1</v>
      </c>
      <c r="R70" s="231">
        <v>2449.6</v>
      </c>
      <c r="S70" s="228">
        <v>-50.5</v>
      </c>
      <c r="T70" s="229">
        <v>-2.06E-2</v>
      </c>
      <c r="U70" s="231">
        <v>2407.4</v>
      </c>
      <c r="V70" s="231">
        <v>2413.9</v>
      </c>
      <c r="W70" s="228">
        <v>-6.5</v>
      </c>
      <c r="X70" s="229">
        <v>-2.7000000000000001E-3</v>
      </c>
      <c r="Y70" s="228">
        <v>13</v>
      </c>
      <c r="Z70" s="228">
        <v>15.3</v>
      </c>
      <c r="AA70" s="228">
        <v>-2.2999999999999998</v>
      </c>
      <c r="AB70" s="229">
        <v>5.4999999999999997E-3</v>
      </c>
      <c r="AC70" s="228">
        <v>13</v>
      </c>
      <c r="AD70" s="228">
        <v>15.3</v>
      </c>
      <c r="AE70" s="228">
        <v>-2.2999999999999998</v>
      </c>
      <c r="AF70" s="229">
        <v>5.4999999999999997E-3</v>
      </c>
      <c r="AG70" s="228">
        <v>21.5</v>
      </c>
      <c r="AH70" s="228">
        <v>31.7</v>
      </c>
      <c r="AI70" s="228">
        <v>-10.199999999999999</v>
      </c>
      <c r="AJ70" s="229">
        <v>8.9999999999999993E-3</v>
      </c>
      <c r="AK70" s="228">
        <v>29.8</v>
      </c>
      <c r="AL70" s="228">
        <v>-4</v>
      </c>
      <c r="AM70" s="228">
        <v>33.799999999999997</v>
      </c>
      <c r="AN70" s="229">
        <v>1.2500000000000001E-2</v>
      </c>
      <c r="AO70" s="231">
        <v>2417.3200000000002</v>
      </c>
      <c r="AP70" s="231">
        <v>2426.71</v>
      </c>
      <c r="AQ70" s="228">
        <v>0</v>
      </c>
      <c r="AR70" s="230">
        <v>3293625</v>
      </c>
      <c r="AS70" s="230">
        <v>1207500</v>
      </c>
      <c r="AT70" s="230">
        <v>2086125</v>
      </c>
      <c r="AU70" s="229">
        <v>1.7276</v>
      </c>
      <c r="AV70" s="230">
        <v>3247875</v>
      </c>
      <c r="AW70" s="230">
        <v>1184250</v>
      </c>
      <c r="AX70" s="230">
        <v>2063625</v>
      </c>
      <c r="AY70" s="229">
        <v>1.7425999999999999</v>
      </c>
      <c r="AZ70" s="230">
        <v>42750</v>
      </c>
      <c r="BA70" s="230">
        <v>22875</v>
      </c>
      <c r="BB70" s="230">
        <v>19875</v>
      </c>
      <c r="BC70" s="229">
        <v>0.86890000000000001</v>
      </c>
      <c r="BD70" s="230">
        <v>3000</v>
      </c>
      <c r="BE70" s="228">
        <v>375</v>
      </c>
      <c r="BF70" s="230">
        <v>2625</v>
      </c>
      <c r="BG70" s="229">
        <v>7</v>
      </c>
      <c r="BH70" s="230">
        <v>3506250</v>
      </c>
      <c r="BI70" s="230">
        <v>2071500</v>
      </c>
      <c r="BJ70" s="230">
        <v>1434750</v>
      </c>
      <c r="BK70" s="229">
        <v>0.69259999999999999</v>
      </c>
      <c r="BL70" s="230">
        <v>1585125</v>
      </c>
      <c r="BM70" s="230">
        <v>799500</v>
      </c>
      <c r="BN70" s="230">
        <v>785625</v>
      </c>
      <c r="BO70" s="229">
        <v>0.98260000000000003</v>
      </c>
      <c r="BP70" s="230">
        <v>8385000</v>
      </c>
      <c r="BQ70" s="230">
        <v>4078500</v>
      </c>
      <c r="BR70" s="230">
        <v>4306500</v>
      </c>
      <c r="BS70" s="229">
        <v>1.0559000000000001</v>
      </c>
      <c r="BT70" s="230">
        <v>1168243</v>
      </c>
      <c r="BU70" s="230">
        <v>938136</v>
      </c>
      <c r="BV70" s="230">
        <v>230107</v>
      </c>
      <c r="BW70" s="229">
        <v>0.24529999999999999</v>
      </c>
      <c r="BX70" s="230">
        <v>11016375</v>
      </c>
      <c r="BY70" s="230">
        <v>11239500</v>
      </c>
      <c r="BZ70" s="230">
        <v>-223125</v>
      </c>
      <c r="CA70" s="229">
        <v>-1.9900000000000001E-2</v>
      </c>
      <c r="CB70" s="230">
        <v>10954125</v>
      </c>
      <c r="CC70" s="230">
        <v>11182500</v>
      </c>
      <c r="CD70" s="230">
        <v>-228375</v>
      </c>
      <c r="CE70" s="229">
        <v>-2.0400000000000001E-2</v>
      </c>
      <c r="CF70" s="230">
        <v>55500</v>
      </c>
      <c r="CG70" s="230">
        <v>52500</v>
      </c>
      <c r="CH70" s="230">
        <v>3000</v>
      </c>
      <c r="CI70" s="229">
        <v>5.7099999999999998E-2</v>
      </c>
      <c r="CJ70" s="230">
        <v>6750</v>
      </c>
      <c r="CK70" s="230">
        <v>4500</v>
      </c>
      <c r="CL70" s="230">
        <v>2250</v>
      </c>
      <c r="CM70" s="229">
        <v>0.5</v>
      </c>
      <c r="CN70" s="230">
        <v>2174250</v>
      </c>
      <c r="CO70" s="230">
        <v>1724250</v>
      </c>
      <c r="CP70" s="230">
        <v>450000</v>
      </c>
      <c r="CQ70" s="229">
        <v>0.26100000000000001</v>
      </c>
      <c r="CR70" s="230">
        <v>1041375</v>
      </c>
      <c r="CS70" s="230">
        <v>988875</v>
      </c>
      <c r="CT70" s="230">
        <v>52500</v>
      </c>
      <c r="CU70" s="229">
        <v>5.3100000000000001E-2</v>
      </c>
      <c r="CV70" s="230">
        <v>14232000</v>
      </c>
      <c r="CW70" s="230">
        <v>13952625</v>
      </c>
      <c r="CX70" s="230">
        <v>279375</v>
      </c>
      <c r="CY70" s="229">
        <v>0.02</v>
      </c>
      <c r="CZ70" s="228">
        <v>37.25</v>
      </c>
      <c r="DA70" s="228">
        <v>36.869999999999997</v>
      </c>
      <c r="DB70" s="228">
        <v>0.38</v>
      </c>
      <c r="DC70" s="228">
        <v>0.38</v>
      </c>
      <c r="DD70" s="228">
        <v>35.94</v>
      </c>
      <c r="DE70" s="228">
        <v>35.950000000000003</v>
      </c>
      <c r="DF70" s="228">
        <v>1.31</v>
      </c>
      <c r="DG70" s="228">
        <v>-0.01</v>
      </c>
      <c r="DH70" s="228">
        <v>37.1</v>
      </c>
      <c r="DI70" s="228">
        <v>36.78</v>
      </c>
      <c r="DJ70" s="228">
        <v>0.32</v>
      </c>
      <c r="DK70" s="228">
        <v>0.32</v>
      </c>
      <c r="DL70" s="228">
        <v>37.590000000000003</v>
      </c>
      <c r="DM70" s="228">
        <v>37.08</v>
      </c>
      <c r="DN70" s="228">
        <v>0.51</v>
      </c>
      <c r="DO70" s="228">
        <v>0.51</v>
      </c>
      <c r="DP70" s="228">
        <v>0.48</v>
      </c>
      <c r="DQ70" s="228">
        <v>0.56999999999999995</v>
      </c>
      <c r="DR70" s="228">
        <v>-0.09</v>
      </c>
      <c r="DS70" s="229">
        <v>-0.15790000000000001</v>
      </c>
      <c r="DT70" s="231">
        <v>2400</v>
      </c>
      <c r="DU70" s="231">
        <v>2400</v>
      </c>
      <c r="DV70" s="228">
        <v>0.45</v>
      </c>
      <c r="DW70" s="228">
        <v>0.39</v>
      </c>
      <c r="DX70" s="228">
        <v>0.06</v>
      </c>
      <c r="DY70" s="229">
        <v>0.15379999999999999</v>
      </c>
      <c r="DZ70" s="229">
        <v>5.7000000000000002E-3</v>
      </c>
      <c r="EA70" s="230">
        <v>57000</v>
      </c>
      <c r="EB70" s="229">
        <v>3.5999999999999999E-3</v>
      </c>
      <c r="EC70" s="229">
        <v>5.7000000000000002E-3</v>
      </c>
      <c r="ED70" s="228">
        <v>9.39</v>
      </c>
      <c r="EE70" s="229">
        <v>3.8999999999999998E-3</v>
      </c>
      <c r="EF70" s="230">
        <v>498340</v>
      </c>
      <c r="EG70" s="230">
        <v>485676</v>
      </c>
      <c r="EH70" s="229">
        <v>2.6100000000000002E-2</v>
      </c>
      <c r="EI70" s="229">
        <v>0.42659999999999998</v>
      </c>
      <c r="EJ70" s="231">
        <v>88896.13</v>
      </c>
      <c r="EK70" s="231">
        <v>37641.21</v>
      </c>
      <c r="EL70" s="231">
        <v>79622.13</v>
      </c>
      <c r="EM70" s="231">
        <v>3381</v>
      </c>
      <c r="EN70" s="231">
        <v>206159.47</v>
      </c>
      <c r="EO70" s="231">
        <v>100687.21</v>
      </c>
      <c r="EP70" s="231">
        <v>105472.26</v>
      </c>
      <c r="EQ70" s="229">
        <v>1.0475000000000001</v>
      </c>
      <c r="ER70" s="231">
        <v>53261</v>
      </c>
      <c r="ES70" s="231">
        <v>23780</v>
      </c>
      <c r="ET70" s="231">
        <v>263363</v>
      </c>
      <c r="EU70" s="231">
        <v>15844372</v>
      </c>
      <c r="EV70" s="231">
        <v>340403</v>
      </c>
      <c r="EW70" s="231">
        <v>338051</v>
      </c>
      <c r="EX70" s="231">
        <v>2352</v>
      </c>
      <c r="EY70" s="229">
        <v>7.0000000000000001E-3</v>
      </c>
      <c r="EZ70" s="229">
        <v>0.8982</v>
      </c>
      <c r="FA70" s="227" t="s">
        <v>567</v>
      </c>
      <c r="FB70" s="161">
        <f t="shared" si="1"/>
        <v>62250</v>
      </c>
    </row>
    <row r="71" spans="1:158" ht="17.25" thickBot="1" x14ac:dyDescent="0.3">
      <c r="A71" s="226">
        <v>46148</v>
      </c>
      <c r="B71" s="227" t="s">
        <v>215</v>
      </c>
      <c r="C71" s="227" t="s">
        <v>630</v>
      </c>
      <c r="D71" s="228">
        <v>6975</v>
      </c>
      <c r="E71" s="228">
        <v>99.97</v>
      </c>
      <c r="F71" s="228">
        <v>97.34</v>
      </c>
      <c r="G71" s="228">
        <v>2.63</v>
      </c>
      <c r="H71" s="229">
        <v>2.7E-2</v>
      </c>
      <c r="I71" s="228">
        <v>99.23</v>
      </c>
      <c r="J71" s="228">
        <v>96.97</v>
      </c>
      <c r="K71" s="228">
        <v>2.2599999999999998</v>
      </c>
      <c r="L71" s="229">
        <v>2.3300000000000001E-2</v>
      </c>
      <c r="M71" s="228">
        <v>99.97</v>
      </c>
      <c r="N71" s="228">
        <v>97.34</v>
      </c>
      <c r="O71" s="228">
        <v>2.63</v>
      </c>
      <c r="P71" s="229">
        <v>2.7E-2</v>
      </c>
      <c r="Q71" s="228">
        <v>100.55</v>
      </c>
      <c r="R71" s="228">
        <v>98.1</v>
      </c>
      <c r="S71" s="228">
        <v>2.4500000000000002</v>
      </c>
      <c r="T71" s="229">
        <v>2.5000000000000001E-2</v>
      </c>
      <c r="U71" s="228">
        <v>101.24</v>
      </c>
      <c r="V71" s="228">
        <v>98.31</v>
      </c>
      <c r="W71" s="228">
        <v>2.93</v>
      </c>
      <c r="X71" s="229">
        <v>2.98E-2</v>
      </c>
      <c r="Y71" s="228">
        <v>0.74</v>
      </c>
      <c r="Z71" s="228">
        <v>0.37</v>
      </c>
      <c r="AA71" s="228">
        <v>0.37</v>
      </c>
      <c r="AB71" s="229">
        <v>7.4999999999999997E-3</v>
      </c>
      <c r="AC71" s="228">
        <v>0.74</v>
      </c>
      <c r="AD71" s="228">
        <v>0.37</v>
      </c>
      <c r="AE71" s="228">
        <v>0.37</v>
      </c>
      <c r="AF71" s="229">
        <v>7.4999999999999997E-3</v>
      </c>
      <c r="AG71" s="228">
        <v>1.32</v>
      </c>
      <c r="AH71" s="228">
        <v>1.1299999999999999</v>
      </c>
      <c r="AI71" s="228">
        <v>0.19</v>
      </c>
      <c r="AJ71" s="229">
        <v>1.3299999999999999E-2</v>
      </c>
      <c r="AK71" s="228">
        <v>2.0099999999999998</v>
      </c>
      <c r="AL71" s="228">
        <v>1.34</v>
      </c>
      <c r="AM71" s="228">
        <v>0.67</v>
      </c>
      <c r="AN71" s="229">
        <v>2.0299999999999999E-2</v>
      </c>
      <c r="AO71" s="228">
        <v>98.61</v>
      </c>
      <c r="AP71" s="228">
        <v>99.17</v>
      </c>
      <c r="AQ71" s="228">
        <v>0</v>
      </c>
      <c r="AR71" s="230">
        <v>29197350</v>
      </c>
      <c r="AS71" s="230">
        <v>21601575</v>
      </c>
      <c r="AT71" s="230">
        <v>7595775</v>
      </c>
      <c r="AU71" s="229">
        <v>0.35160000000000002</v>
      </c>
      <c r="AV71" s="230">
        <v>27495450</v>
      </c>
      <c r="AW71" s="230">
        <v>20339100</v>
      </c>
      <c r="AX71" s="230">
        <v>7156350</v>
      </c>
      <c r="AY71" s="229">
        <v>0.35189999999999999</v>
      </c>
      <c r="AZ71" s="230">
        <v>1541475</v>
      </c>
      <c r="BA71" s="230">
        <v>1164825</v>
      </c>
      <c r="BB71" s="230">
        <v>376650</v>
      </c>
      <c r="BC71" s="229">
        <v>0.32340000000000002</v>
      </c>
      <c r="BD71" s="230">
        <v>160425</v>
      </c>
      <c r="BE71" s="230">
        <v>97650</v>
      </c>
      <c r="BF71" s="230">
        <v>62775</v>
      </c>
      <c r="BG71" s="229">
        <v>0.64290000000000003</v>
      </c>
      <c r="BH71" s="230">
        <v>74883600</v>
      </c>
      <c r="BI71" s="230">
        <v>42568425</v>
      </c>
      <c r="BJ71" s="230">
        <v>32315175</v>
      </c>
      <c r="BK71" s="229">
        <v>0.7591</v>
      </c>
      <c r="BL71" s="230">
        <v>25130925</v>
      </c>
      <c r="BM71" s="230">
        <v>21748050</v>
      </c>
      <c r="BN71" s="230">
        <v>3382875</v>
      </c>
      <c r="BO71" s="229">
        <v>0.1555</v>
      </c>
      <c r="BP71" s="230">
        <v>129211875</v>
      </c>
      <c r="BQ71" s="230">
        <v>85918050</v>
      </c>
      <c r="BR71" s="230">
        <v>43293825</v>
      </c>
      <c r="BS71" s="229">
        <v>0.50390000000000001</v>
      </c>
      <c r="BT71" s="230">
        <v>15376427</v>
      </c>
      <c r="BU71" s="230">
        <v>15164607</v>
      </c>
      <c r="BV71" s="230">
        <v>211820</v>
      </c>
      <c r="BW71" s="229">
        <v>1.4E-2</v>
      </c>
      <c r="BX71" s="230">
        <v>139325625</v>
      </c>
      <c r="BY71" s="230">
        <v>134715150</v>
      </c>
      <c r="BZ71" s="230">
        <v>4610475</v>
      </c>
      <c r="CA71" s="229">
        <v>3.4200000000000001E-2</v>
      </c>
      <c r="CB71" s="230">
        <v>131925150</v>
      </c>
      <c r="CC71" s="230">
        <v>127468125</v>
      </c>
      <c r="CD71" s="230">
        <v>4457025</v>
      </c>
      <c r="CE71" s="229">
        <v>3.5000000000000003E-2</v>
      </c>
      <c r="CF71" s="230">
        <v>7142400</v>
      </c>
      <c r="CG71" s="230">
        <v>7037775</v>
      </c>
      <c r="CH71" s="230">
        <v>104625</v>
      </c>
      <c r="CI71" s="229">
        <v>1.49E-2</v>
      </c>
      <c r="CJ71" s="230">
        <v>258075</v>
      </c>
      <c r="CK71" s="230">
        <v>209250</v>
      </c>
      <c r="CL71" s="230">
        <v>48825</v>
      </c>
      <c r="CM71" s="229">
        <v>0.23330000000000001</v>
      </c>
      <c r="CN71" s="230">
        <v>63570150</v>
      </c>
      <c r="CO71" s="230">
        <v>61317225</v>
      </c>
      <c r="CP71" s="230">
        <v>2252925</v>
      </c>
      <c r="CQ71" s="229">
        <v>3.6700000000000003E-2</v>
      </c>
      <c r="CR71" s="230">
        <v>38669400</v>
      </c>
      <c r="CS71" s="230">
        <v>35718975</v>
      </c>
      <c r="CT71" s="230">
        <v>2950425</v>
      </c>
      <c r="CU71" s="229">
        <v>8.2600000000000007E-2</v>
      </c>
      <c r="CV71" s="230">
        <v>241565175</v>
      </c>
      <c r="CW71" s="230">
        <v>231751350</v>
      </c>
      <c r="CX71" s="230">
        <v>9813825</v>
      </c>
      <c r="CY71" s="229">
        <v>4.2299999999999997E-2</v>
      </c>
      <c r="CZ71" s="228">
        <v>38.89</v>
      </c>
      <c r="DA71" s="228">
        <v>38.6</v>
      </c>
      <c r="DB71" s="228">
        <v>0.28999999999999998</v>
      </c>
      <c r="DC71" s="228">
        <v>0.28999999999999998</v>
      </c>
      <c r="DD71" s="228">
        <v>40.89</v>
      </c>
      <c r="DE71" s="228">
        <v>40.840000000000003</v>
      </c>
      <c r="DF71" s="228">
        <v>-2</v>
      </c>
      <c r="DG71" s="228">
        <v>0.05</v>
      </c>
      <c r="DH71" s="228">
        <v>38.97</v>
      </c>
      <c r="DI71" s="228">
        <v>38.58</v>
      </c>
      <c r="DJ71" s="228">
        <v>0.39</v>
      </c>
      <c r="DK71" s="228">
        <v>0.39</v>
      </c>
      <c r="DL71" s="228">
        <v>38.630000000000003</v>
      </c>
      <c r="DM71" s="228">
        <v>38.630000000000003</v>
      </c>
      <c r="DN71" s="228">
        <v>0</v>
      </c>
      <c r="DO71" s="228">
        <v>0</v>
      </c>
      <c r="DP71" s="228">
        <v>0.61</v>
      </c>
      <c r="DQ71" s="228">
        <v>0.57999999999999996</v>
      </c>
      <c r="DR71" s="228">
        <v>0.03</v>
      </c>
      <c r="DS71" s="229">
        <v>5.1700000000000003E-2</v>
      </c>
      <c r="DT71" s="228">
        <v>100</v>
      </c>
      <c r="DU71" s="228">
        <v>90</v>
      </c>
      <c r="DV71" s="228">
        <v>0.34</v>
      </c>
      <c r="DW71" s="228">
        <v>0.51</v>
      </c>
      <c r="DX71" s="228">
        <v>-0.17</v>
      </c>
      <c r="DY71" s="229">
        <v>-0.33329999999999999</v>
      </c>
      <c r="DZ71" s="229">
        <v>5.3100000000000001E-2</v>
      </c>
      <c r="EA71" s="230">
        <v>7247025</v>
      </c>
      <c r="EB71" s="229">
        <v>5.7999999999999996E-3</v>
      </c>
      <c r="EC71" s="229">
        <v>5.3100000000000001E-2</v>
      </c>
      <c r="ED71" s="228">
        <v>0.56000000000000005</v>
      </c>
      <c r="EE71" s="229">
        <v>5.7000000000000002E-3</v>
      </c>
      <c r="EF71" s="230">
        <v>7854301</v>
      </c>
      <c r="EG71" s="230">
        <v>7491046</v>
      </c>
      <c r="EH71" s="229">
        <v>4.8500000000000001E-2</v>
      </c>
      <c r="EI71" s="229">
        <v>0.51080000000000003</v>
      </c>
      <c r="EJ71" s="231">
        <v>78267.039999999994</v>
      </c>
      <c r="EK71" s="231">
        <v>24385.79</v>
      </c>
      <c r="EL71" s="231">
        <v>28802.16</v>
      </c>
      <c r="EM71" s="231">
        <v>2823</v>
      </c>
      <c r="EN71" s="231">
        <v>131454.99</v>
      </c>
      <c r="EO71" s="231">
        <v>86161.07</v>
      </c>
      <c r="EP71" s="231">
        <v>45293.919999999998</v>
      </c>
      <c r="EQ71" s="229">
        <v>0.52569999999999995</v>
      </c>
      <c r="ER71" s="231">
        <v>64939</v>
      </c>
      <c r="ES71" s="231">
        <v>36294</v>
      </c>
      <c r="ET71" s="231">
        <v>139329</v>
      </c>
      <c r="EU71" s="231">
        <v>534704421</v>
      </c>
      <c r="EV71" s="231">
        <v>240561</v>
      </c>
      <c r="EW71" s="231">
        <v>227295</v>
      </c>
      <c r="EX71" s="231">
        <v>13266</v>
      </c>
      <c r="EY71" s="229">
        <v>5.8400000000000001E-2</v>
      </c>
      <c r="EZ71" s="229">
        <v>0.45179999999999998</v>
      </c>
      <c r="FA71" s="227" t="s">
        <v>555</v>
      </c>
      <c r="FB71" s="161">
        <f t="shared" si="1"/>
        <v>7400475</v>
      </c>
    </row>
    <row r="72" spans="1:158" ht="17.25" thickBot="1" x14ac:dyDescent="0.3">
      <c r="A72" s="226">
        <v>46148</v>
      </c>
      <c r="B72" s="227" t="s">
        <v>168</v>
      </c>
      <c r="C72" s="227" t="s">
        <v>697</v>
      </c>
      <c r="D72" s="228">
        <v>275</v>
      </c>
      <c r="E72" s="231">
        <v>2322.6</v>
      </c>
      <c r="F72" s="231">
        <v>2246.1</v>
      </c>
      <c r="G72" s="228">
        <v>76.5</v>
      </c>
      <c r="H72" s="229">
        <v>3.4099999999999998E-2</v>
      </c>
      <c r="I72" s="231">
        <v>2308</v>
      </c>
      <c r="J72" s="231">
        <v>2238.6999999999998</v>
      </c>
      <c r="K72" s="228">
        <v>69.3</v>
      </c>
      <c r="L72" s="229">
        <v>3.1E-2</v>
      </c>
      <c r="M72" s="231">
        <v>2322.6</v>
      </c>
      <c r="N72" s="231">
        <v>2246.1</v>
      </c>
      <c r="O72" s="228">
        <v>76.5</v>
      </c>
      <c r="P72" s="229">
        <v>3.4099999999999998E-2</v>
      </c>
      <c r="Q72" s="231">
        <v>2310.4</v>
      </c>
      <c r="R72" s="231">
        <v>2228.3000000000002</v>
      </c>
      <c r="S72" s="228">
        <v>82.1</v>
      </c>
      <c r="T72" s="229">
        <v>3.6799999999999999E-2</v>
      </c>
      <c r="U72" s="231">
        <v>2303.1</v>
      </c>
      <c r="V72" s="231">
        <v>2204.3000000000002</v>
      </c>
      <c r="W72" s="228">
        <v>98.8</v>
      </c>
      <c r="X72" s="229">
        <v>4.48E-2</v>
      </c>
      <c r="Y72" s="228">
        <v>14.6</v>
      </c>
      <c r="Z72" s="228">
        <v>7.4</v>
      </c>
      <c r="AA72" s="228">
        <v>7.2</v>
      </c>
      <c r="AB72" s="229">
        <v>6.3E-3</v>
      </c>
      <c r="AC72" s="228">
        <v>14.6</v>
      </c>
      <c r="AD72" s="228">
        <v>7.4</v>
      </c>
      <c r="AE72" s="228">
        <v>7.2</v>
      </c>
      <c r="AF72" s="229">
        <v>6.3E-3</v>
      </c>
      <c r="AG72" s="228">
        <v>2.4</v>
      </c>
      <c r="AH72" s="228">
        <v>-10.4</v>
      </c>
      <c r="AI72" s="228">
        <v>12.8</v>
      </c>
      <c r="AJ72" s="229">
        <v>1E-3</v>
      </c>
      <c r="AK72" s="228">
        <v>-4.9000000000000004</v>
      </c>
      <c r="AL72" s="228">
        <v>-34.4</v>
      </c>
      <c r="AM72" s="228">
        <v>29.5</v>
      </c>
      <c r="AN72" s="229">
        <v>-2.0999999999999999E-3</v>
      </c>
      <c r="AO72" s="231">
        <v>2306.88</v>
      </c>
      <c r="AP72" s="231">
        <v>2295.69</v>
      </c>
      <c r="AQ72" s="228">
        <v>0</v>
      </c>
      <c r="AR72" s="230">
        <v>1091475</v>
      </c>
      <c r="AS72" s="230">
        <v>357225</v>
      </c>
      <c r="AT72" s="230">
        <v>734250</v>
      </c>
      <c r="AU72" s="229">
        <v>2.0554000000000001</v>
      </c>
      <c r="AV72" s="230">
        <v>1028225</v>
      </c>
      <c r="AW72" s="230">
        <v>344300</v>
      </c>
      <c r="AX72" s="230">
        <v>683925</v>
      </c>
      <c r="AY72" s="229">
        <v>1.9863999999999999</v>
      </c>
      <c r="AZ72" s="230">
        <v>60225</v>
      </c>
      <c r="BA72" s="230">
        <v>11825</v>
      </c>
      <c r="BB72" s="230">
        <v>48400</v>
      </c>
      <c r="BC72" s="229">
        <v>4.093</v>
      </c>
      <c r="BD72" s="230">
        <v>3025</v>
      </c>
      <c r="BE72" s="230">
        <v>1100</v>
      </c>
      <c r="BF72" s="230">
        <v>1925</v>
      </c>
      <c r="BG72" s="229">
        <v>1.75</v>
      </c>
      <c r="BH72" s="230">
        <v>1434950</v>
      </c>
      <c r="BI72" s="230">
        <v>438900</v>
      </c>
      <c r="BJ72" s="230">
        <v>996050</v>
      </c>
      <c r="BK72" s="229">
        <v>2.2694000000000001</v>
      </c>
      <c r="BL72" s="230">
        <v>481250</v>
      </c>
      <c r="BM72" s="230">
        <v>113575</v>
      </c>
      <c r="BN72" s="230">
        <v>367675</v>
      </c>
      <c r="BO72" s="229">
        <v>3.2372999999999998</v>
      </c>
      <c r="BP72" s="230">
        <v>3007675</v>
      </c>
      <c r="BQ72" s="230">
        <v>909700</v>
      </c>
      <c r="BR72" s="230">
        <v>2097975</v>
      </c>
      <c r="BS72" s="229">
        <v>2.3062</v>
      </c>
      <c r="BT72" s="230">
        <v>1174455</v>
      </c>
      <c r="BU72" s="230">
        <v>389312</v>
      </c>
      <c r="BV72" s="230">
        <v>785143</v>
      </c>
      <c r="BW72" s="229">
        <v>2.0167000000000002</v>
      </c>
      <c r="BX72" s="230">
        <v>1883475</v>
      </c>
      <c r="BY72" s="230">
        <v>1711600</v>
      </c>
      <c r="BZ72" s="230">
        <v>171875</v>
      </c>
      <c r="CA72" s="229">
        <v>0.1004</v>
      </c>
      <c r="CB72" s="230">
        <v>1827375</v>
      </c>
      <c r="CC72" s="230">
        <v>1666500</v>
      </c>
      <c r="CD72" s="230">
        <v>160875</v>
      </c>
      <c r="CE72" s="229">
        <v>9.6500000000000002E-2</v>
      </c>
      <c r="CF72" s="230">
        <v>53075</v>
      </c>
      <c r="CG72" s="230">
        <v>40425</v>
      </c>
      <c r="CH72" s="230">
        <v>12650</v>
      </c>
      <c r="CI72" s="229">
        <v>0.31290000000000001</v>
      </c>
      <c r="CJ72" s="230">
        <v>3025</v>
      </c>
      <c r="CK72" s="230">
        <v>4675</v>
      </c>
      <c r="CL72" s="230">
        <v>-1650</v>
      </c>
      <c r="CM72" s="229">
        <v>-0.35289999999999999</v>
      </c>
      <c r="CN72" s="230">
        <v>644325</v>
      </c>
      <c r="CO72" s="230">
        <v>578325</v>
      </c>
      <c r="CP72" s="230">
        <v>66000</v>
      </c>
      <c r="CQ72" s="229">
        <v>0.11409999999999999</v>
      </c>
      <c r="CR72" s="230">
        <v>381975</v>
      </c>
      <c r="CS72" s="230">
        <v>233750</v>
      </c>
      <c r="CT72" s="230">
        <v>148225</v>
      </c>
      <c r="CU72" s="229">
        <v>0.6341</v>
      </c>
      <c r="CV72" s="230">
        <v>2909775</v>
      </c>
      <c r="CW72" s="230">
        <v>2523675</v>
      </c>
      <c r="CX72" s="230">
        <v>386100</v>
      </c>
      <c r="CY72" s="229">
        <v>0.153</v>
      </c>
      <c r="CZ72" s="228">
        <v>47.34</v>
      </c>
      <c r="DA72" s="228">
        <v>54.37</v>
      </c>
      <c r="DB72" s="228">
        <v>-7.03</v>
      </c>
      <c r="DC72" s="228">
        <v>-7.03</v>
      </c>
      <c r="DD72" s="228">
        <v>70.3</v>
      </c>
      <c r="DE72" s="228">
        <v>70.349999999999994</v>
      </c>
      <c r="DF72" s="228">
        <v>-22.96</v>
      </c>
      <c r="DG72" s="228">
        <v>-0.05</v>
      </c>
      <c r="DH72" s="228">
        <v>47.31</v>
      </c>
      <c r="DI72" s="228">
        <v>54.13</v>
      </c>
      <c r="DJ72" s="228">
        <v>-6.82</v>
      </c>
      <c r="DK72" s="228">
        <v>-6.82</v>
      </c>
      <c r="DL72" s="228">
        <v>47.42</v>
      </c>
      <c r="DM72" s="228">
        <v>55.31</v>
      </c>
      <c r="DN72" s="228">
        <v>-7.89</v>
      </c>
      <c r="DO72" s="228">
        <v>-7.89</v>
      </c>
      <c r="DP72" s="228">
        <v>0.59</v>
      </c>
      <c r="DQ72" s="228">
        <v>0.4</v>
      </c>
      <c r="DR72" s="228">
        <v>0.19</v>
      </c>
      <c r="DS72" s="229">
        <v>0.47499999999999998</v>
      </c>
      <c r="DT72" s="231">
        <v>2500</v>
      </c>
      <c r="DU72" s="231">
        <v>2200</v>
      </c>
      <c r="DV72" s="228">
        <v>0.34</v>
      </c>
      <c r="DW72" s="228">
        <v>0.26</v>
      </c>
      <c r="DX72" s="228">
        <v>0.08</v>
      </c>
      <c r="DY72" s="229">
        <v>0.30769999999999997</v>
      </c>
      <c r="DZ72" s="229">
        <v>2.98E-2</v>
      </c>
      <c r="EA72" s="230">
        <v>45100</v>
      </c>
      <c r="EB72" s="229">
        <v>-5.3E-3</v>
      </c>
      <c r="EC72" s="229">
        <v>2.98E-2</v>
      </c>
      <c r="ED72" s="228">
        <v>-11.19</v>
      </c>
      <c r="EE72" s="229">
        <v>-4.8999999999999998E-3</v>
      </c>
      <c r="EF72" s="230">
        <v>368692</v>
      </c>
      <c r="EG72" s="230">
        <v>97130</v>
      </c>
      <c r="EH72" s="229">
        <v>2.7959000000000001</v>
      </c>
      <c r="EI72" s="229">
        <v>0.31390000000000001</v>
      </c>
      <c r="EJ72" s="231">
        <v>35149.5</v>
      </c>
      <c r="EK72" s="231">
        <v>10755.14</v>
      </c>
      <c r="EL72" s="231">
        <v>25171.87</v>
      </c>
      <c r="EM72" s="231">
        <v>3125</v>
      </c>
      <c r="EN72" s="231">
        <v>71076.509999999995</v>
      </c>
      <c r="EO72" s="231">
        <v>20959.54</v>
      </c>
      <c r="EP72" s="231">
        <v>50116.97</v>
      </c>
      <c r="EQ72" s="229">
        <v>2.3910999999999998</v>
      </c>
      <c r="ER72" s="231">
        <v>15118</v>
      </c>
      <c r="ES72" s="231">
        <v>8220</v>
      </c>
      <c r="ET72" s="231">
        <v>43739</v>
      </c>
      <c r="EU72" s="231">
        <v>6329596</v>
      </c>
      <c r="EV72" s="231">
        <v>67077</v>
      </c>
      <c r="EW72" s="231">
        <v>56884</v>
      </c>
      <c r="EX72" s="231">
        <v>10193</v>
      </c>
      <c r="EY72" s="229">
        <v>0.1792</v>
      </c>
      <c r="EZ72" s="229">
        <v>0.4597</v>
      </c>
      <c r="FA72" s="227" t="s">
        <v>555</v>
      </c>
      <c r="FB72" s="161">
        <f t="shared" si="1"/>
        <v>56100</v>
      </c>
    </row>
    <row r="73" spans="1:158" ht="17.25" thickBot="1" x14ac:dyDescent="0.3">
      <c r="A73" s="226">
        <v>46148</v>
      </c>
      <c r="B73" s="227" t="s">
        <v>168</v>
      </c>
      <c r="C73" s="227" t="s">
        <v>217</v>
      </c>
      <c r="D73" s="228">
        <v>500</v>
      </c>
      <c r="E73" s="231">
        <v>1098.2</v>
      </c>
      <c r="F73" s="231">
        <v>1098.5999999999999</v>
      </c>
      <c r="G73" s="228">
        <v>-0.4</v>
      </c>
      <c r="H73" s="229">
        <v>-4.0000000000000002E-4</v>
      </c>
      <c r="I73" s="231">
        <v>1094.0999999999999</v>
      </c>
      <c r="J73" s="231">
        <v>1101.5</v>
      </c>
      <c r="K73" s="228">
        <v>-7.4</v>
      </c>
      <c r="L73" s="229">
        <v>-6.7000000000000002E-3</v>
      </c>
      <c r="M73" s="231">
        <v>1098.2</v>
      </c>
      <c r="N73" s="231">
        <v>1098.5999999999999</v>
      </c>
      <c r="O73" s="228">
        <v>-0.4</v>
      </c>
      <c r="P73" s="229">
        <v>-4.0000000000000002E-4</v>
      </c>
      <c r="Q73" s="231">
        <v>1105</v>
      </c>
      <c r="R73" s="231">
        <v>1105.5999999999999</v>
      </c>
      <c r="S73" s="228">
        <v>-0.6</v>
      </c>
      <c r="T73" s="229">
        <v>-5.0000000000000001E-4</v>
      </c>
      <c r="U73" s="231">
        <v>1096.9000000000001</v>
      </c>
      <c r="V73" s="231">
        <v>1092</v>
      </c>
      <c r="W73" s="228">
        <v>4.9000000000000004</v>
      </c>
      <c r="X73" s="229">
        <v>4.4999999999999997E-3</v>
      </c>
      <c r="Y73" s="228">
        <v>4.0999999999999996</v>
      </c>
      <c r="Z73" s="228">
        <v>-2.9</v>
      </c>
      <c r="AA73" s="228">
        <v>7</v>
      </c>
      <c r="AB73" s="229">
        <v>3.7000000000000002E-3</v>
      </c>
      <c r="AC73" s="228">
        <v>4.0999999999999996</v>
      </c>
      <c r="AD73" s="228">
        <v>-2.9</v>
      </c>
      <c r="AE73" s="228">
        <v>7</v>
      </c>
      <c r="AF73" s="229">
        <v>3.7000000000000002E-3</v>
      </c>
      <c r="AG73" s="228">
        <v>10.9</v>
      </c>
      <c r="AH73" s="228">
        <v>4.0999999999999996</v>
      </c>
      <c r="AI73" s="228">
        <v>6.8</v>
      </c>
      <c r="AJ73" s="229">
        <v>0.01</v>
      </c>
      <c r="AK73" s="228">
        <v>2.8</v>
      </c>
      <c r="AL73" s="228">
        <v>-9.5</v>
      </c>
      <c r="AM73" s="228">
        <v>12.3</v>
      </c>
      <c r="AN73" s="229">
        <v>2.5999999999999999E-3</v>
      </c>
      <c r="AO73" s="231">
        <v>1099.81</v>
      </c>
      <c r="AP73" s="231">
        <v>1103.7</v>
      </c>
      <c r="AQ73" s="228">
        <v>0</v>
      </c>
      <c r="AR73" s="230">
        <v>1981500</v>
      </c>
      <c r="AS73" s="230">
        <v>1905500</v>
      </c>
      <c r="AT73" s="230">
        <v>76000</v>
      </c>
      <c r="AU73" s="229">
        <v>3.9899999999999998E-2</v>
      </c>
      <c r="AV73" s="230">
        <v>1936500</v>
      </c>
      <c r="AW73" s="230">
        <v>1821000</v>
      </c>
      <c r="AX73" s="230">
        <v>115500</v>
      </c>
      <c r="AY73" s="229">
        <v>6.3399999999999998E-2</v>
      </c>
      <c r="AZ73" s="230">
        <v>43000</v>
      </c>
      <c r="BA73" s="230">
        <v>83500</v>
      </c>
      <c r="BB73" s="230">
        <v>-40500</v>
      </c>
      <c r="BC73" s="229">
        <v>-0.48499999999999999</v>
      </c>
      <c r="BD73" s="230">
        <v>2000</v>
      </c>
      <c r="BE73" s="230">
        <v>1000</v>
      </c>
      <c r="BF73" s="230">
        <v>1000</v>
      </c>
      <c r="BG73" s="229">
        <v>1</v>
      </c>
      <c r="BH73" s="230">
        <v>6980500</v>
      </c>
      <c r="BI73" s="230">
        <v>2456500</v>
      </c>
      <c r="BJ73" s="230">
        <v>4524000</v>
      </c>
      <c r="BK73" s="229">
        <v>1.8415999999999999</v>
      </c>
      <c r="BL73" s="230">
        <v>2776500</v>
      </c>
      <c r="BM73" s="230">
        <v>1058500</v>
      </c>
      <c r="BN73" s="230">
        <v>1718000</v>
      </c>
      <c r="BO73" s="229">
        <v>1.6231</v>
      </c>
      <c r="BP73" s="230">
        <v>11738500</v>
      </c>
      <c r="BQ73" s="230">
        <v>5420500</v>
      </c>
      <c r="BR73" s="230">
        <v>6318000</v>
      </c>
      <c r="BS73" s="229">
        <v>1.1656</v>
      </c>
      <c r="BT73" s="230">
        <v>1499199</v>
      </c>
      <c r="BU73" s="230">
        <v>2191493</v>
      </c>
      <c r="BV73" s="230">
        <v>-692294</v>
      </c>
      <c r="BW73" s="229">
        <v>-0.31590000000000001</v>
      </c>
      <c r="BX73" s="230">
        <v>13359000</v>
      </c>
      <c r="BY73" s="230">
        <v>12853500</v>
      </c>
      <c r="BZ73" s="230">
        <v>505500</v>
      </c>
      <c r="CA73" s="229">
        <v>3.9300000000000002E-2</v>
      </c>
      <c r="CB73" s="230">
        <v>12629000</v>
      </c>
      <c r="CC73" s="230">
        <v>12145500</v>
      </c>
      <c r="CD73" s="230">
        <v>483500</v>
      </c>
      <c r="CE73" s="229">
        <v>3.9800000000000002E-2</v>
      </c>
      <c r="CF73" s="230">
        <v>726500</v>
      </c>
      <c r="CG73" s="230">
        <v>705500</v>
      </c>
      <c r="CH73" s="230">
        <v>21000</v>
      </c>
      <c r="CI73" s="229">
        <v>2.98E-2</v>
      </c>
      <c r="CJ73" s="230">
        <v>3500</v>
      </c>
      <c r="CK73" s="230">
        <v>2500</v>
      </c>
      <c r="CL73" s="230">
        <v>1000</v>
      </c>
      <c r="CM73" s="229">
        <v>0.4</v>
      </c>
      <c r="CN73" s="230">
        <v>2926000</v>
      </c>
      <c r="CO73" s="230">
        <v>1359500</v>
      </c>
      <c r="CP73" s="230">
        <v>1566500</v>
      </c>
      <c r="CQ73" s="229">
        <v>1.1523000000000001</v>
      </c>
      <c r="CR73" s="230">
        <v>1529000</v>
      </c>
      <c r="CS73" s="230">
        <v>985000</v>
      </c>
      <c r="CT73" s="230">
        <v>544000</v>
      </c>
      <c r="CU73" s="229">
        <v>0.55230000000000001</v>
      </c>
      <c r="CV73" s="230">
        <v>17814000</v>
      </c>
      <c r="CW73" s="230">
        <v>15198000</v>
      </c>
      <c r="CX73" s="230">
        <v>2616000</v>
      </c>
      <c r="CY73" s="229">
        <v>0.1721</v>
      </c>
      <c r="CZ73" s="228">
        <v>34.58</v>
      </c>
      <c r="DA73" s="228">
        <v>34.380000000000003</v>
      </c>
      <c r="DB73" s="228">
        <v>0.2</v>
      </c>
      <c r="DC73" s="228">
        <v>0.2</v>
      </c>
      <c r="DD73" s="228">
        <v>30.69</v>
      </c>
      <c r="DE73" s="228">
        <v>30.75</v>
      </c>
      <c r="DF73" s="228">
        <v>3.89</v>
      </c>
      <c r="DG73" s="228">
        <v>-0.06</v>
      </c>
      <c r="DH73" s="228">
        <v>34.74</v>
      </c>
      <c r="DI73" s="228">
        <v>34.08</v>
      </c>
      <c r="DJ73" s="228">
        <v>0.66</v>
      </c>
      <c r="DK73" s="228">
        <v>0.66</v>
      </c>
      <c r="DL73" s="228">
        <v>34.200000000000003</v>
      </c>
      <c r="DM73" s="228">
        <v>35.090000000000003</v>
      </c>
      <c r="DN73" s="228">
        <v>-0.89</v>
      </c>
      <c r="DO73" s="228">
        <v>-0.89</v>
      </c>
      <c r="DP73" s="228">
        <v>0.52</v>
      </c>
      <c r="DQ73" s="228">
        <v>0.72</v>
      </c>
      <c r="DR73" s="228">
        <v>-0.2</v>
      </c>
      <c r="DS73" s="229">
        <v>-0.27779999999999999</v>
      </c>
      <c r="DT73" s="231">
        <v>1200</v>
      </c>
      <c r="DU73" s="231">
        <v>1000</v>
      </c>
      <c r="DV73" s="228">
        <v>0.4</v>
      </c>
      <c r="DW73" s="228">
        <v>0.43</v>
      </c>
      <c r="DX73" s="228">
        <v>-0.03</v>
      </c>
      <c r="DY73" s="229">
        <v>-6.9800000000000001E-2</v>
      </c>
      <c r="DZ73" s="229">
        <v>5.4600000000000003E-2</v>
      </c>
      <c r="EA73" s="230">
        <v>708000</v>
      </c>
      <c r="EB73" s="229">
        <v>6.1999999999999998E-3</v>
      </c>
      <c r="EC73" s="229">
        <v>5.4600000000000003E-2</v>
      </c>
      <c r="ED73" s="228">
        <v>3.89</v>
      </c>
      <c r="EE73" s="229">
        <v>3.5000000000000001E-3</v>
      </c>
      <c r="EF73" s="230">
        <v>931114</v>
      </c>
      <c r="EG73" s="230">
        <v>1418381</v>
      </c>
      <c r="EH73" s="229">
        <v>-0.34350000000000003</v>
      </c>
      <c r="EI73" s="229">
        <v>0.62109999999999999</v>
      </c>
      <c r="EJ73" s="231">
        <v>81427.27</v>
      </c>
      <c r="EK73" s="231">
        <v>29939.53</v>
      </c>
      <c r="EL73" s="231">
        <v>21794.41</v>
      </c>
      <c r="EM73" s="231">
        <v>3386</v>
      </c>
      <c r="EN73" s="231">
        <v>133161.21</v>
      </c>
      <c r="EO73" s="231">
        <v>60277.599999999999</v>
      </c>
      <c r="EP73" s="231">
        <v>72883.61</v>
      </c>
      <c r="EQ73" s="229">
        <v>1.2091000000000001</v>
      </c>
      <c r="ER73" s="231">
        <v>33791</v>
      </c>
      <c r="ES73" s="231">
        <v>15914</v>
      </c>
      <c r="ET73" s="231">
        <v>146758</v>
      </c>
      <c r="EU73" s="231">
        <v>53250524</v>
      </c>
      <c r="EV73" s="231">
        <v>196463</v>
      </c>
      <c r="EW73" s="231">
        <v>167009</v>
      </c>
      <c r="EX73" s="231">
        <v>29454</v>
      </c>
      <c r="EY73" s="229">
        <v>0.1764</v>
      </c>
      <c r="EZ73" s="229">
        <v>0.33450000000000002</v>
      </c>
      <c r="FA73" s="227" t="s">
        <v>566</v>
      </c>
      <c r="FB73" s="161">
        <f t="shared" si="1"/>
        <v>730000</v>
      </c>
    </row>
    <row r="74" spans="1:158" ht="17.25" thickBot="1" x14ac:dyDescent="0.3">
      <c r="A74" s="226">
        <v>46148</v>
      </c>
      <c r="B74" s="227" t="s">
        <v>206</v>
      </c>
      <c r="C74" s="227" t="s">
        <v>218</v>
      </c>
      <c r="D74" s="228">
        <v>275</v>
      </c>
      <c r="E74" s="231">
        <v>1878.2</v>
      </c>
      <c r="F74" s="231">
        <v>1819.8</v>
      </c>
      <c r="G74" s="228">
        <v>58.4</v>
      </c>
      <c r="H74" s="229">
        <v>3.2099999999999997E-2</v>
      </c>
      <c r="I74" s="231">
        <v>1867.2</v>
      </c>
      <c r="J74" s="231">
        <v>1809.5</v>
      </c>
      <c r="K74" s="228">
        <v>57.7</v>
      </c>
      <c r="L74" s="229">
        <v>3.1899999999999998E-2</v>
      </c>
      <c r="M74" s="231">
        <v>1878.2</v>
      </c>
      <c r="N74" s="231">
        <v>1819.8</v>
      </c>
      <c r="O74" s="228">
        <v>58.4</v>
      </c>
      <c r="P74" s="229">
        <v>3.2099999999999997E-2</v>
      </c>
      <c r="Q74" s="231">
        <v>1888.1</v>
      </c>
      <c r="R74" s="231">
        <v>1830.2</v>
      </c>
      <c r="S74" s="228">
        <v>57.9</v>
      </c>
      <c r="T74" s="229">
        <v>3.1600000000000003E-2</v>
      </c>
      <c r="U74" s="231">
        <v>1885.9</v>
      </c>
      <c r="V74" s="231">
        <v>1829.3</v>
      </c>
      <c r="W74" s="228">
        <v>56.6</v>
      </c>
      <c r="X74" s="229">
        <v>3.09E-2</v>
      </c>
      <c r="Y74" s="228">
        <v>11</v>
      </c>
      <c r="Z74" s="228">
        <v>10.3</v>
      </c>
      <c r="AA74" s="228">
        <v>0.7</v>
      </c>
      <c r="AB74" s="229">
        <v>5.8999999999999999E-3</v>
      </c>
      <c r="AC74" s="228">
        <v>11</v>
      </c>
      <c r="AD74" s="228">
        <v>10.3</v>
      </c>
      <c r="AE74" s="228">
        <v>0.7</v>
      </c>
      <c r="AF74" s="229">
        <v>5.8999999999999999E-3</v>
      </c>
      <c r="AG74" s="228">
        <v>20.9</v>
      </c>
      <c r="AH74" s="228">
        <v>20.7</v>
      </c>
      <c r="AI74" s="228">
        <v>0.2</v>
      </c>
      <c r="AJ74" s="229">
        <v>1.12E-2</v>
      </c>
      <c r="AK74" s="228">
        <v>18.7</v>
      </c>
      <c r="AL74" s="228">
        <v>19.8</v>
      </c>
      <c r="AM74" s="228">
        <v>-1.1000000000000001</v>
      </c>
      <c r="AN74" s="229">
        <v>0.01</v>
      </c>
      <c r="AO74" s="231">
        <v>1852.43</v>
      </c>
      <c r="AP74" s="231">
        <v>1863.01</v>
      </c>
      <c r="AQ74" s="228">
        <v>0</v>
      </c>
      <c r="AR74" s="230">
        <v>1298275</v>
      </c>
      <c r="AS74" s="230">
        <v>2984575</v>
      </c>
      <c r="AT74" s="230">
        <v>-1686300</v>
      </c>
      <c r="AU74" s="229">
        <v>-0.56499999999999995</v>
      </c>
      <c r="AV74" s="230">
        <v>1235025</v>
      </c>
      <c r="AW74" s="230">
        <v>2867700</v>
      </c>
      <c r="AX74" s="230">
        <v>-1632675</v>
      </c>
      <c r="AY74" s="229">
        <v>-0.56930000000000003</v>
      </c>
      <c r="AZ74" s="230">
        <v>54725</v>
      </c>
      <c r="BA74" s="230">
        <v>95975</v>
      </c>
      <c r="BB74" s="230">
        <v>-41250</v>
      </c>
      <c r="BC74" s="229">
        <v>-0.42980000000000002</v>
      </c>
      <c r="BD74" s="230">
        <v>8525</v>
      </c>
      <c r="BE74" s="230">
        <v>20900</v>
      </c>
      <c r="BF74" s="230">
        <v>-12375</v>
      </c>
      <c r="BG74" s="229">
        <v>-0.59209999999999996</v>
      </c>
      <c r="BH74" s="230">
        <v>4673625</v>
      </c>
      <c r="BI74" s="230">
        <v>10355400</v>
      </c>
      <c r="BJ74" s="230">
        <v>-5681775</v>
      </c>
      <c r="BK74" s="229">
        <v>-0.54869999999999997</v>
      </c>
      <c r="BL74" s="230">
        <v>1787500</v>
      </c>
      <c r="BM74" s="230">
        <v>6028825</v>
      </c>
      <c r="BN74" s="230">
        <v>-4241325</v>
      </c>
      <c r="BO74" s="229">
        <v>-0.70350000000000001</v>
      </c>
      <c r="BP74" s="230">
        <v>7759400</v>
      </c>
      <c r="BQ74" s="230">
        <v>19368800</v>
      </c>
      <c r="BR74" s="230">
        <v>-11609400</v>
      </c>
      <c r="BS74" s="229">
        <v>-0.59940000000000004</v>
      </c>
      <c r="BT74" s="230">
        <v>943773</v>
      </c>
      <c r="BU74" s="230">
        <v>2909610</v>
      </c>
      <c r="BV74" s="230">
        <v>-1965837</v>
      </c>
      <c r="BW74" s="229">
        <v>-0.67559999999999998</v>
      </c>
      <c r="BX74" s="230">
        <v>7969625</v>
      </c>
      <c r="BY74" s="230">
        <v>8092325</v>
      </c>
      <c r="BZ74" s="230">
        <v>-122700</v>
      </c>
      <c r="CA74" s="229">
        <v>-1.52E-2</v>
      </c>
      <c r="CB74" s="230">
        <v>7135975</v>
      </c>
      <c r="CC74" s="230">
        <v>7249550</v>
      </c>
      <c r="CD74" s="230">
        <v>-113575</v>
      </c>
      <c r="CE74" s="229">
        <v>-1.5699999999999999E-2</v>
      </c>
      <c r="CF74" s="230">
        <v>809600</v>
      </c>
      <c r="CG74" s="230">
        <v>818400</v>
      </c>
      <c r="CH74" s="230">
        <v>-8800</v>
      </c>
      <c r="CI74" s="229">
        <v>-1.0800000000000001E-2</v>
      </c>
      <c r="CJ74" s="230">
        <v>24050</v>
      </c>
      <c r="CK74" s="230">
        <v>24375</v>
      </c>
      <c r="CL74" s="228">
        <v>-325</v>
      </c>
      <c r="CM74" s="229">
        <v>-1.3299999999999999E-2</v>
      </c>
      <c r="CN74" s="230">
        <v>2878200</v>
      </c>
      <c r="CO74" s="230">
        <v>3432875</v>
      </c>
      <c r="CP74" s="230">
        <v>-554675</v>
      </c>
      <c r="CQ74" s="229">
        <v>-0.16159999999999999</v>
      </c>
      <c r="CR74" s="230">
        <v>1693450</v>
      </c>
      <c r="CS74" s="230">
        <v>1821050</v>
      </c>
      <c r="CT74" s="230">
        <v>-127600</v>
      </c>
      <c r="CU74" s="229">
        <v>-7.0099999999999996E-2</v>
      </c>
      <c r="CV74" s="230">
        <v>12541275</v>
      </c>
      <c r="CW74" s="230">
        <v>13346250</v>
      </c>
      <c r="CX74" s="230">
        <v>-804975</v>
      </c>
      <c r="CY74" s="229">
        <v>-6.0299999999999999E-2</v>
      </c>
      <c r="CZ74" s="228">
        <v>36.32</v>
      </c>
      <c r="DA74" s="228">
        <v>38.270000000000003</v>
      </c>
      <c r="DB74" s="228">
        <v>-1.95</v>
      </c>
      <c r="DC74" s="228">
        <v>-1.95</v>
      </c>
      <c r="DD74" s="228">
        <v>45.96</v>
      </c>
      <c r="DE74" s="228">
        <v>45.88</v>
      </c>
      <c r="DF74" s="228">
        <v>-9.64</v>
      </c>
      <c r="DG74" s="228">
        <v>0.08</v>
      </c>
      <c r="DH74" s="228">
        <v>35.450000000000003</v>
      </c>
      <c r="DI74" s="228">
        <v>37.979999999999997</v>
      </c>
      <c r="DJ74" s="228">
        <v>-2.5299999999999998</v>
      </c>
      <c r="DK74" s="228">
        <v>-2.5299999999999998</v>
      </c>
      <c r="DL74" s="228">
        <v>38.6</v>
      </c>
      <c r="DM74" s="228">
        <v>38.76</v>
      </c>
      <c r="DN74" s="228">
        <v>-0.16</v>
      </c>
      <c r="DO74" s="228">
        <v>-0.16</v>
      </c>
      <c r="DP74" s="228">
        <v>0.59</v>
      </c>
      <c r="DQ74" s="228">
        <v>0.53</v>
      </c>
      <c r="DR74" s="228">
        <v>0.06</v>
      </c>
      <c r="DS74" s="229">
        <v>0.1132</v>
      </c>
      <c r="DT74" s="231">
        <v>2000</v>
      </c>
      <c r="DU74" s="231">
        <v>1800</v>
      </c>
      <c r="DV74" s="228">
        <v>0.38</v>
      </c>
      <c r="DW74" s="228">
        <v>0.57999999999999996</v>
      </c>
      <c r="DX74" s="228">
        <v>-0.2</v>
      </c>
      <c r="DY74" s="229">
        <v>-0.3448</v>
      </c>
      <c r="DZ74" s="229">
        <v>0.1046</v>
      </c>
      <c r="EA74" s="230">
        <v>842775</v>
      </c>
      <c r="EB74" s="229">
        <v>5.3E-3</v>
      </c>
      <c r="EC74" s="229">
        <v>0.1046</v>
      </c>
      <c r="ED74" s="228">
        <v>10.58</v>
      </c>
      <c r="EE74" s="229">
        <v>5.7000000000000002E-3</v>
      </c>
      <c r="EF74" s="230">
        <v>411361</v>
      </c>
      <c r="EG74" s="230">
        <v>902492</v>
      </c>
      <c r="EH74" s="229">
        <v>-0.54420000000000002</v>
      </c>
      <c r="EI74" s="229">
        <v>0.43590000000000001</v>
      </c>
      <c r="EJ74" s="231">
        <v>92038.58</v>
      </c>
      <c r="EK74" s="231">
        <v>32420.55</v>
      </c>
      <c r="EL74" s="231">
        <v>24085.360000000001</v>
      </c>
      <c r="EM74" s="231">
        <v>7451</v>
      </c>
      <c r="EN74" s="231">
        <v>148544.49</v>
      </c>
      <c r="EO74" s="231">
        <v>370885.75</v>
      </c>
      <c r="EP74" s="231">
        <v>-222341.26</v>
      </c>
      <c r="EQ74" s="229">
        <v>-0.59950000000000003</v>
      </c>
      <c r="ER74" s="231">
        <v>56060</v>
      </c>
      <c r="ES74" s="231">
        <v>30301</v>
      </c>
      <c r="ET74" s="231">
        <v>149767</v>
      </c>
      <c r="EU74" s="231">
        <v>23870110</v>
      </c>
      <c r="EV74" s="231">
        <v>236129</v>
      </c>
      <c r="EW74" s="231">
        <v>246419</v>
      </c>
      <c r="EX74" s="231">
        <v>-10290</v>
      </c>
      <c r="EY74" s="229">
        <v>-4.1799999999999997E-2</v>
      </c>
      <c r="EZ74" s="229">
        <v>0.52539999999999998</v>
      </c>
      <c r="FA74" s="227" t="s">
        <v>691</v>
      </c>
      <c r="FB74" s="161">
        <f t="shared" si="1"/>
        <v>833650</v>
      </c>
    </row>
    <row r="75" spans="1:158" ht="17.25" thickBot="1" x14ac:dyDescent="0.3">
      <c r="A75" s="226">
        <v>46148</v>
      </c>
      <c r="B75" s="227" t="s">
        <v>157</v>
      </c>
      <c r="C75" s="227" t="s">
        <v>219</v>
      </c>
      <c r="D75" s="228">
        <v>250</v>
      </c>
      <c r="E75" s="231">
        <v>2935.4</v>
      </c>
      <c r="F75" s="231">
        <v>2879</v>
      </c>
      <c r="G75" s="228">
        <v>56.4</v>
      </c>
      <c r="H75" s="229">
        <v>1.9599999999999999E-2</v>
      </c>
      <c r="I75" s="231">
        <v>2914.8</v>
      </c>
      <c r="J75" s="231">
        <v>2871.5</v>
      </c>
      <c r="K75" s="228">
        <v>43.3</v>
      </c>
      <c r="L75" s="229">
        <v>1.5100000000000001E-2</v>
      </c>
      <c r="M75" s="231">
        <v>2935.4</v>
      </c>
      <c r="N75" s="231">
        <v>2879</v>
      </c>
      <c r="O75" s="228">
        <v>56.4</v>
      </c>
      <c r="P75" s="229">
        <v>1.9599999999999999E-2</v>
      </c>
      <c r="Q75" s="231">
        <v>2952.2</v>
      </c>
      <c r="R75" s="231">
        <v>2900</v>
      </c>
      <c r="S75" s="228">
        <v>52.2</v>
      </c>
      <c r="T75" s="229">
        <v>1.7999999999999999E-2</v>
      </c>
      <c r="U75" s="231">
        <v>2964.1</v>
      </c>
      <c r="V75" s="231">
        <v>2912.7</v>
      </c>
      <c r="W75" s="228">
        <v>51.4</v>
      </c>
      <c r="X75" s="229">
        <v>1.7600000000000001E-2</v>
      </c>
      <c r="Y75" s="228">
        <v>20.6</v>
      </c>
      <c r="Z75" s="228">
        <v>7.5</v>
      </c>
      <c r="AA75" s="228">
        <v>13.1</v>
      </c>
      <c r="AB75" s="229">
        <v>7.1000000000000004E-3</v>
      </c>
      <c r="AC75" s="228">
        <v>20.6</v>
      </c>
      <c r="AD75" s="228">
        <v>7.5</v>
      </c>
      <c r="AE75" s="228">
        <v>13.1</v>
      </c>
      <c r="AF75" s="229">
        <v>7.1000000000000004E-3</v>
      </c>
      <c r="AG75" s="228">
        <v>37.4</v>
      </c>
      <c r="AH75" s="228">
        <v>28.5</v>
      </c>
      <c r="AI75" s="228">
        <v>8.9</v>
      </c>
      <c r="AJ75" s="229">
        <v>1.2800000000000001E-2</v>
      </c>
      <c r="AK75" s="228">
        <v>49.3</v>
      </c>
      <c r="AL75" s="228">
        <v>41.2</v>
      </c>
      <c r="AM75" s="228">
        <v>8.1</v>
      </c>
      <c r="AN75" s="229">
        <v>1.6899999999999998E-2</v>
      </c>
      <c r="AO75" s="231">
        <v>2913.52</v>
      </c>
      <c r="AP75" s="231">
        <v>2926.68</v>
      </c>
      <c r="AQ75" s="228">
        <v>0</v>
      </c>
      <c r="AR75" s="230">
        <v>878750</v>
      </c>
      <c r="AS75" s="230">
        <v>740250</v>
      </c>
      <c r="AT75" s="230">
        <v>138500</v>
      </c>
      <c r="AU75" s="229">
        <v>0.18709999999999999</v>
      </c>
      <c r="AV75" s="230">
        <v>842250</v>
      </c>
      <c r="AW75" s="230">
        <v>714750</v>
      </c>
      <c r="AX75" s="230">
        <v>127500</v>
      </c>
      <c r="AY75" s="229">
        <v>0.1784</v>
      </c>
      <c r="AZ75" s="230">
        <v>33250</v>
      </c>
      <c r="BA75" s="230">
        <v>24750</v>
      </c>
      <c r="BB75" s="230">
        <v>8500</v>
      </c>
      <c r="BC75" s="229">
        <v>0.34339999999999998</v>
      </c>
      <c r="BD75" s="230">
        <v>3250</v>
      </c>
      <c r="BE75" s="228">
        <v>750</v>
      </c>
      <c r="BF75" s="230">
        <v>2500</v>
      </c>
      <c r="BG75" s="229">
        <v>3.3332999999999999</v>
      </c>
      <c r="BH75" s="230">
        <v>1240500</v>
      </c>
      <c r="BI75" s="230">
        <v>1089500</v>
      </c>
      <c r="BJ75" s="230">
        <v>151000</v>
      </c>
      <c r="BK75" s="229">
        <v>0.1386</v>
      </c>
      <c r="BL75" s="230">
        <v>1135750</v>
      </c>
      <c r="BM75" s="230">
        <v>471750</v>
      </c>
      <c r="BN75" s="230">
        <v>664000</v>
      </c>
      <c r="BO75" s="229">
        <v>1.4075</v>
      </c>
      <c r="BP75" s="230">
        <v>3255000</v>
      </c>
      <c r="BQ75" s="230">
        <v>2301500</v>
      </c>
      <c r="BR75" s="230">
        <v>953500</v>
      </c>
      <c r="BS75" s="229">
        <v>0.4143</v>
      </c>
      <c r="BT75" s="230">
        <v>373436</v>
      </c>
      <c r="BU75" s="230">
        <v>974925</v>
      </c>
      <c r="BV75" s="230">
        <v>-601489</v>
      </c>
      <c r="BW75" s="229">
        <v>-0.61699999999999999</v>
      </c>
      <c r="BX75" s="230">
        <v>14974250</v>
      </c>
      <c r="BY75" s="230">
        <v>14763500</v>
      </c>
      <c r="BZ75" s="230">
        <v>210750</v>
      </c>
      <c r="CA75" s="229">
        <v>1.43E-2</v>
      </c>
      <c r="CB75" s="230">
        <v>14148000</v>
      </c>
      <c r="CC75" s="230">
        <v>13949750</v>
      </c>
      <c r="CD75" s="230">
        <v>198250</v>
      </c>
      <c r="CE75" s="229">
        <v>1.4200000000000001E-2</v>
      </c>
      <c r="CF75" s="230">
        <v>821250</v>
      </c>
      <c r="CG75" s="230">
        <v>809500</v>
      </c>
      <c r="CH75" s="230">
        <v>11750</v>
      </c>
      <c r="CI75" s="229">
        <v>1.4500000000000001E-2</v>
      </c>
      <c r="CJ75" s="230">
        <v>5000</v>
      </c>
      <c r="CK75" s="230">
        <v>4250</v>
      </c>
      <c r="CL75" s="228">
        <v>750</v>
      </c>
      <c r="CM75" s="229">
        <v>0.17649999999999999</v>
      </c>
      <c r="CN75" s="230">
        <v>1187750</v>
      </c>
      <c r="CO75" s="230">
        <v>1171000</v>
      </c>
      <c r="CP75" s="230">
        <v>16750</v>
      </c>
      <c r="CQ75" s="229">
        <v>1.43E-2</v>
      </c>
      <c r="CR75" s="230">
        <v>824000</v>
      </c>
      <c r="CS75" s="230">
        <v>783500</v>
      </c>
      <c r="CT75" s="230">
        <v>40500</v>
      </c>
      <c r="CU75" s="229">
        <v>5.1700000000000003E-2</v>
      </c>
      <c r="CV75" s="230">
        <v>16986000</v>
      </c>
      <c r="CW75" s="230">
        <v>16718000</v>
      </c>
      <c r="CX75" s="230">
        <v>268000</v>
      </c>
      <c r="CY75" s="229">
        <v>1.6E-2</v>
      </c>
      <c r="CZ75" s="228">
        <v>26.94</v>
      </c>
      <c r="DA75" s="228">
        <v>26.48</v>
      </c>
      <c r="DB75" s="228">
        <v>0.46</v>
      </c>
      <c r="DC75" s="228">
        <v>0.46</v>
      </c>
      <c r="DD75" s="228">
        <v>28.07</v>
      </c>
      <c r="DE75" s="228">
        <v>28.02</v>
      </c>
      <c r="DF75" s="228">
        <v>-1.1299999999999999</v>
      </c>
      <c r="DG75" s="228">
        <v>0.05</v>
      </c>
      <c r="DH75" s="228">
        <v>23.55</v>
      </c>
      <c r="DI75" s="228">
        <v>25.75</v>
      </c>
      <c r="DJ75" s="228">
        <v>-2.2000000000000002</v>
      </c>
      <c r="DK75" s="228">
        <v>-2.2000000000000002</v>
      </c>
      <c r="DL75" s="228">
        <v>30.63</v>
      </c>
      <c r="DM75" s="228">
        <v>28.17</v>
      </c>
      <c r="DN75" s="228">
        <v>2.46</v>
      </c>
      <c r="DO75" s="228">
        <v>2.46</v>
      </c>
      <c r="DP75" s="228">
        <v>0.69</v>
      </c>
      <c r="DQ75" s="228">
        <v>0.67</v>
      </c>
      <c r="DR75" s="228">
        <v>0.02</v>
      </c>
      <c r="DS75" s="229">
        <v>2.9899999999999999E-2</v>
      </c>
      <c r="DT75" s="231">
        <v>3000</v>
      </c>
      <c r="DU75" s="231">
        <v>2600</v>
      </c>
      <c r="DV75" s="228">
        <v>0.92</v>
      </c>
      <c r="DW75" s="228">
        <v>0.43</v>
      </c>
      <c r="DX75" s="228">
        <v>0.49</v>
      </c>
      <c r="DY75" s="229">
        <v>1.1395</v>
      </c>
      <c r="DZ75" s="229">
        <v>5.5199999999999999E-2</v>
      </c>
      <c r="EA75" s="230">
        <v>813750</v>
      </c>
      <c r="EB75" s="229">
        <v>5.7000000000000002E-3</v>
      </c>
      <c r="EC75" s="229">
        <v>5.5199999999999999E-2</v>
      </c>
      <c r="ED75" s="228">
        <v>13.16</v>
      </c>
      <c r="EE75" s="229">
        <v>4.4999999999999997E-3</v>
      </c>
      <c r="EF75" s="230">
        <v>211061</v>
      </c>
      <c r="EG75" s="230">
        <v>583212</v>
      </c>
      <c r="EH75" s="229">
        <v>-0.6381</v>
      </c>
      <c r="EI75" s="229">
        <v>0.56520000000000004</v>
      </c>
      <c r="EJ75" s="231">
        <v>37400.86</v>
      </c>
      <c r="EK75" s="231">
        <v>29988.05</v>
      </c>
      <c r="EL75" s="231">
        <v>25608.04</v>
      </c>
      <c r="EM75" s="231">
        <v>3666</v>
      </c>
      <c r="EN75" s="231">
        <v>92996.95</v>
      </c>
      <c r="EO75" s="231">
        <v>66935.7</v>
      </c>
      <c r="EP75" s="231">
        <v>26061.25</v>
      </c>
      <c r="EQ75" s="229">
        <v>0.38929999999999998</v>
      </c>
      <c r="ER75" s="231">
        <v>35444</v>
      </c>
      <c r="ES75" s="231">
        <v>22374</v>
      </c>
      <c r="ET75" s="231">
        <v>439694</v>
      </c>
      <c r="EU75" s="231">
        <v>38401443</v>
      </c>
      <c r="EV75" s="231">
        <v>497511</v>
      </c>
      <c r="EW75" s="231">
        <v>481210</v>
      </c>
      <c r="EX75" s="231">
        <v>16301</v>
      </c>
      <c r="EY75" s="229">
        <v>3.39E-2</v>
      </c>
      <c r="EZ75" s="229">
        <v>0.44230000000000003</v>
      </c>
      <c r="FA75" s="227" t="s">
        <v>555</v>
      </c>
      <c r="FB75" s="161">
        <f t="shared" si="1"/>
        <v>826250</v>
      </c>
    </row>
    <row r="76" spans="1:158" ht="17.25" thickBot="1" x14ac:dyDescent="0.3">
      <c r="A76" s="226">
        <v>46148</v>
      </c>
      <c r="B76" s="227" t="s">
        <v>184</v>
      </c>
      <c r="C76" s="227" t="s">
        <v>513</v>
      </c>
      <c r="D76" s="228">
        <v>150</v>
      </c>
      <c r="E76" s="231">
        <v>4646.2</v>
      </c>
      <c r="F76" s="231">
        <v>4622.1000000000004</v>
      </c>
      <c r="G76" s="228">
        <v>24.1</v>
      </c>
      <c r="H76" s="229">
        <v>5.1999999999999998E-3</v>
      </c>
      <c r="I76" s="231">
        <v>4626.8999999999996</v>
      </c>
      <c r="J76" s="231">
        <v>4610.3999999999996</v>
      </c>
      <c r="K76" s="228">
        <v>16.5</v>
      </c>
      <c r="L76" s="229">
        <v>3.5999999999999999E-3</v>
      </c>
      <c r="M76" s="231">
        <v>4646.2</v>
      </c>
      <c r="N76" s="231">
        <v>4622.1000000000004</v>
      </c>
      <c r="O76" s="228">
        <v>24.1</v>
      </c>
      <c r="P76" s="229">
        <v>5.1999999999999998E-3</v>
      </c>
      <c r="Q76" s="231">
        <v>4679.2</v>
      </c>
      <c r="R76" s="231">
        <v>4652.7</v>
      </c>
      <c r="S76" s="228">
        <v>26.5</v>
      </c>
      <c r="T76" s="229">
        <v>5.7000000000000002E-3</v>
      </c>
      <c r="U76" s="231">
        <v>4700.3</v>
      </c>
      <c r="V76" s="231">
        <v>4674.3999999999996</v>
      </c>
      <c r="W76" s="228">
        <v>25.9</v>
      </c>
      <c r="X76" s="229">
        <v>5.4999999999999997E-3</v>
      </c>
      <c r="Y76" s="228">
        <v>19.3</v>
      </c>
      <c r="Z76" s="228">
        <v>11.7</v>
      </c>
      <c r="AA76" s="228">
        <v>7.6</v>
      </c>
      <c r="AB76" s="229">
        <v>4.1999999999999997E-3</v>
      </c>
      <c r="AC76" s="228">
        <v>19.3</v>
      </c>
      <c r="AD76" s="228">
        <v>11.7</v>
      </c>
      <c r="AE76" s="228">
        <v>7.6</v>
      </c>
      <c r="AF76" s="229">
        <v>4.1999999999999997E-3</v>
      </c>
      <c r="AG76" s="228">
        <v>52.3</v>
      </c>
      <c r="AH76" s="228">
        <v>42.3</v>
      </c>
      <c r="AI76" s="228">
        <v>10</v>
      </c>
      <c r="AJ76" s="229">
        <v>1.1299999999999999E-2</v>
      </c>
      <c r="AK76" s="228">
        <v>73.400000000000006</v>
      </c>
      <c r="AL76" s="228">
        <v>64</v>
      </c>
      <c r="AM76" s="228">
        <v>9.4</v>
      </c>
      <c r="AN76" s="229">
        <v>1.5900000000000001E-2</v>
      </c>
      <c r="AO76" s="231">
        <v>4654.8500000000004</v>
      </c>
      <c r="AP76" s="231">
        <v>4687.16</v>
      </c>
      <c r="AQ76" s="228">
        <v>0</v>
      </c>
      <c r="AR76" s="230">
        <v>846450</v>
      </c>
      <c r="AS76" s="230">
        <v>1402800</v>
      </c>
      <c r="AT76" s="230">
        <v>-556350</v>
      </c>
      <c r="AU76" s="229">
        <v>-0.39660000000000001</v>
      </c>
      <c r="AV76" s="230">
        <v>778050</v>
      </c>
      <c r="AW76" s="230">
        <v>1306500</v>
      </c>
      <c r="AX76" s="230">
        <v>-528450</v>
      </c>
      <c r="AY76" s="229">
        <v>-0.40450000000000003</v>
      </c>
      <c r="AZ76" s="230">
        <v>62400</v>
      </c>
      <c r="BA76" s="230">
        <v>82500</v>
      </c>
      <c r="BB76" s="230">
        <v>-20100</v>
      </c>
      <c r="BC76" s="229">
        <v>-0.24360000000000001</v>
      </c>
      <c r="BD76" s="230">
        <v>6000</v>
      </c>
      <c r="BE76" s="230">
        <v>13800</v>
      </c>
      <c r="BF76" s="230">
        <v>-7800</v>
      </c>
      <c r="BG76" s="229">
        <v>-0.56520000000000004</v>
      </c>
      <c r="BH76" s="230">
        <v>3125700</v>
      </c>
      <c r="BI76" s="230">
        <v>7720800</v>
      </c>
      <c r="BJ76" s="230">
        <v>-4595100</v>
      </c>
      <c r="BK76" s="229">
        <v>-0.59519999999999995</v>
      </c>
      <c r="BL76" s="230">
        <v>1704000</v>
      </c>
      <c r="BM76" s="230">
        <v>3039750</v>
      </c>
      <c r="BN76" s="230">
        <v>-1335750</v>
      </c>
      <c r="BO76" s="229">
        <v>-0.43940000000000001</v>
      </c>
      <c r="BP76" s="230">
        <v>5676150</v>
      </c>
      <c r="BQ76" s="230">
        <v>12163350</v>
      </c>
      <c r="BR76" s="230">
        <v>-6487200</v>
      </c>
      <c r="BS76" s="229">
        <v>-0.5333</v>
      </c>
      <c r="BT76" s="230">
        <v>849681</v>
      </c>
      <c r="BU76" s="230">
        <v>1612061</v>
      </c>
      <c r="BV76" s="230">
        <v>-762380</v>
      </c>
      <c r="BW76" s="229">
        <v>-0.47289999999999999</v>
      </c>
      <c r="BX76" s="230">
        <v>6610200</v>
      </c>
      <c r="BY76" s="230">
        <v>6700650</v>
      </c>
      <c r="BZ76" s="230">
        <v>-90450</v>
      </c>
      <c r="CA76" s="229">
        <v>-1.35E-2</v>
      </c>
      <c r="CB76" s="230">
        <v>5695650</v>
      </c>
      <c r="CC76" s="230">
        <v>5798850</v>
      </c>
      <c r="CD76" s="230">
        <v>-103200</v>
      </c>
      <c r="CE76" s="229">
        <v>-1.78E-2</v>
      </c>
      <c r="CF76" s="230">
        <v>895800</v>
      </c>
      <c r="CG76" s="230">
        <v>886350</v>
      </c>
      <c r="CH76" s="230">
        <v>9450</v>
      </c>
      <c r="CI76" s="229">
        <v>1.0699999999999999E-2</v>
      </c>
      <c r="CJ76" s="230">
        <v>18750</v>
      </c>
      <c r="CK76" s="230">
        <v>15450</v>
      </c>
      <c r="CL76" s="230">
        <v>3300</v>
      </c>
      <c r="CM76" s="229">
        <v>0.21360000000000001</v>
      </c>
      <c r="CN76" s="230">
        <v>2608050</v>
      </c>
      <c r="CO76" s="230">
        <v>2546550</v>
      </c>
      <c r="CP76" s="230">
        <v>61500</v>
      </c>
      <c r="CQ76" s="229">
        <v>2.4199999999999999E-2</v>
      </c>
      <c r="CR76" s="230">
        <v>1989300</v>
      </c>
      <c r="CS76" s="230">
        <v>2059200</v>
      </c>
      <c r="CT76" s="230">
        <v>-69900</v>
      </c>
      <c r="CU76" s="229">
        <v>-3.39E-2</v>
      </c>
      <c r="CV76" s="230">
        <v>11207550</v>
      </c>
      <c r="CW76" s="230">
        <v>11306400</v>
      </c>
      <c r="CX76" s="230">
        <v>-98850</v>
      </c>
      <c r="CY76" s="229">
        <v>-8.6999999999999994E-3</v>
      </c>
      <c r="CZ76" s="228">
        <v>32.86</v>
      </c>
      <c r="DA76" s="228">
        <v>33.909999999999997</v>
      </c>
      <c r="DB76" s="228">
        <v>-1.05</v>
      </c>
      <c r="DC76" s="228">
        <v>-1.05</v>
      </c>
      <c r="DD76" s="228">
        <v>38.81</v>
      </c>
      <c r="DE76" s="228">
        <v>38.909999999999997</v>
      </c>
      <c r="DF76" s="228">
        <v>-5.95</v>
      </c>
      <c r="DG76" s="228">
        <v>-0.1</v>
      </c>
      <c r="DH76" s="228">
        <v>32.25</v>
      </c>
      <c r="DI76" s="228">
        <v>33.44</v>
      </c>
      <c r="DJ76" s="228">
        <v>-1.19</v>
      </c>
      <c r="DK76" s="228">
        <v>-1.19</v>
      </c>
      <c r="DL76" s="228">
        <v>33.97</v>
      </c>
      <c r="DM76" s="228">
        <v>35.1</v>
      </c>
      <c r="DN76" s="228">
        <v>-1.1299999999999999</v>
      </c>
      <c r="DO76" s="228">
        <v>-1.1299999999999999</v>
      </c>
      <c r="DP76" s="228">
        <v>0.76</v>
      </c>
      <c r="DQ76" s="228">
        <v>0.81</v>
      </c>
      <c r="DR76" s="228">
        <v>-0.05</v>
      </c>
      <c r="DS76" s="229">
        <v>-6.1699999999999998E-2</v>
      </c>
      <c r="DT76" s="231">
        <v>5000</v>
      </c>
      <c r="DU76" s="231">
        <v>4300</v>
      </c>
      <c r="DV76" s="228">
        <v>0.55000000000000004</v>
      </c>
      <c r="DW76" s="228">
        <v>0.39</v>
      </c>
      <c r="DX76" s="228">
        <v>0.16</v>
      </c>
      <c r="DY76" s="229">
        <v>0.4103</v>
      </c>
      <c r="DZ76" s="229">
        <v>0.1384</v>
      </c>
      <c r="EA76" s="230">
        <v>901800</v>
      </c>
      <c r="EB76" s="229">
        <v>7.1000000000000004E-3</v>
      </c>
      <c r="EC76" s="229">
        <v>0.1384</v>
      </c>
      <c r="ED76" s="228">
        <v>32.31</v>
      </c>
      <c r="EE76" s="229">
        <v>6.8999999999999999E-3</v>
      </c>
      <c r="EF76" s="230">
        <v>408166</v>
      </c>
      <c r="EG76" s="230">
        <v>632841</v>
      </c>
      <c r="EH76" s="229">
        <v>-0.35499999999999998</v>
      </c>
      <c r="EI76" s="229">
        <v>0.48039999999999999</v>
      </c>
      <c r="EJ76" s="231">
        <v>152687.91</v>
      </c>
      <c r="EK76" s="231">
        <v>77032.73</v>
      </c>
      <c r="EL76" s="231">
        <v>39424.620000000003</v>
      </c>
      <c r="EM76" s="231">
        <v>8040</v>
      </c>
      <c r="EN76" s="231">
        <v>269145.26</v>
      </c>
      <c r="EO76" s="231">
        <v>581556.12</v>
      </c>
      <c r="EP76" s="231">
        <v>-312410.86</v>
      </c>
      <c r="EQ76" s="229">
        <v>-0.53720000000000001</v>
      </c>
      <c r="ER76" s="231">
        <v>121425</v>
      </c>
      <c r="ES76" s="231">
        <v>87022</v>
      </c>
      <c r="ET76" s="231">
        <v>307429</v>
      </c>
      <c r="EU76" s="231">
        <v>28450886</v>
      </c>
      <c r="EV76" s="231">
        <v>515876</v>
      </c>
      <c r="EW76" s="231">
        <v>517862</v>
      </c>
      <c r="EX76" s="231">
        <v>-1986</v>
      </c>
      <c r="EY76" s="229">
        <v>-3.8E-3</v>
      </c>
      <c r="EZ76" s="229">
        <v>0.39389999999999997</v>
      </c>
      <c r="FA76" s="227" t="s">
        <v>691</v>
      </c>
      <c r="FB76" s="161">
        <f t="shared" si="1"/>
        <v>914550</v>
      </c>
    </row>
    <row r="77" spans="1:158" ht="17.25" thickBot="1" x14ac:dyDescent="0.3">
      <c r="A77" s="226">
        <v>46148</v>
      </c>
      <c r="B77" s="227" t="s">
        <v>184</v>
      </c>
      <c r="C77" s="227" t="s">
        <v>220</v>
      </c>
      <c r="D77" s="228">
        <v>500</v>
      </c>
      <c r="E77" s="231">
        <v>1260.0999999999999</v>
      </c>
      <c r="F77" s="231">
        <v>1240.2</v>
      </c>
      <c r="G77" s="228">
        <v>19.899999999999999</v>
      </c>
      <c r="H77" s="229">
        <v>1.6E-2</v>
      </c>
      <c r="I77" s="231">
        <v>1257.3</v>
      </c>
      <c r="J77" s="231">
        <v>1239.5999999999999</v>
      </c>
      <c r="K77" s="228">
        <v>17.7</v>
      </c>
      <c r="L77" s="229">
        <v>1.43E-2</v>
      </c>
      <c r="M77" s="231">
        <v>1260.0999999999999</v>
      </c>
      <c r="N77" s="231">
        <v>1240.2</v>
      </c>
      <c r="O77" s="228">
        <v>19.899999999999999</v>
      </c>
      <c r="P77" s="229">
        <v>1.6E-2</v>
      </c>
      <c r="Q77" s="231">
        <v>1264.4000000000001</v>
      </c>
      <c r="R77" s="231">
        <v>1244.5999999999999</v>
      </c>
      <c r="S77" s="228">
        <v>19.8</v>
      </c>
      <c r="T77" s="229">
        <v>1.5900000000000001E-2</v>
      </c>
      <c r="U77" s="231">
        <v>1270.5</v>
      </c>
      <c r="V77" s="231">
        <v>1253.2</v>
      </c>
      <c r="W77" s="228">
        <v>17.3</v>
      </c>
      <c r="X77" s="229">
        <v>1.38E-2</v>
      </c>
      <c r="Y77" s="228">
        <v>2.8</v>
      </c>
      <c r="Z77" s="228">
        <v>0.6</v>
      </c>
      <c r="AA77" s="228">
        <v>2.2000000000000002</v>
      </c>
      <c r="AB77" s="229">
        <v>2.2000000000000001E-3</v>
      </c>
      <c r="AC77" s="228">
        <v>2.8</v>
      </c>
      <c r="AD77" s="228">
        <v>0.6</v>
      </c>
      <c r="AE77" s="228">
        <v>2.2000000000000002</v>
      </c>
      <c r="AF77" s="229">
        <v>2.2000000000000001E-3</v>
      </c>
      <c r="AG77" s="228">
        <v>7.1</v>
      </c>
      <c r="AH77" s="228">
        <v>5</v>
      </c>
      <c r="AI77" s="228">
        <v>2.1</v>
      </c>
      <c r="AJ77" s="229">
        <v>5.5999999999999999E-3</v>
      </c>
      <c r="AK77" s="228">
        <v>13.2</v>
      </c>
      <c r="AL77" s="228">
        <v>13.6</v>
      </c>
      <c r="AM77" s="228">
        <v>-0.4</v>
      </c>
      <c r="AN77" s="229">
        <v>1.0500000000000001E-2</v>
      </c>
      <c r="AO77" s="231">
        <v>1253.51</v>
      </c>
      <c r="AP77" s="231">
        <v>1255.98</v>
      </c>
      <c r="AQ77" s="228">
        <v>0</v>
      </c>
      <c r="AR77" s="230">
        <v>1563500</v>
      </c>
      <c r="AS77" s="230">
        <v>1215000</v>
      </c>
      <c r="AT77" s="230">
        <v>348500</v>
      </c>
      <c r="AU77" s="229">
        <v>0.2868</v>
      </c>
      <c r="AV77" s="230">
        <v>1458500</v>
      </c>
      <c r="AW77" s="230">
        <v>1147500</v>
      </c>
      <c r="AX77" s="230">
        <v>311000</v>
      </c>
      <c r="AY77" s="229">
        <v>0.27100000000000002</v>
      </c>
      <c r="AZ77" s="230">
        <v>94500</v>
      </c>
      <c r="BA77" s="230">
        <v>63500</v>
      </c>
      <c r="BB77" s="230">
        <v>31000</v>
      </c>
      <c r="BC77" s="229">
        <v>0.48820000000000002</v>
      </c>
      <c r="BD77" s="230">
        <v>10500</v>
      </c>
      <c r="BE77" s="230">
        <v>4000</v>
      </c>
      <c r="BF77" s="230">
        <v>6500</v>
      </c>
      <c r="BG77" s="229">
        <v>1.625</v>
      </c>
      <c r="BH77" s="230">
        <v>3360500</v>
      </c>
      <c r="BI77" s="230">
        <v>4612000</v>
      </c>
      <c r="BJ77" s="230">
        <v>-1251500</v>
      </c>
      <c r="BK77" s="229">
        <v>-0.27139999999999997</v>
      </c>
      <c r="BL77" s="230">
        <v>1333000</v>
      </c>
      <c r="BM77" s="230">
        <v>1791000</v>
      </c>
      <c r="BN77" s="230">
        <v>-458000</v>
      </c>
      <c r="BO77" s="229">
        <v>-0.25569999999999998</v>
      </c>
      <c r="BP77" s="230">
        <v>6257000</v>
      </c>
      <c r="BQ77" s="230">
        <v>7618000</v>
      </c>
      <c r="BR77" s="230">
        <v>-1361000</v>
      </c>
      <c r="BS77" s="229">
        <v>-0.1787</v>
      </c>
      <c r="BT77" s="230">
        <v>891336</v>
      </c>
      <c r="BU77" s="230">
        <v>914769</v>
      </c>
      <c r="BV77" s="230">
        <v>-23433</v>
      </c>
      <c r="BW77" s="229">
        <v>-2.5600000000000001E-2</v>
      </c>
      <c r="BX77" s="230">
        <v>10284500</v>
      </c>
      <c r="BY77" s="230">
        <v>10563000</v>
      </c>
      <c r="BZ77" s="230">
        <v>-278500</v>
      </c>
      <c r="CA77" s="229">
        <v>-2.64E-2</v>
      </c>
      <c r="CB77" s="230">
        <v>9770000</v>
      </c>
      <c r="CC77" s="230">
        <v>10068000</v>
      </c>
      <c r="CD77" s="230">
        <v>-298000</v>
      </c>
      <c r="CE77" s="229">
        <v>-2.9600000000000001E-2</v>
      </c>
      <c r="CF77" s="230">
        <v>498500</v>
      </c>
      <c r="CG77" s="230">
        <v>485500</v>
      </c>
      <c r="CH77" s="230">
        <v>13000</v>
      </c>
      <c r="CI77" s="229">
        <v>2.6800000000000001E-2</v>
      </c>
      <c r="CJ77" s="230">
        <v>16000</v>
      </c>
      <c r="CK77" s="230">
        <v>9500</v>
      </c>
      <c r="CL77" s="230">
        <v>6500</v>
      </c>
      <c r="CM77" s="229">
        <v>0.68420000000000003</v>
      </c>
      <c r="CN77" s="230">
        <v>5577000</v>
      </c>
      <c r="CO77" s="230">
        <v>5371000</v>
      </c>
      <c r="CP77" s="230">
        <v>206000</v>
      </c>
      <c r="CQ77" s="229">
        <v>3.8399999999999997E-2</v>
      </c>
      <c r="CR77" s="230">
        <v>2356500</v>
      </c>
      <c r="CS77" s="230">
        <v>2360500</v>
      </c>
      <c r="CT77" s="230">
        <v>-4000</v>
      </c>
      <c r="CU77" s="229">
        <v>-1.6999999999999999E-3</v>
      </c>
      <c r="CV77" s="230">
        <v>18218000</v>
      </c>
      <c r="CW77" s="230">
        <v>18294500</v>
      </c>
      <c r="CX77" s="230">
        <v>-76500</v>
      </c>
      <c r="CY77" s="229">
        <v>-4.1999999999999997E-3</v>
      </c>
      <c r="CZ77" s="228">
        <v>29.43</v>
      </c>
      <c r="DA77" s="228">
        <v>31.33</v>
      </c>
      <c r="DB77" s="228">
        <v>-1.9</v>
      </c>
      <c r="DC77" s="228">
        <v>-1.9</v>
      </c>
      <c r="DD77" s="228">
        <v>31.16</v>
      </c>
      <c r="DE77" s="228">
        <v>31.16</v>
      </c>
      <c r="DF77" s="228">
        <v>-1.73</v>
      </c>
      <c r="DG77" s="228">
        <v>0</v>
      </c>
      <c r="DH77" s="228">
        <v>29.61</v>
      </c>
      <c r="DI77" s="228">
        <v>31.8</v>
      </c>
      <c r="DJ77" s="228">
        <v>-2.19</v>
      </c>
      <c r="DK77" s="228">
        <v>-2.19</v>
      </c>
      <c r="DL77" s="228">
        <v>28.98</v>
      </c>
      <c r="DM77" s="228">
        <v>30.12</v>
      </c>
      <c r="DN77" s="228">
        <v>-1.1399999999999999</v>
      </c>
      <c r="DO77" s="228">
        <v>-1.1399999999999999</v>
      </c>
      <c r="DP77" s="228">
        <v>0.42</v>
      </c>
      <c r="DQ77" s="228">
        <v>0.44</v>
      </c>
      <c r="DR77" s="228">
        <v>-0.02</v>
      </c>
      <c r="DS77" s="229">
        <v>-4.5499999999999999E-2</v>
      </c>
      <c r="DT77" s="231">
        <v>1400</v>
      </c>
      <c r="DU77" s="231">
        <v>1200</v>
      </c>
      <c r="DV77" s="228">
        <v>0.4</v>
      </c>
      <c r="DW77" s="228">
        <v>0.39</v>
      </c>
      <c r="DX77" s="228">
        <v>0.01</v>
      </c>
      <c r="DY77" s="229">
        <v>2.5600000000000001E-2</v>
      </c>
      <c r="DZ77" s="229">
        <v>0.05</v>
      </c>
      <c r="EA77" s="230">
        <v>495000</v>
      </c>
      <c r="EB77" s="229">
        <v>3.3999999999999998E-3</v>
      </c>
      <c r="EC77" s="229">
        <v>0.05</v>
      </c>
      <c r="ED77" s="228">
        <v>2.4700000000000002</v>
      </c>
      <c r="EE77" s="229">
        <v>2E-3</v>
      </c>
      <c r="EF77" s="230">
        <v>576853</v>
      </c>
      <c r="EG77" s="230">
        <v>458088</v>
      </c>
      <c r="EH77" s="229">
        <v>0.25929999999999997</v>
      </c>
      <c r="EI77" s="229">
        <v>0.6472</v>
      </c>
      <c r="EJ77" s="231">
        <v>44995.49</v>
      </c>
      <c r="EK77" s="231">
        <v>16506.75</v>
      </c>
      <c r="EL77" s="231">
        <v>19602.11</v>
      </c>
      <c r="EM77" s="231">
        <v>2756</v>
      </c>
      <c r="EN77" s="231">
        <v>81104.350000000006</v>
      </c>
      <c r="EO77" s="231">
        <v>99834.66</v>
      </c>
      <c r="EP77" s="231">
        <v>-18730.310000000001</v>
      </c>
      <c r="EQ77" s="229">
        <v>-0.18759999999999999</v>
      </c>
      <c r="ER77" s="231">
        <v>76281</v>
      </c>
      <c r="ES77" s="231">
        <v>29099</v>
      </c>
      <c r="ET77" s="231">
        <v>129618</v>
      </c>
      <c r="EU77" s="231">
        <v>29751886</v>
      </c>
      <c r="EV77" s="231">
        <v>234998</v>
      </c>
      <c r="EW77" s="231">
        <v>233789</v>
      </c>
      <c r="EX77" s="231">
        <v>1209</v>
      </c>
      <c r="EY77" s="229">
        <v>5.1999999999999998E-3</v>
      </c>
      <c r="EZ77" s="229">
        <v>0.61229999999999996</v>
      </c>
      <c r="FA77" s="227" t="s">
        <v>691</v>
      </c>
      <c r="FB77" s="161">
        <f t="shared" si="1"/>
        <v>514500</v>
      </c>
    </row>
    <row r="78" spans="1:158" ht="17.25" thickBot="1" x14ac:dyDescent="0.3">
      <c r="A78" s="226">
        <v>46148</v>
      </c>
      <c r="B78" s="227" t="s">
        <v>221</v>
      </c>
      <c r="C78" s="227" t="s">
        <v>222</v>
      </c>
      <c r="D78" s="228">
        <v>350</v>
      </c>
      <c r="E78" s="231">
        <v>1191.9000000000001</v>
      </c>
      <c r="F78" s="231">
        <v>1201.4000000000001</v>
      </c>
      <c r="G78" s="228">
        <v>-9.5</v>
      </c>
      <c r="H78" s="229">
        <v>-7.9000000000000008E-3</v>
      </c>
      <c r="I78" s="231">
        <v>1189.0999999999999</v>
      </c>
      <c r="J78" s="231">
        <v>1200.2</v>
      </c>
      <c r="K78" s="228">
        <v>-11.1</v>
      </c>
      <c r="L78" s="229">
        <v>-9.1999999999999998E-3</v>
      </c>
      <c r="M78" s="231">
        <v>1191.9000000000001</v>
      </c>
      <c r="N78" s="231">
        <v>1201.4000000000001</v>
      </c>
      <c r="O78" s="228">
        <v>-9.5</v>
      </c>
      <c r="P78" s="229">
        <v>-7.9000000000000008E-3</v>
      </c>
      <c r="Q78" s="231">
        <v>1187</v>
      </c>
      <c r="R78" s="231">
        <v>1194.8</v>
      </c>
      <c r="S78" s="228">
        <v>-7.8</v>
      </c>
      <c r="T78" s="229">
        <v>-6.4999999999999997E-3</v>
      </c>
      <c r="U78" s="231">
        <v>1181.7</v>
      </c>
      <c r="V78" s="231">
        <v>1188.0999999999999</v>
      </c>
      <c r="W78" s="228">
        <v>-6.4</v>
      </c>
      <c r="X78" s="229">
        <v>-5.4000000000000003E-3</v>
      </c>
      <c r="Y78" s="228">
        <v>2.8</v>
      </c>
      <c r="Z78" s="228">
        <v>1.2</v>
      </c>
      <c r="AA78" s="228">
        <v>1.6</v>
      </c>
      <c r="AB78" s="229">
        <v>2.3999999999999998E-3</v>
      </c>
      <c r="AC78" s="228">
        <v>2.8</v>
      </c>
      <c r="AD78" s="228">
        <v>1.2</v>
      </c>
      <c r="AE78" s="228">
        <v>1.6</v>
      </c>
      <c r="AF78" s="229">
        <v>2.3999999999999998E-3</v>
      </c>
      <c r="AG78" s="228">
        <v>-2.1</v>
      </c>
      <c r="AH78" s="228">
        <v>-5.4</v>
      </c>
      <c r="AI78" s="228">
        <v>3.3</v>
      </c>
      <c r="AJ78" s="229">
        <v>-1.8E-3</v>
      </c>
      <c r="AK78" s="228">
        <v>-7.4</v>
      </c>
      <c r="AL78" s="228">
        <v>-12.1</v>
      </c>
      <c r="AM78" s="228">
        <v>4.7</v>
      </c>
      <c r="AN78" s="229">
        <v>-6.1999999999999998E-3</v>
      </c>
      <c r="AO78" s="231">
        <v>1196.04</v>
      </c>
      <c r="AP78" s="231">
        <v>1189.43</v>
      </c>
      <c r="AQ78" s="228">
        <v>0</v>
      </c>
      <c r="AR78" s="230">
        <v>4976300</v>
      </c>
      <c r="AS78" s="230">
        <v>1826300</v>
      </c>
      <c r="AT78" s="230">
        <v>3150000</v>
      </c>
      <c r="AU78" s="229">
        <v>1.7248000000000001</v>
      </c>
      <c r="AV78" s="230">
        <v>4246200</v>
      </c>
      <c r="AW78" s="230">
        <v>1591800</v>
      </c>
      <c r="AX78" s="230">
        <v>2654400</v>
      </c>
      <c r="AY78" s="229">
        <v>1.6675</v>
      </c>
      <c r="AZ78" s="230">
        <v>611800</v>
      </c>
      <c r="BA78" s="230">
        <v>207550</v>
      </c>
      <c r="BB78" s="230">
        <v>404250</v>
      </c>
      <c r="BC78" s="229">
        <v>1.9477</v>
      </c>
      <c r="BD78" s="230">
        <v>118300</v>
      </c>
      <c r="BE78" s="230">
        <v>26950</v>
      </c>
      <c r="BF78" s="230">
        <v>91350</v>
      </c>
      <c r="BG78" s="229">
        <v>3.3896000000000002</v>
      </c>
      <c r="BH78" s="230">
        <v>16937200</v>
      </c>
      <c r="BI78" s="230">
        <v>8587250</v>
      </c>
      <c r="BJ78" s="230">
        <v>8349950</v>
      </c>
      <c r="BK78" s="229">
        <v>0.97240000000000004</v>
      </c>
      <c r="BL78" s="230">
        <v>6874350</v>
      </c>
      <c r="BM78" s="230">
        <v>4436950</v>
      </c>
      <c r="BN78" s="230">
        <v>2437400</v>
      </c>
      <c r="BO78" s="229">
        <v>0.54930000000000001</v>
      </c>
      <c r="BP78" s="230">
        <v>28787850</v>
      </c>
      <c r="BQ78" s="230">
        <v>14850500</v>
      </c>
      <c r="BR78" s="230">
        <v>13937350</v>
      </c>
      <c r="BS78" s="229">
        <v>0.9385</v>
      </c>
      <c r="BT78" s="230">
        <v>3712104</v>
      </c>
      <c r="BU78" s="230">
        <v>2550163</v>
      </c>
      <c r="BV78" s="230">
        <v>1161941</v>
      </c>
      <c r="BW78" s="229">
        <v>0.4556</v>
      </c>
      <c r="BX78" s="230">
        <v>45109850</v>
      </c>
      <c r="BY78" s="230">
        <v>43853350</v>
      </c>
      <c r="BZ78" s="230">
        <v>1256500</v>
      </c>
      <c r="CA78" s="229">
        <v>2.87E-2</v>
      </c>
      <c r="CB78" s="230">
        <v>42517300</v>
      </c>
      <c r="CC78" s="230">
        <v>41619200</v>
      </c>
      <c r="CD78" s="230">
        <v>898100</v>
      </c>
      <c r="CE78" s="229">
        <v>2.1600000000000001E-2</v>
      </c>
      <c r="CF78" s="230">
        <v>2353750</v>
      </c>
      <c r="CG78" s="230">
        <v>2093350</v>
      </c>
      <c r="CH78" s="230">
        <v>260400</v>
      </c>
      <c r="CI78" s="229">
        <v>0.1244</v>
      </c>
      <c r="CJ78" s="230">
        <v>238800</v>
      </c>
      <c r="CK78" s="230">
        <v>140800</v>
      </c>
      <c r="CL78" s="230">
        <v>98000</v>
      </c>
      <c r="CM78" s="229">
        <v>0.69599999999999995</v>
      </c>
      <c r="CN78" s="230">
        <v>24207100</v>
      </c>
      <c r="CO78" s="230">
        <v>22174950</v>
      </c>
      <c r="CP78" s="230">
        <v>2032150</v>
      </c>
      <c r="CQ78" s="229">
        <v>9.1600000000000001E-2</v>
      </c>
      <c r="CR78" s="230">
        <v>11840900</v>
      </c>
      <c r="CS78" s="230">
        <v>11713850</v>
      </c>
      <c r="CT78" s="230">
        <v>127050</v>
      </c>
      <c r="CU78" s="229">
        <v>1.0800000000000001E-2</v>
      </c>
      <c r="CV78" s="230">
        <v>81157850</v>
      </c>
      <c r="CW78" s="230">
        <v>77742150</v>
      </c>
      <c r="CX78" s="230">
        <v>3415700</v>
      </c>
      <c r="CY78" s="229">
        <v>4.3900000000000002E-2</v>
      </c>
      <c r="CZ78" s="228">
        <v>29.45</v>
      </c>
      <c r="DA78" s="228">
        <v>29.56</v>
      </c>
      <c r="DB78" s="228">
        <v>-0.11</v>
      </c>
      <c r="DC78" s="228">
        <v>-0.11</v>
      </c>
      <c r="DD78" s="228">
        <v>33.08</v>
      </c>
      <c r="DE78" s="228">
        <v>33.14</v>
      </c>
      <c r="DF78" s="228">
        <v>-3.63</v>
      </c>
      <c r="DG78" s="228">
        <v>-0.06</v>
      </c>
      <c r="DH78" s="228">
        <v>30.2</v>
      </c>
      <c r="DI78" s="228">
        <v>30.03</v>
      </c>
      <c r="DJ78" s="228">
        <v>0.17</v>
      </c>
      <c r="DK78" s="228">
        <v>0.17</v>
      </c>
      <c r="DL78" s="228">
        <v>27.59</v>
      </c>
      <c r="DM78" s="228">
        <v>28.67</v>
      </c>
      <c r="DN78" s="228">
        <v>-1.08</v>
      </c>
      <c r="DO78" s="228">
        <v>-1.08</v>
      </c>
      <c r="DP78" s="228">
        <v>0.49</v>
      </c>
      <c r="DQ78" s="228">
        <v>0.53</v>
      </c>
      <c r="DR78" s="228">
        <v>-0.04</v>
      </c>
      <c r="DS78" s="229">
        <v>-7.5499999999999998E-2</v>
      </c>
      <c r="DT78" s="231">
        <v>1300</v>
      </c>
      <c r="DU78" s="231">
        <v>1200</v>
      </c>
      <c r="DV78" s="228">
        <v>0.41</v>
      </c>
      <c r="DW78" s="228">
        <v>0.52</v>
      </c>
      <c r="DX78" s="228">
        <v>-0.11</v>
      </c>
      <c r="DY78" s="229">
        <v>-0.21149999999999999</v>
      </c>
      <c r="DZ78" s="229">
        <v>5.7500000000000002E-2</v>
      </c>
      <c r="EA78" s="230">
        <v>2234150</v>
      </c>
      <c r="EB78" s="229">
        <v>-4.1000000000000003E-3</v>
      </c>
      <c r="EC78" s="229">
        <v>5.7500000000000002E-2</v>
      </c>
      <c r="ED78" s="228">
        <v>-6.61</v>
      </c>
      <c r="EE78" s="229">
        <v>-5.4999999999999997E-3</v>
      </c>
      <c r="EF78" s="230">
        <v>1997868</v>
      </c>
      <c r="EG78" s="230">
        <v>1300417</v>
      </c>
      <c r="EH78" s="229">
        <v>0.5363</v>
      </c>
      <c r="EI78" s="229">
        <v>0.53820000000000001</v>
      </c>
      <c r="EJ78" s="231">
        <v>216769.83</v>
      </c>
      <c r="EK78" s="231">
        <v>82419.259999999995</v>
      </c>
      <c r="EL78" s="231">
        <v>59666.31</v>
      </c>
      <c r="EM78" s="231">
        <v>9566</v>
      </c>
      <c r="EN78" s="231">
        <v>358855.4</v>
      </c>
      <c r="EO78" s="231">
        <v>184818.93</v>
      </c>
      <c r="EP78" s="231">
        <v>174036.47</v>
      </c>
      <c r="EQ78" s="229">
        <v>0.94169999999999998</v>
      </c>
      <c r="ER78" s="231">
        <v>316575</v>
      </c>
      <c r="ES78" s="231">
        <v>141619</v>
      </c>
      <c r="ET78" s="231">
        <v>537525</v>
      </c>
      <c r="EU78" s="231">
        <v>145140505</v>
      </c>
      <c r="EV78" s="231">
        <v>995719</v>
      </c>
      <c r="EW78" s="231">
        <v>957894</v>
      </c>
      <c r="EX78" s="231">
        <v>37825</v>
      </c>
      <c r="EY78" s="229">
        <v>3.95E-2</v>
      </c>
      <c r="EZ78" s="229">
        <v>0.55920000000000003</v>
      </c>
      <c r="FA78" s="227" t="s">
        <v>566</v>
      </c>
      <c r="FB78" s="161">
        <f t="shared" si="1"/>
        <v>2592550</v>
      </c>
    </row>
    <row r="79" spans="1:158" ht="17.25" thickBot="1" x14ac:dyDescent="0.3">
      <c r="A79" s="226">
        <v>46148</v>
      </c>
      <c r="B79" s="227" t="s">
        <v>175</v>
      </c>
      <c r="C79" s="227" t="s">
        <v>475</v>
      </c>
      <c r="D79" s="228">
        <v>300</v>
      </c>
      <c r="E79" s="231">
        <v>2836.1</v>
      </c>
      <c r="F79" s="231">
        <v>2821.8</v>
      </c>
      <c r="G79" s="228">
        <v>14.3</v>
      </c>
      <c r="H79" s="229">
        <v>5.1000000000000004E-3</v>
      </c>
      <c r="I79" s="231">
        <v>2815.9</v>
      </c>
      <c r="J79" s="231">
        <v>2806.3</v>
      </c>
      <c r="K79" s="228">
        <v>9.6</v>
      </c>
      <c r="L79" s="229">
        <v>3.3999999999999998E-3</v>
      </c>
      <c r="M79" s="231">
        <v>2836.1</v>
      </c>
      <c r="N79" s="231">
        <v>2821.8</v>
      </c>
      <c r="O79" s="228">
        <v>14.3</v>
      </c>
      <c r="P79" s="229">
        <v>5.1000000000000004E-3</v>
      </c>
      <c r="Q79" s="231">
        <v>2846.1</v>
      </c>
      <c r="R79" s="231">
        <v>2835.2</v>
      </c>
      <c r="S79" s="228">
        <v>10.9</v>
      </c>
      <c r="T79" s="229">
        <v>3.8E-3</v>
      </c>
      <c r="U79" s="231">
        <v>2855.8</v>
      </c>
      <c r="V79" s="231">
        <v>2790.2</v>
      </c>
      <c r="W79" s="228">
        <v>65.599999999999994</v>
      </c>
      <c r="X79" s="229">
        <v>2.35E-2</v>
      </c>
      <c r="Y79" s="228">
        <v>20.2</v>
      </c>
      <c r="Z79" s="228">
        <v>15.5</v>
      </c>
      <c r="AA79" s="228">
        <v>4.7</v>
      </c>
      <c r="AB79" s="229">
        <v>7.1999999999999998E-3</v>
      </c>
      <c r="AC79" s="228">
        <v>20.2</v>
      </c>
      <c r="AD79" s="228">
        <v>15.5</v>
      </c>
      <c r="AE79" s="228">
        <v>4.7</v>
      </c>
      <c r="AF79" s="229">
        <v>7.1999999999999998E-3</v>
      </c>
      <c r="AG79" s="228">
        <v>30.2</v>
      </c>
      <c r="AH79" s="228">
        <v>28.9</v>
      </c>
      <c r="AI79" s="228">
        <v>1.3</v>
      </c>
      <c r="AJ79" s="229">
        <v>1.0699999999999999E-2</v>
      </c>
      <c r="AK79" s="228">
        <v>39.9</v>
      </c>
      <c r="AL79" s="228">
        <v>-16.100000000000001</v>
      </c>
      <c r="AM79" s="228">
        <v>56</v>
      </c>
      <c r="AN79" s="229">
        <v>1.4200000000000001E-2</v>
      </c>
      <c r="AO79" s="231">
        <v>2840.72</v>
      </c>
      <c r="AP79" s="231">
        <v>2851.75</v>
      </c>
      <c r="AQ79" s="228">
        <v>0</v>
      </c>
      <c r="AR79" s="230">
        <v>987600</v>
      </c>
      <c r="AS79" s="230">
        <v>1157400</v>
      </c>
      <c r="AT79" s="230">
        <v>-169800</v>
      </c>
      <c r="AU79" s="229">
        <v>-0.1467</v>
      </c>
      <c r="AV79" s="230">
        <v>966900</v>
      </c>
      <c r="AW79" s="230">
        <v>1122600</v>
      </c>
      <c r="AX79" s="230">
        <v>-155700</v>
      </c>
      <c r="AY79" s="229">
        <v>-0.13869999999999999</v>
      </c>
      <c r="AZ79" s="230">
        <v>18900</v>
      </c>
      <c r="BA79" s="230">
        <v>34800</v>
      </c>
      <c r="BB79" s="230">
        <v>-15900</v>
      </c>
      <c r="BC79" s="229">
        <v>-0.45689999999999997</v>
      </c>
      <c r="BD79" s="230">
        <v>1800</v>
      </c>
      <c r="BE79" s="228">
        <v>0</v>
      </c>
      <c r="BF79" s="230">
        <v>1800</v>
      </c>
      <c r="BG79" s="229">
        <v>0</v>
      </c>
      <c r="BH79" s="230">
        <v>1941900</v>
      </c>
      <c r="BI79" s="230">
        <v>4091100</v>
      </c>
      <c r="BJ79" s="230">
        <v>-2149200</v>
      </c>
      <c r="BK79" s="229">
        <v>-0.52529999999999999</v>
      </c>
      <c r="BL79" s="230">
        <v>826200</v>
      </c>
      <c r="BM79" s="230">
        <v>1032300</v>
      </c>
      <c r="BN79" s="230">
        <v>-206100</v>
      </c>
      <c r="BO79" s="229">
        <v>-0.19969999999999999</v>
      </c>
      <c r="BP79" s="230">
        <v>3755700</v>
      </c>
      <c r="BQ79" s="230">
        <v>6280800</v>
      </c>
      <c r="BR79" s="230">
        <v>-2525100</v>
      </c>
      <c r="BS79" s="229">
        <v>-0.40200000000000002</v>
      </c>
      <c r="BT79" s="230">
        <v>969720</v>
      </c>
      <c r="BU79" s="230">
        <v>1020489</v>
      </c>
      <c r="BV79" s="230">
        <v>-50769</v>
      </c>
      <c r="BW79" s="229">
        <v>-4.9700000000000001E-2</v>
      </c>
      <c r="BX79" s="230">
        <v>6024600</v>
      </c>
      <c r="BY79" s="230">
        <v>5804700</v>
      </c>
      <c r="BZ79" s="230">
        <v>219900</v>
      </c>
      <c r="CA79" s="229">
        <v>3.7900000000000003E-2</v>
      </c>
      <c r="CB79" s="230">
        <v>5932200</v>
      </c>
      <c r="CC79" s="230">
        <v>5711700</v>
      </c>
      <c r="CD79" s="230">
        <v>220500</v>
      </c>
      <c r="CE79" s="229">
        <v>3.8600000000000002E-2</v>
      </c>
      <c r="CF79" s="230">
        <v>87900</v>
      </c>
      <c r="CG79" s="230">
        <v>89400</v>
      </c>
      <c r="CH79" s="230">
        <v>-1500</v>
      </c>
      <c r="CI79" s="229">
        <v>-1.6799999999999999E-2</v>
      </c>
      <c r="CJ79" s="230">
        <v>4500</v>
      </c>
      <c r="CK79" s="230">
        <v>3600</v>
      </c>
      <c r="CL79" s="228">
        <v>900</v>
      </c>
      <c r="CM79" s="229">
        <v>0.25</v>
      </c>
      <c r="CN79" s="230">
        <v>1273200</v>
      </c>
      <c r="CO79" s="230">
        <v>1299300</v>
      </c>
      <c r="CP79" s="230">
        <v>-26100</v>
      </c>
      <c r="CQ79" s="229">
        <v>-2.01E-2</v>
      </c>
      <c r="CR79" s="230">
        <v>781200</v>
      </c>
      <c r="CS79" s="230">
        <v>725400</v>
      </c>
      <c r="CT79" s="230">
        <v>55800</v>
      </c>
      <c r="CU79" s="229">
        <v>7.6899999999999996E-2</v>
      </c>
      <c r="CV79" s="230">
        <v>8079000</v>
      </c>
      <c r="CW79" s="230">
        <v>7829400</v>
      </c>
      <c r="CX79" s="230">
        <v>249600</v>
      </c>
      <c r="CY79" s="229">
        <v>3.1899999999999998E-2</v>
      </c>
      <c r="CZ79" s="228">
        <v>30.85</v>
      </c>
      <c r="DA79" s="228">
        <v>32.56</v>
      </c>
      <c r="DB79" s="228">
        <v>-1.71</v>
      </c>
      <c r="DC79" s="228">
        <v>-1.71</v>
      </c>
      <c r="DD79" s="228">
        <v>38.79</v>
      </c>
      <c r="DE79" s="228">
        <v>38.880000000000003</v>
      </c>
      <c r="DF79" s="228">
        <v>-7.94</v>
      </c>
      <c r="DG79" s="228">
        <v>-0.09</v>
      </c>
      <c r="DH79" s="228">
        <v>30.56</v>
      </c>
      <c r="DI79" s="228">
        <v>32.450000000000003</v>
      </c>
      <c r="DJ79" s="228">
        <v>-1.89</v>
      </c>
      <c r="DK79" s="228">
        <v>-1.89</v>
      </c>
      <c r="DL79" s="228">
        <v>31.53</v>
      </c>
      <c r="DM79" s="228">
        <v>32.97</v>
      </c>
      <c r="DN79" s="228">
        <v>-1.44</v>
      </c>
      <c r="DO79" s="228">
        <v>-1.44</v>
      </c>
      <c r="DP79" s="228">
        <v>0.61</v>
      </c>
      <c r="DQ79" s="228">
        <v>0.56000000000000005</v>
      </c>
      <c r="DR79" s="228">
        <v>0.05</v>
      </c>
      <c r="DS79" s="229">
        <v>8.9300000000000004E-2</v>
      </c>
      <c r="DT79" s="231">
        <v>3000</v>
      </c>
      <c r="DU79" s="231">
        <v>2800</v>
      </c>
      <c r="DV79" s="228">
        <v>0.43</v>
      </c>
      <c r="DW79" s="228">
        <v>0.25</v>
      </c>
      <c r="DX79" s="228">
        <v>0.18</v>
      </c>
      <c r="DY79" s="229">
        <v>0.72</v>
      </c>
      <c r="DZ79" s="229">
        <v>1.5299999999999999E-2</v>
      </c>
      <c r="EA79" s="230">
        <v>93000</v>
      </c>
      <c r="EB79" s="229">
        <v>3.5000000000000001E-3</v>
      </c>
      <c r="EC79" s="229">
        <v>1.5299999999999999E-2</v>
      </c>
      <c r="ED79" s="228">
        <v>11.03</v>
      </c>
      <c r="EE79" s="229">
        <v>3.8999999999999998E-3</v>
      </c>
      <c r="EF79" s="230">
        <v>629927</v>
      </c>
      <c r="EG79" s="230">
        <v>508691</v>
      </c>
      <c r="EH79" s="229">
        <v>0.23830000000000001</v>
      </c>
      <c r="EI79" s="229">
        <v>0.64959999999999996</v>
      </c>
      <c r="EJ79" s="231">
        <v>57721.599999999999</v>
      </c>
      <c r="EK79" s="231">
        <v>22894.46</v>
      </c>
      <c r="EL79" s="231">
        <v>28057.51</v>
      </c>
      <c r="EM79" s="231">
        <v>2678</v>
      </c>
      <c r="EN79" s="231">
        <v>108673.57</v>
      </c>
      <c r="EO79" s="231">
        <v>182404.26</v>
      </c>
      <c r="EP79" s="231">
        <v>-73730.69</v>
      </c>
      <c r="EQ79" s="229">
        <v>-0.4042</v>
      </c>
      <c r="ER79" s="231">
        <v>37085</v>
      </c>
      <c r="ES79" s="231">
        <v>20797</v>
      </c>
      <c r="ET79" s="231">
        <v>170873</v>
      </c>
      <c r="EU79" s="231">
        <v>30592324</v>
      </c>
      <c r="EV79" s="231">
        <v>228756</v>
      </c>
      <c r="EW79" s="231">
        <v>220596</v>
      </c>
      <c r="EX79" s="231">
        <v>8160</v>
      </c>
      <c r="EY79" s="229">
        <v>3.6999999999999998E-2</v>
      </c>
      <c r="EZ79" s="229">
        <v>0.2641</v>
      </c>
      <c r="FA79" s="227" t="s">
        <v>555</v>
      </c>
      <c r="FB79" s="161">
        <f t="shared" si="1"/>
        <v>92400</v>
      </c>
    </row>
    <row r="80" spans="1:158" ht="17.25" thickBot="1" x14ac:dyDescent="0.3">
      <c r="A80" s="226">
        <v>46148</v>
      </c>
      <c r="B80" s="227" t="s">
        <v>172</v>
      </c>
      <c r="C80" s="227" t="s">
        <v>224</v>
      </c>
      <c r="D80" s="228">
        <v>550</v>
      </c>
      <c r="E80" s="228">
        <v>801.85</v>
      </c>
      <c r="F80" s="228">
        <v>775.45</v>
      </c>
      <c r="G80" s="228">
        <v>26.4</v>
      </c>
      <c r="H80" s="229">
        <v>3.4000000000000002E-2</v>
      </c>
      <c r="I80" s="228">
        <v>796.55</v>
      </c>
      <c r="J80" s="228">
        <v>772.3</v>
      </c>
      <c r="K80" s="228">
        <v>24.25</v>
      </c>
      <c r="L80" s="229">
        <v>3.1399999999999997E-2</v>
      </c>
      <c r="M80" s="228">
        <v>801.85</v>
      </c>
      <c r="N80" s="228">
        <v>775.45</v>
      </c>
      <c r="O80" s="228">
        <v>26.4</v>
      </c>
      <c r="P80" s="229">
        <v>3.4000000000000002E-2</v>
      </c>
      <c r="Q80" s="228">
        <v>793.8</v>
      </c>
      <c r="R80" s="228">
        <v>767.95</v>
      </c>
      <c r="S80" s="228">
        <v>25.85</v>
      </c>
      <c r="T80" s="229">
        <v>3.3700000000000001E-2</v>
      </c>
      <c r="U80" s="228">
        <v>797.7</v>
      </c>
      <c r="V80" s="228">
        <v>771.2</v>
      </c>
      <c r="W80" s="228">
        <v>26.5</v>
      </c>
      <c r="X80" s="229">
        <v>3.44E-2</v>
      </c>
      <c r="Y80" s="228">
        <v>5.3</v>
      </c>
      <c r="Z80" s="228">
        <v>3.15</v>
      </c>
      <c r="AA80" s="228">
        <v>2.15</v>
      </c>
      <c r="AB80" s="229">
        <v>6.7000000000000002E-3</v>
      </c>
      <c r="AC80" s="228">
        <v>5.3</v>
      </c>
      <c r="AD80" s="228">
        <v>3.15</v>
      </c>
      <c r="AE80" s="228">
        <v>2.15</v>
      </c>
      <c r="AF80" s="229">
        <v>6.7000000000000002E-3</v>
      </c>
      <c r="AG80" s="228">
        <v>-2.75</v>
      </c>
      <c r="AH80" s="228">
        <v>-4.3499999999999996</v>
      </c>
      <c r="AI80" s="228">
        <v>1.6</v>
      </c>
      <c r="AJ80" s="229">
        <v>-3.5000000000000001E-3</v>
      </c>
      <c r="AK80" s="228">
        <v>1.1499999999999999</v>
      </c>
      <c r="AL80" s="228">
        <v>-1.1000000000000001</v>
      </c>
      <c r="AM80" s="228">
        <v>2.25</v>
      </c>
      <c r="AN80" s="229">
        <v>1.4E-3</v>
      </c>
      <c r="AO80" s="228">
        <v>792.15</v>
      </c>
      <c r="AP80" s="228">
        <v>782.1</v>
      </c>
      <c r="AQ80" s="228">
        <v>0</v>
      </c>
      <c r="AR80" s="230">
        <v>31156950</v>
      </c>
      <c r="AS80" s="230">
        <v>23093400</v>
      </c>
      <c r="AT80" s="230">
        <v>8063550</v>
      </c>
      <c r="AU80" s="229">
        <v>0.34920000000000001</v>
      </c>
      <c r="AV80" s="230">
        <v>26728900</v>
      </c>
      <c r="AW80" s="230">
        <v>19008000</v>
      </c>
      <c r="AX80" s="230">
        <v>7720900</v>
      </c>
      <c r="AY80" s="229">
        <v>0.40620000000000001</v>
      </c>
      <c r="AZ80" s="230">
        <v>3884650</v>
      </c>
      <c r="BA80" s="230">
        <v>3641000</v>
      </c>
      <c r="BB80" s="230">
        <v>243650</v>
      </c>
      <c r="BC80" s="229">
        <v>6.6900000000000001E-2</v>
      </c>
      <c r="BD80" s="230">
        <v>543400</v>
      </c>
      <c r="BE80" s="230">
        <v>444400</v>
      </c>
      <c r="BF80" s="230">
        <v>99000</v>
      </c>
      <c r="BG80" s="229">
        <v>0.2228</v>
      </c>
      <c r="BH80" s="230">
        <v>135298350</v>
      </c>
      <c r="BI80" s="230">
        <v>71738150</v>
      </c>
      <c r="BJ80" s="230">
        <v>63560200</v>
      </c>
      <c r="BK80" s="229">
        <v>0.88600000000000001</v>
      </c>
      <c r="BL80" s="230">
        <v>71265700</v>
      </c>
      <c r="BM80" s="230">
        <v>31402250</v>
      </c>
      <c r="BN80" s="230">
        <v>39863450</v>
      </c>
      <c r="BO80" s="229">
        <v>1.2694000000000001</v>
      </c>
      <c r="BP80" s="230">
        <v>237721000</v>
      </c>
      <c r="BQ80" s="230">
        <v>126233800</v>
      </c>
      <c r="BR80" s="230">
        <v>111487200</v>
      </c>
      <c r="BS80" s="229">
        <v>0.88319999999999999</v>
      </c>
      <c r="BT80" s="230">
        <v>37375352</v>
      </c>
      <c r="BU80" s="230">
        <v>39979123</v>
      </c>
      <c r="BV80" s="230">
        <v>-2603771</v>
      </c>
      <c r="BW80" s="229">
        <v>-6.5100000000000005E-2</v>
      </c>
      <c r="BX80" s="230">
        <v>343287250</v>
      </c>
      <c r="BY80" s="230">
        <v>339950150</v>
      </c>
      <c r="BZ80" s="230">
        <v>3337100</v>
      </c>
      <c r="CA80" s="229">
        <v>9.7999999999999997E-3</v>
      </c>
      <c r="CB80" s="230">
        <v>259015900</v>
      </c>
      <c r="CC80" s="230">
        <v>256952850</v>
      </c>
      <c r="CD80" s="230">
        <v>2063050</v>
      </c>
      <c r="CE80" s="229">
        <v>8.0000000000000002E-3</v>
      </c>
      <c r="CF80" s="230">
        <v>82935600</v>
      </c>
      <c r="CG80" s="230">
        <v>81845500</v>
      </c>
      <c r="CH80" s="230">
        <v>1090100</v>
      </c>
      <c r="CI80" s="229">
        <v>1.3299999999999999E-2</v>
      </c>
      <c r="CJ80" s="230">
        <v>1335750</v>
      </c>
      <c r="CK80" s="230">
        <v>1151800</v>
      </c>
      <c r="CL80" s="230">
        <v>183950</v>
      </c>
      <c r="CM80" s="229">
        <v>0.15970000000000001</v>
      </c>
      <c r="CN80" s="230">
        <v>69743050</v>
      </c>
      <c r="CO80" s="230">
        <v>68986400</v>
      </c>
      <c r="CP80" s="230">
        <v>756650</v>
      </c>
      <c r="CQ80" s="229">
        <v>1.0999999999999999E-2</v>
      </c>
      <c r="CR80" s="230">
        <v>41580250</v>
      </c>
      <c r="CS80" s="230">
        <v>37779850</v>
      </c>
      <c r="CT80" s="230">
        <v>3800400</v>
      </c>
      <c r="CU80" s="229">
        <v>0.10059999999999999</v>
      </c>
      <c r="CV80" s="230">
        <v>454610550</v>
      </c>
      <c r="CW80" s="230">
        <v>446716400</v>
      </c>
      <c r="CX80" s="230">
        <v>7894150</v>
      </c>
      <c r="CY80" s="229">
        <v>1.77E-2</v>
      </c>
      <c r="CZ80" s="228">
        <v>24.27</v>
      </c>
      <c r="DA80" s="228">
        <v>25.54</v>
      </c>
      <c r="DB80" s="228">
        <v>-1.27</v>
      </c>
      <c r="DC80" s="228">
        <v>-1.27</v>
      </c>
      <c r="DD80" s="228">
        <v>25.46</v>
      </c>
      <c r="DE80" s="228">
        <v>25.18</v>
      </c>
      <c r="DF80" s="228">
        <v>-1.19</v>
      </c>
      <c r="DG80" s="228">
        <v>0.28000000000000003</v>
      </c>
      <c r="DH80" s="228">
        <v>24.31</v>
      </c>
      <c r="DI80" s="228">
        <v>25.67</v>
      </c>
      <c r="DJ80" s="228">
        <v>-1.36</v>
      </c>
      <c r="DK80" s="228">
        <v>-1.36</v>
      </c>
      <c r="DL80" s="228">
        <v>24.19</v>
      </c>
      <c r="DM80" s="228">
        <v>25.25</v>
      </c>
      <c r="DN80" s="228">
        <v>-1.06</v>
      </c>
      <c r="DO80" s="228">
        <v>-1.06</v>
      </c>
      <c r="DP80" s="228">
        <v>0.6</v>
      </c>
      <c r="DQ80" s="228">
        <v>0.55000000000000004</v>
      </c>
      <c r="DR80" s="228">
        <v>0.05</v>
      </c>
      <c r="DS80" s="229">
        <v>9.0899999999999995E-2</v>
      </c>
      <c r="DT80" s="228">
        <v>800</v>
      </c>
      <c r="DU80" s="228">
        <v>800</v>
      </c>
      <c r="DV80" s="228">
        <v>0.53</v>
      </c>
      <c r="DW80" s="228">
        <v>0.44</v>
      </c>
      <c r="DX80" s="228">
        <v>0.09</v>
      </c>
      <c r="DY80" s="229">
        <v>0.20449999999999999</v>
      </c>
      <c r="DZ80" s="229">
        <v>0.2455</v>
      </c>
      <c r="EA80" s="230">
        <v>82997300</v>
      </c>
      <c r="EB80" s="229">
        <v>-0.01</v>
      </c>
      <c r="EC80" s="229">
        <v>0.2455</v>
      </c>
      <c r="ED80" s="228">
        <v>-10.050000000000001</v>
      </c>
      <c r="EE80" s="229">
        <v>-1.2699999999999999E-2</v>
      </c>
      <c r="EF80" s="230">
        <v>19014361</v>
      </c>
      <c r="EG80" s="230">
        <v>18521599</v>
      </c>
      <c r="EH80" s="229">
        <v>2.6599999999999999E-2</v>
      </c>
      <c r="EI80" s="229">
        <v>0.50870000000000004</v>
      </c>
      <c r="EJ80" s="231">
        <v>1117994.01</v>
      </c>
      <c r="EK80" s="231">
        <v>554571.37</v>
      </c>
      <c r="EL80" s="231">
        <v>247157.46</v>
      </c>
      <c r="EM80" s="231">
        <v>39625</v>
      </c>
      <c r="EN80" s="231">
        <v>1919722.84</v>
      </c>
      <c r="EO80" s="231">
        <v>1008599.61</v>
      </c>
      <c r="EP80" s="231">
        <v>911123.23</v>
      </c>
      <c r="EQ80" s="229">
        <v>0.90339999999999998</v>
      </c>
      <c r="ER80" s="231">
        <v>575744</v>
      </c>
      <c r="ES80" s="231">
        <v>323864</v>
      </c>
      <c r="ET80" s="231">
        <v>2745917</v>
      </c>
      <c r="EU80" s="231">
        <v>1496665645</v>
      </c>
      <c r="EV80" s="231">
        <v>3645526</v>
      </c>
      <c r="EW80" s="231">
        <v>3492306</v>
      </c>
      <c r="EX80" s="231">
        <v>153220</v>
      </c>
      <c r="EY80" s="229">
        <v>4.3900000000000002E-2</v>
      </c>
      <c r="EZ80" s="229">
        <v>0.30370000000000003</v>
      </c>
      <c r="FA80" s="227" t="s">
        <v>555</v>
      </c>
      <c r="FB80" s="161">
        <f t="shared" si="1"/>
        <v>84271350</v>
      </c>
    </row>
    <row r="81" spans="1:158" ht="17.25" thickBot="1" x14ac:dyDescent="0.3">
      <c r="A81" s="226">
        <v>46148</v>
      </c>
      <c r="B81" s="227" t="s">
        <v>175</v>
      </c>
      <c r="C81" s="227" t="s">
        <v>225</v>
      </c>
      <c r="D81" s="228">
        <v>1100</v>
      </c>
      <c r="E81" s="228">
        <v>610.5</v>
      </c>
      <c r="F81" s="228">
        <v>597.45000000000005</v>
      </c>
      <c r="G81" s="228">
        <v>13.05</v>
      </c>
      <c r="H81" s="229">
        <v>2.18E-2</v>
      </c>
      <c r="I81" s="228">
        <v>606.35</v>
      </c>
      <c r="J81" s="228">
        <v>594.1</v>
      </c>
      <c r="K81" s="228">
        <v>12.25</v>
      </c>
      <c r="L81" s="229">
        <v>2.06E-2</v>
      </c>
      <c r="M81" s="228">
        <v>610.5</v>
      </c>
      <c r="N81" s="228">
        <v>597.45000000000005</v>
      </c>
      <c r="O81" s="228">
        <v>13.05</v>
      </c>
      <c r="P81" s="229">
        <v>2.18E-2</v>
      </c>
      <c r="Q81" s="228">
        <v>612.70000000000005</v>
      </c>
      <c r="R81" s="228">
        <v>599.29999999999995</v>
      </c>
      <c r="S81" s="228">
        <v>13.4</v>
      </c>
      <c r="T81" s="229">
        <v>2.24E-2</v>
      </c>
      <c r="U81" s="228">
        <v>614.9</v>
      </c>
      <c r="V81" s="228">
        <v>601.65</v>
      </c>
      <c r="W81" s="228">
        <v>13.25</v>
      </c>
      <c r="X81" s="229">
        <v>2.1999999999999999E-2</v>
      </c>
      <c r="Y81" s="228">
        <v>4.1500000000000004</v>
      </c>
      <c r="Z81" s="228">
        <v>3.35</v>
      </c>
      <c r="AA81" s="228">
        <v>0.8</v>
      </c>
      <c r="AB81" s="229">
        <v>6.7999999999999996E-3</v>
      </c>
      <c r="AC81" s="228">
        <v>4.1500000000000004</v>
      </c>
      <c r="AD81" s="228">
        <v>3.35</v>
      </c>
      <c r="AE81" s="228">
        <v>0.8</v>
      </c>
      <c r="AF81" s="229">
        <v>6.7999999999999996E-3</v>
      </c>
      <c r="AG81" s="228">
        <v>6.35</v>
      </c>
      <c r="AH81" s="228">
        <v>5.2</v>
      </c>
      <c r="AI81" s="228">
        <v>1.1499999999999999</v>
      </c>
      <c r="AJ81" s="229">
        <v>1.0500000000000001E-2</v>
      </c>
      <c r="AK81" s="228">
        <v>8.5500000000000007</v>
      </c>
      <c r="AL81" s="228">
        <v>7.55</v>
      </c>
      <c r="AM81" s="228">
        <v>1</v>
      </c>
      <c r="AN81" s="229">
        <v>1.41E-2</v>
      </c>
      <c r="AO81" s="228">
        <v>605.62</v>
      </c>
      <c r="AP81" s="228">
        <v>607.12</v>
      </c>
      <c r="AQ81" s="228">
        <v>0</v>
      </c>
      <c r="AR81" s="230">
        <v>21462100</v>
      </c>
      <c r="AS81" s="230">
        <v>6515300</v>
      </c>
      <c r="AT81" s="230">
        <v>14946800</v>
      </c>
      <c r="AU81" s="229">
        <v>2.2940999999999998</v>
      </c>
      <c r="AV81" s="230">
        <v>20441300</v>
      </c>
      <c r="AW81" s="230">
        <v>6172100</v>
      </c>
      <c r="AX81" s="230">
        <v>14269200</v>
      </c>
      <c r="AY81" s="229">
        <v>2.3119000000000001</v>
      </c>
      <c r="AZ81" s="230">
        <v>941600</v>
      </c>
      <c r="BA81" s="230">
        <v>284900</v>
      </c>
      <c r="BB81" s="230">
        <v>656700</v>
      </c>
      <c r="BC81" s="229">
        <v>2.3050000000000002</v>
      </c>
      <c r="BD81" s="230">
        <v>79200</v>
      </c>
      <c r="BE81" s="230">
        <v>58300</v>
      </c>
      <c r="BF81" s="230">
        <v>20900</v>
      </c>
      <c r="BG81" s="229">
        <v>0.35849999999999999</v>
      </c>
      <c r="BH81" s="230">
        <v>49823400</v>
      </c>
      <c r="BI81" s="230">
        <v>23069200</v>
      </c>
      <c r="BJ81" s="230">
        <v>26754200</v>
      </c>
      <c r="BK81" s="229">
        <v>1.1597</v>
      </c>
      <c r="BL81" s="230">
        <v>17945400</v>
      </c>
      <c r="BM81" s="230">
        <v>9221300</v>
      </c>
      <c r="BN81" s="230">
        <v>8724100</v>
      </c>
      <c r="BO81" s="229">
        <v>0.94610000000000005</v>
      </c>
      <c r="BP81" s="230">
        <v>89230900</v>
      </c>
      <c r="BQ81" s="230">
        <v>38805800</v>
      </c>
      <c r="BR81" s="230">
        <v>50425100</v>
      </c>
      <c r="BS81" s="229">
        <v>1.2994000000000001</v>
      </c>
      <c r="BT81" s="230">
        <v>44520670</v>
      </c>
      <c r="BU81" s="230">
        <v>4155089</v>
      </c>
      <c r="BV81" s="230">
        <v>40365581</v>
      </c>
      <c r="BW81" s="229">
        <v>9.7147000000000006</v>
      </c>
      <c r="BX81" s="230">
        <v>51716500</v>
      </c>
      <c r="BY81" s="230">
        <v>44319000</v>
      </c>
      <c r="BZ81" s="230">
        <v>7397500</v>
      </c>
      <c r="CA81" s="229">
        <v>0.16689999999999999</v>
      </c>
      <c r="CB81" s="230">
        <v>47158100</v>
      </c>
      <c r="CC81" s="230">
        <v>39895900</v>
      </c>
      <c r="CD81" s="230">
        <v>7262200</v>
      </c>
      <c r="CE81" s="229">
        <v>0.182</v>
      </c>
      <c r="CF81" s="230">
        <v>4458300</v>
      </c>
      <c r="CG81" s="230">
        <v>4329600</v>
      </c>
      <c r="CH81" s="230">
        <v>128700</v>
      </c>
      <c r="CI81" s="229">
        <v>2.9700000000000001E-2</v>
      </c>
      <c r="CJ81" s="230">
        <v>100100</v>
      </c>
      <c r="CK81" s="230">
        <v>93500</v>
      </c>
      <c r="CL81" s="230">
        <v>6600</v>
      </c>
      <c r="CM81" s="229">
        <v>7.0599999999999996E-2</v>
      </c>
      <c r="CN81" s="230">
        <v>17347000</v>
      </c>
      <c r="CO81" s="230">
        <v>16152400</v>
      </c>
      <c r="CP81" s="230">
        <v>1194600</v>
      </c>
      <c r="CQ81" s="229">
        <v>7.3999999999999996E-2</v>
      </c>
      <c r="CR81" s="230">
        <v>9772400</v>
      </c>
      <c r="CS81" s="230">
        <v>8934200</v>
      </c>
      <c r="CT81" s="230">
        <v>838200</v>
      </c>
      <c r="CU81" s="229">
        <v>9.3799999999999994E-2</v>
      </c>
      <c r="CV81" s="230">
        <v>78835900</v>
      </c>
      <c r="CW81" s="230">
        <v>69405600</v>
      </c>
      <c r="CX81" s="230">
        <v>9430300</v>
      </c>
      <c r="CY81" s="229">
        <v>0.13589999999999999</v>
      </c>
      <c r="CZ81" s="228">
        <v>24.83</v>
      </c>
      <c r="DA81" s="228">
        <v>25.15</v>
      </c>
      <c r="DB81" s="228">
        <v>-0.32</v>
      </c>
      <c r="DC81" s="228">
        <v>-0.32</v>
      </c>
      <c r="DD81" s="228">
        <v>27.6</v>
      </c>
      <c r="DE81" s="228">
        <v>27.53</v>
      </c>
      <c r="DF81" s="228">
        <v>-2.77</v>
      </c>
      <c r="DG81" s="228">
        <v>7.0000000000000007E-2</v>
      </c>
      <c r="DH81" s="228">
        <v>24.41</v>
      </c>
      <c r="DI81" s="228">
        <v>24.6</v>
      </c>
      <c r="DJ81" s="228">
        <v>-0.19</v>
      </c>
      <c r="DK81" s="228">
        <v>-0.19</v>
      </c>
      <c r="DL81" s="228">
        <v>26.02</v>
      </c>
      <c r="DM81" s="228">
        <v>26.54</v>
      </c>
      <c r="DN81" s="228">
        <v>-0.52</v>
      </c>
      <c r="DO81" s="228">
        <v>-0.52</v>
      </c>
      <c r="DP81" s="228">
        <v>0.56000000000000005</v>
      </c>
      <c r="DQ81" s="228">
        <v>0.55000000000000004</v>
      </c>
      <c r="DR81" s="228">
        <v>0.01</v>
      </c>
      <c r="DS81" s="229">
        <v>1.8200000000000001E-2</v>
      </c>
      <c r="DT81" s="228">
        <v>600</v>
      </c>
      <c r="DU81" s="228">
        <v>560</v>
      </c>
      <c r="DV81" s="228">
        <v>0.36</v>
      </c>
      <c r="DW81" s="228">
        <v>0.4</v>
      </c>
      <c r="DX81" s="228">
        <v>-0.04</v>
      </c>
      <c r="DY81" s="229">
        <v>-0.1</v>
      </c>
      <c r="DZ81" s="229">
        <v>8.8099999999999998E-2</v>
      </c>
      <c r="EA81" s="230">
        <v>4423100</v>
      </c>
      <c r="EB81" s="229">
        <v>3.5999999999999999E-3</v>
      </c>
      <c r="EC81" s="229">
        <v>8.8099999999999998E-2</v>
      </c>
      <c r="ED81" s="228">
        <v>1.5</v>
      </c>
      <c r="EE81" s="229">
        <v>2.5000000000000001E-3</v>
      </c>
      <c r="EF81" s="230">
        <v>32579188</v>
      </c>
      <c r="EG81" s="230">
        <v>2003961</v>
      </c>
      <c r="EH81" s="229">
        <v>15.257400000000001</v>
      </c>
      <c r="EI81" s="229">
        <v>0.73180000000000001</v>
      </c>
      <c r="EJ81" s="231">
        <v>313339.36</v>
      </c>
      <c r="EK81" s="231">
        <v>107084.71</v>
      </c>
      <c r="EL81" s="231">
        <v>129999.5</v>
      </c>
      <c r="EM81" s="231">
        <v>3900</v>
      </c>
      <c r="EN81" s="231">
        <v>550423.56999999995</v>
      </c>
      <c r="EO81" s="231">
        <v>236991.12</v>
      </c>
      <c r="EP81" s="231">
        <v>313432.45</v>
      </c>
      <c r="EQ81" s="229">
        <v>1.3225</v>
      </c>
      <c r="ER81" s="231">
        <v>109053</v>
      </c>
      <c r="ES81" s="231">
        <v>56016</v>
      </c>
      <c r="ET81" s="231">
        <v>315832</v>
      </c>
      <c r="EU81" s="231">
        <v>156090005</v>
      </c>
      <c r="EV81" s="231">
        <v>480900</v>
      </c>
      <c r="EW81" s="231">
        <v>417279</v>
      </c>
      <c r="EX81" s="231">
        <v>63621</v>
      </c>
      <c r="EY81" s="229">
        <v>0.1525</v>
      </c>
      <c r="EZ81" s="229">
        <v>0.50509999999999999</v>
      </c>
      <c r="FA81" s="227" t="s">
        <v>555</v>
      </c>
      <c r="FB81" s="161">
        <f t="shared" si="1"/>
        <v>4558400</v>
      </c>
    </row>
    <row r="82" spans="1:158" ht="17.25" thickBot="1" x14ac:dyDescent="0.3">
      <c r="A82" s="226">
        <v>46148</v>
      </c>
      <c r="B82" s="227" t="s">
        <v>162</v>
      </c>
      <c r="C82" s="227" t="s">
        <v>226</v>
      </c>
      <c r="D82" s="228">
        <v>150</v>
      </c>
      <c r="E82" s="231">
        <v>5198</v>
      </c>
      <c r="F82" s="231">
        <v>5124</v>
      </c>
      <c r="G82" s="228">
        <v>74</v>
      </c>
      <c r="H82" s="229">
        <v>1.44E-2</v>
      </c>
      <c r="I82" s="231">
        <v>5170</v>
      </c>
      <c r="J82" s="231">
        <v>5109</v>
      </c>
      <c r="K82" s="228">
        <v>61</v>
      </c>
      <c r="L82" s="229">
        <v>1.1900000000000001E-2</v>
      </c>
      <c r="M82" s="231">
        <v>5198</v>
      </c>
      <c r="N82" s="231">
        <v>5124</v>
      </c>
      <c r="O82" s="228">
        <v>74</v>
      </c>
      <c r="P82" s="229">
        <v>1.44E-2</v>
      </c>
      <c r="Q82" s="231">
        <v>5232</v>
      </c>
      <c r="R82" s="231">
        <v>5155</v>
      </c>
      <c r="S82" s="228">
        <v>77</v>
      </c>
      <c r="T82" s="229">
        <v>1.49E-2</v>
      </c>
      <c r="U82" s="231">
        <v>5181</v>
      </c>
      <c r="V82" s="231">
        <v>5131.5</v>
      </c>
      <c r="W82" s="228">
        <v>49.5</v>
      </c>
      <c r="X82" s="229">
        <v>9.5999999999999992E-3</v>
      </c>
      <c r="Y82" s="228">
        <v>28</v>
      </c>
      <c r="Z82" s="228">
        <v>15</v>
      </c>
      <c r="AA82" s="228">
        <v>13</v>
      </c>
      <c r="AB82" s="229">
        <v>5.4000000000000003E-3</v>
      </c>
      <c r="AC82" s="228">
        <v>28</v>
      </c>
      <c r="AD82" s="228">
        <v>15</v>
      </c>
      <c r="AE82" s="228">
        <v>13</v>
      </c>
      <c r="AF82" s="229">
        <v>5.4000000000000003E-3</v>
      </c>
      <c r="AG82" s="228">
        <v>62</v>
      </c>
      <c r="AH82" s="228">
        <v>46</v>
      </c>
      <c r="AI82" s="228">
        <v>16</v>
      </c>
      <c r="AJ82" s="229">
        <v>1.2E-2</v>
      </c>
      <c r="AK82" s="228">
        <v>11</v>
      </c>
      <c r="AL82" s="228">
        <v>22.5</v>
      </c>
      <c r="AM82" s="228">
        <v>-11.5</v>
      </c>
      <c r="AN82" s="229">
        <v>2.0999999999999999E-3</v>
      </c>
      <c r="AO82" s="231">
        <v>5126.9399999999996</v>
      </c>
      <c r="AP82" s="231">
        <v>5167.6499999999996</v>
      </c>
      <c r="AQ82" s="228">
        <v>0</v>
      </c>
      <c r="AR82" s="230">
        <v>4097550</v>
      </c>
      <c r="AS82" s="230">
        <v>843450</v>
      </c>
      <c r="AT82" s="230">
        <v>3254100</v>
      </c>
      <c r="AU82" s="229">
        <v>3.8580999999999999</v>
      </c>
      <c r="AV82" s="230">
        <v>3877050</v>
      </c>
      <c r="AW82" s="230">
        <v>803100</v>
      </c>
      <c r="AX82" s="230">
        <v>3073950</v>
      </c>
      <c r="AY82" s="229">
        <v>3.8275999999999999</v>
      </c>
      <c r="AZ82" s="230">
        <v>178500</v>
      </c>
      <c r="BA82" s="230">
        <v>34950</v>
      </c>
      <c r="BB82" s="230">
        <v>143550</v>
      </c>
      <c r="BC82" s="229">
        <v>4.1073000000000004</v>
      </c>
      <c r="BD82" s="230">
        <v>42000</v>
      </c>
      <c r="BE82" s="230">
        <v>5400</v>
      </c>
      <c r="BF82" s="230">
        <v>36600</v>
      </c>
      <c r="BG82" s="229">
        <v>6.7778</v>
      </c>
      <c r="BH82" s="230">
        <v>24257700</v>
      </c>
      <c r="BI82" s="230">
        <v>3769800</v>
      </c>
      <c r="BJ82" s="230">
        <v>20487900</v>
      </c>
      <c r="BK82" s="229">
        <v>5.4347000000000003</v>
      </c>
      <c r="BL82" s="230">
        <v>11368800</v>
      </c>
      <c r="BM82" s="230">
        <v>1300800</v>
      </c>
      <c r="BN82" s="230">
        <v>10068000</v>
      </c>
      <c r="BO82" s="229">
        <v>7.7398999999999996</v>
      </c>
      <c r="BP82" s="230">
        <v>39724050</v>
      </c>
      <c r="BQ82" s="230">
        <v>5914050</v>
      </c>
      <c r="BR82" s="230">
        <v>33810000</v>
      </c>
      <c r="BS82" s="229">
        <v>5.7168999999999999</v>
      </c>
      <c r="BT82" s="230">
        <v>2969189</v>
      </c>
      <c r="BU82" s="230">
        <v>602071</v>
      </c>
      <c r="BV82" s="230">
        <v>2367118</v>
      </c>
      <c r="BW82" s="229">
        <v>3.9316</v>
      </c>
      <c r="BX82" s="230">
        <v>4491900</v>
      </c>
      <c r="BY82" s="230">
        <v>4682700</v>
      </c>
      <c r="BZ82" s="230">
        <v>-190800</v>
      </c>
      <c r="CA82" s="229">
        <v>-4.07E-2</v>
      </c>
      <c r="CB82" s="230">
        <v>4148550</v>
      </c>
      <c r="CC82" s="230">
        <v>4369800</v>
      </c>
      <c r="CD82" s="230">
        <v>-221250</v>
      </c>
      <c r="CE82" s="229">
        <v>-5.0599999999999999E-2</v>
      </c>
      <c r="CF82" s="230">
        <v>320550</v>
      </c>
      <c r="CG82" s="230">
        <v>303900</v>
      </c>
      <c r="CH82" s="230">
        <v>16650</v>
      </c>
      <c r="CI82" s="229">
        <v>5.4800000000000001E-2</v>
      </c>
      <c r="CJ82" s="230">
        <v>22800</v>
      </c>
      <c r="CK82" s="230">
        <v>9000</v>
      </c>
      <c r="CL82" s="230">
        <v>13800</v>
      </c>
      <c r="CM82" s="229">
        <v>1.5333000000000001</v>
      </c>
      <c r="CN82" s="230">
        <v>2649900</v>
      </c>
      <c r="CO82" s="230">
        <v>2212500</v>
      </c>
      <c r="CP82" s="230">
        <v>437400</v>
      </c>
      <c r="CQ82" s="229">
        <v>0.19769999999999999</v>
      </c>
      <c r="CR82" s="230">
        <v>1460250</v>
      </c>
      <c r="CS82" s="230">
        <v>1194150</v>
      </c>
      <c r="CT82" s="230">
        <v>266100</v>
      </c>
      <c r="CU82" s="229">
        <v>0.2228</v>
      </c>
      <c r="CV82" s="230">
        <v>8602050</v>
      </c>
      <c r="CW82" s="230">
        <v>8089350</v>
      </c>
      <c r="CX82" s="230">
        <v>512700</v>
      </c>
      <c r="CY82" s="229">
        <v>6.3399999999999998E-2</v>
      </c>
      <c r="CZ82" s="228">
        <v>30.02</v>
      </c>
      <c r="DA82" s="228">
        <v>34.74</v>
      </c>
      <c r="DB82" s="228">
        <v>-4.72</v>
      </c>
      <c r="DC82" s="228">
        <v>-4.72</v>
      </c>
      <c r="DD82" s="228">
        <v>33.159999999999997</v>
      </c>
      <c r="DE82" s="228">
        <v>33.19</v>
      </c>
      <c r="DF82" s="228">
        <v>-3.14</v>
      </c>
      <c r="DG82" s="228">
        <v>-0.03</v>
      </c>
      <c r="DH82" s="228">
        <v>29.44</v>
      </c>
      <c r="DI82" s="228">
        <v>34.85</v>
      </c>
      <c r="DJ82" s="228">
        <v>-5.41</v>
      </c>
      <c r="DK82" s="228">
        <v>-5.41</v>
      </c>
      <c r="DL82" s="228">
        <v>31.26</v>
      </c>
      <c r="DM82" s="228">
        <v>34.409999999999997</v>
      </c>
      <c r="DN82" s="228">
        <v>-3.15</v>
      </c>
      <c r="DO82" s="228">
        <v>-3.15</v>
      </c>
      <c r="DP82" s="228">
        <v>0.55000000000000004</v>
      </c>
      <c r="DQ82" s="228">
        <v>0.54</v>
      </c>
      <c r="DR82" s="228">
        <v>0.01</v>
      </c>
      <c r="DS82" s="229">
        <v>1.8499999999999999E-2</v>
      </c>
      <c r="DT82" s="231">
        <v>5500</v>
      </c>
      <c r="DU82" s="231">
        <v>5000</v>
      </c>
      <c r="DV82" s="228">
        <v>0.47</v>
      </c>
      <c r="DW82" s="228">
        <v>0.35</v>
      </c>
      <c r="DX82" s="228">
        <v>0.12</v>
      </c>
      <c r="DY82" s="229">
        <v>0.34289999999999998</v>
      </c>
      <c r="DZ82" s="229">
        <v>7.6399999999999996E-2</v>
      </c>
      <c r="EA82" s="230">
        <v>312900</v>
      </c>
      <c r="EB82" s="229">
        <v>6.4999999999999997E-3</v>
      </c>
      <c r="EC82" s="229">
        <v>7.6399999999999996E-2</v>
      </c>
      <c r="ED82" s="228">
        <v>40.71</v>
      </c>
      <c r="EE82" s="229">
        <v>7.9000000000000008E-3</v>
      </c>
      <c r="EF82" s="230">
        <v>904022</v>
      </c>
      <c r="EG82" s="230">
        <v>250953</v>
      </c>
      <c r="EH82" s="229">
        <v>2.6023999999999998</v>
      </c>
      <c r="EI82" s="229">
        <v>0.30449999999999999</v>
      </c>
      <c r="EJ82" s="231">
        <v>1318222.17</v>
      </c>
      <c r="EK82" s="231">
        <v>571857.18999999994</v>
      </c>
      <c r="EL82" s="231">
        <v>210144.47</v>
      </c>
      <c r="EM82" s="231">
        <v>5010</v>
      </c>
      <c r="EN82" s="231">
        <v>2100223.83</v>
      </c>
      <c r="EO82" s="231">
        <v>312323.53999999998</v>
      </c>
      <c r="EP82" s="231">
        <v>1787900.29</v>
      </c>
      <c r="EQ82" s="229">
        <v>5.7244999999999999</v>
      </c>
      <c r="ER82" s="231">
        <v>144010</v>
      </c>
      <c r="ES82" s="231">
        <v>72082</v>
      </c>
      <c r="ET82" s="231">
        <v>233594</v>
      </c>
      <c r="EU82" s="231">
        <v>19589014</v>
      </c>
      <c r="EV82" s="231">
        <v>449686</v>
      </c>
      <c r="EW82" s="231">
        <v>418386</v>
      </c>
      <c r="EX82" s="231">
        <v>31300</v>
      </c>
      <c r="EY82" s="229">
        <v>7.4800000000000005E-2</v>
      </c>
      <c r="EZ82" s="229">
        <v>0.43909999999999999</v>
      </c>
      <c r="FA82" s="227" t="s">
        <v>691</v>
      </c>
      <c r="FB82" s="161">
        <f t="shared" si="1"/>
        <v>343350</v>
      </c>
    </row>
    <row r="83" spans="1:158" ht="17.25" thickBot="1" x14ac:dyDescent="0.3">
      <c r="A83" s="226">
        <v>46148</v>
      </c>
      <c r="B83" s="227" t="s">
        <v>227</v>
      </c>
      <c r="C83" s="227" t="s">
        <v>228</v>
      </c>
      <c r="D83" s="228">
        <v>700</v>
      </c>
      <c r="E83" s="231">
        <v>1052</v>
      </c>
      <c r="F83" s="231">
        <v>1057.5</v>
      </c>
      <c r="G83" s="228">
        <v>-5.5</v>
      </c>
      <c r="H83" s="229">
        <v>-5.1999999999999998E-3</v>
      </c>
      <c r="I83" s="231">
        <v>1045.8</v>
      </c>
      <c r="J83" s="231">
        <v>1054.7</v>
      </c>
      <c r="K83" s="228">
        <v>-8.9</v>
      </c>
      <c r="L83" s="229">
        <v>-8.3999999999999995E-3</v>
      </c>
      <c r="M83" s="231">
        <v>1052</v>
      </c>
      <c r="N83" s="231">
        <v>1057.5</v>
      </c>
      <c r="O83" s="228">
        <v>-5.5</v>
      </c>
      <c r="P83" s="229">
        <v>-5.1999999999999998E-3</v>
      </c>
      <c r="Q83" s="231">
        <v>1058.8</v>
      </c>
      <c r="R83" s="231">
        <v>1064.2</v>
      </c>
      <c r="S83" s="228">
        <v>-5.4</v>
      </c>
      <c r="T83" s="229">
        <v>-5.1000000000000004E-3</v>
      </c>
      <c r="U83" s="231">
        <v>1064.2</v>
      </c>
      <c r="V83" s="231">
        <v>1068.2</v>
      </c>
      <c r="W83" s="228">
        <v>-4</v>
      </c>
      <c r="X83" s="229">
        <v>-3.7000000000000002E-3</v>
      </c>
      <c r="Y83" s="228">
        <v>6.2</v>
      </c>
      <c r="Z83" s="228">
        <v>2.8</v>
      </c>
      <c r="AA83" s="228">
        <v>3.4</v>
      </c>
      <c r="AB83" s="229">
        <v>5.8999999999999999E-3</v>
      </c>
      <c r="AC83" s="228">
        <v>6.2</v>
      </c>
      <c r="AD83" s="228">
        <v>2.8</v>
      </c>
      <c r="AE83" s="228">
        <v>3.4</v>
      </c>
      <c r="AF83" s="229">
        <v>5.8999999999999999E-3</v>
      </c>
      <c r="AG83" s="228">
        <v>13</v>
      </c>
      <c r="AH83" s="228">
        <v>9.5</v>
      </c>
      <c r="AI83" s="228">
        <v>3.5</v>
      </c>
      <c r="AJ83" s="229">
        <v>1.24E-2</v>
      </c>
      <c r="AK83" s="228">
        <v>18.399999999999999</v>
      </c>
      <c r="AL83" s="228">
        <v>13.5</v>
      </c>
      <c r="AM83" s="228">
        <v>4.9000000000000004</v>
      </c>
      <c r="AN83" s="229">
        <v>1.7600000000000001E-2</v>
      </c>
      <c r="AO83" s="231">
        <v>1061.93</v>
      </c>
      <c r="AP83" s="231">
        <v>1069.1300000000001</v>
      </c>
      <c r="AQ83" s="228">
        <v>0</v>
      </c>
      <c r="AR83" s="230">
        <v>6023500</v>
      </c>
      <c r="AS83" s="230">
        <v>4822300</v>
      </c>
      <c r="AT83" s="230">
        <v>1201200</v>
      </c>
      <c r="AU83" s="229">
        <v>0.24909999999999999</v>
      </c>
      <c r="AV83" s="230">
        <v>5687500</v>
      </c>
      <c r="AW83" s="230">
        <v>4554200</v>
      </c>
      <c r="AX83" s="230">
        <v>1133300</v>
      </c>
      <c r="AY83" s="229">
        <v>0.24879999999999999</v>
      </c>
      <c r="AZ83" s="230">
        <v>305900</v>
      </c>
      <c r="BA83" s="230">
        <v>258300</v>
      </c>
      <c r="BB83" s="230">
        <v>47600</v>
      </c>
      <c r="BC83" s="229">
        <v>0.18429999999999999</v>
      </c>
      <c r="BD83" s="230">
        <v>30100</v>
      </c>
      <c r="BE83" s="230">
        <v>9800</v>
      </c>
      <c r="BF83" s="230">
        <v>20300</v>
      </c>
      <c r="BG83" s="229">
        <v>2.0714000000000001</v>
      </c>
      <c r="BH83" s="230">
        <v>10208800</v>
      </c>
      <c r="BI83" s="230">
        <v>11563300</v>
      </c>
      <c r="BJ83" s="230">
        <v>-1354500</v>
      </c>
      <c r="BK83" s="229">
        <v>-0.1171</v>
      </c>
      <c r="BL83" s="230">
        <v>5821200</v>
      </c>
      <c r="BM83" s="230">
        <v>6847400</v>
      </c>
      <c r="BN83" s="230">
        <v>-1026200</v>
      </c>
      <c r="BO83" s="229">
        <v>-0.14990000000000001</v>
      </c>
      <c r="BP83" s="230">
        <v>22053500</v>
      </c>
      <c r="BQ83" s="230">
        <v>23233000</v>
      </c>
      <c r="BR83" s="230">
        <v>-1179500</v>
      </c>
      <c r="BS83" s="229">
        <v>-5.0799999999999998E-2</v>
      </c>
      <c r="BT83" s="230">
        <v>5540199</v>
      </c>
      <c r="BU83" s="230">
        <v>4771152</v>
      </c>
      <c r="BV83" s="230">
        <v>769047</v>
      </c>
      <c r="BW83" s="229">
        <v>0.16120000000000001</v>
      </c>
      <c r="BX83" s="230">
        <v>33846400</v>
      </c>
      <c r="BY83" s="230">
        <v>34343400</v>
      </c>
      <c r="BZ83" s="230">
        <v>-497000</v>
      </c>
      <c r="CA83" s="229">
        <v>-1.4500000000000001E-2</v>
      </c>
      <c r="CB83" s="230">
        <v>30384200</v>
      </c>
      <c r="CC83" s="230">
        <v>31002300</v>
      </c>
      <c r="CD83" s="230">
        <v>-618100</v>
      </c>
      <c r="CE83" s="229">
        <v>-1.9900000000000001E-2</v>
      </c>
      <c r="CF83" s="230">
        <v>3422300</v>
      </c>
      <c r="CG83" s="230">
        <v>3303300</v>
      </c>
      <c r="CH83" s="230">
        <v>119000</v>
      </c>
      <c r="CI83" s="229">
        <v>3.5999999999999997E-2</v>
      </c>
      <c r="CJ83" s="230">
        <v>39900</v>
      </c>
      <c r="CK83" s="230">
        <v>37800</v>
      </c>
      <c r="CL83" s="230">
        <v>2100</v>
      </c>
      <c r="CM83" s="229">
        <v>5.5599999999999997E-2</v>
      </c>
      <c r="CN83" s="230">
        <v>7263900</v>
      </c>
      <c r="CO83" s="230">
        <v>6509300</v>
      </c>
      <c r="CP83" s="230">
        <v>754600</v>
      </c>
      <c r="CQ83" s="229">
        <v>0.1159</v>
      </c>
      <c r="CR83" s="230">
        <v>5224100</v>
      </c>
      <c r="CS83" s="230">
        <v>5028100</v>
      </c>
      <c r="CT83" s="230">
        <v>196000</v>
      </c>
      <c r="CU83" s="229">
        <v>3.9E-2</v>
      </c>
      <c r="CV83" s="230">
        <v>46334400</v>
      </c>
      <c r="CW83" s="230">
        <v>45880800</v>
      </c>
      <c r="CX83" s="230">
        <v>453600</v>
      </c>
      <c r="CY83" s="229">
        <v>9.9000000000000008E-3</v>
      </c>
      <c r="CZ83" s="228">
        <v>33</v>
      </c>
      <c r="DA83" s="228">
        <v>32.94</v>
      </c>
      <c r="DB83" s="228">
        <v>0.06</v>
      </c>
      <c r="DC83" s="228">
        <v>0.06</v>
      </c>
      <c r="DD83" s="228">
        <v>36.06</v>
      </c>
      <c r="DE83" s="228">
        <v>36.130000000000003</v>
      </c>
      <c r="DF83" s="228">
        <v>-3.06</v>
      </c>
      <c r="DG83" s="228">
        <v>-7.0000000000000007E-2</v>
      </c>
      <c r="DH83" s="228">
        <v>32.72</v>
      </c>
      <c r="DI83" s="228">
        <v>32.299999999999997</v>
      </c>
      <c r="DJ83" s="228">
        <v>0.42</v>
      </c>
      <c r="DK83" s="228">
        <v>0.42</v>
      </c>
      <c r="DL83" s="228">
        <v>33.49</v>
      </c>
      <c r="DM83" s="228">
        <v>34.03</v>
      </c>
      <c r="DN83" s="228">
        <v>-0.54</v>
      </c>
      <c r="DO83" s="228">
        <v>-0.54</v>
      </c>
      <c r="DP83" s="228">
        <v>0.72</v>
      </c>
      <c r="DQ83" s="228">
        <v>0.77</v>
      </c>
      <c r="DR83" s="228">
        <v>-0.05</v>
      </c>
      <c r="DS83" s="229">
        <v>-6.4899999999999999E-2</v>
      </c>
      <c r="DT83" s="231">
        <v>1100</v>
      </c>
      <c r="DU83" s="231">
        <v>1050</v>
      </c>
      <c r="DV83" s="228">
        <v>0.56999999999999995</v>
      </c>
      <c r="DW83" s="228">
        <v>0.59</v>
      </c>
      <c r="DX83" s="228">
        <v>-0.02</v>
      </c>
      <c r="DY83" s="229">
        <v>-3.39E-2</v>
      </c>
      <c r="DZ83" s="229">
        <v>0.1023</v>
      </c>
      <c r="EA83" s="230">
        <v>3341100</v>
      </c>
      <c r="EB83" s="229">
        <v>6.4999999999999997E-3</v>
      </c>
      <c r="EC83" s="229">
        <v>0.1023</v>
      </c>
      <c r="ED83" s="228">
        <v>7.2</v>
      </c>
      <c r="EE83" s="229">
        <v>6.7999999999999996E-3</v>
      </c>
      <c r="EF83" s="230">
        <v>3289117</v>
      </c>
      <c r="EG83" s="230">
        <v>2610944</v>
      </c>
      <c r="EH83" s="229">
        <v>0.25969999999999999</v>
      </c>
      <c r="EI83" s="229">
        <v>0.59370000000000001</v>
      </c>
      <c r="EJ83" s="231">
        <v>113504.37</v>
      </c>
      <c r="EK83" s="231">
        <v>61577.21</v>
      </c>
      <c r="EL83" s="231">
        <v>63991.38</v>
      </c>
      <c r="EM83" s="231">
        <v>7218</v>
      </c>
      <c r="EN83" s="231">
        <v>239072.96</v>
      </c>
      <c r="EO83" s="231">
        <v>250836.81</v>
      </c>
      <c r="EP83" s="231">
        <v>-11763.85</v>
      </c>
      <c r="EQ83" s="229">
        <v>-4.6899999999999997E-2</v>
      </c>
      <c r="ER83" s="231">
        <v>79008</v>
      </c>
      <c r="ES83" s="231">
        <v>52361</v>
      </c>
      <c r="ET83" s="231">
        <v>356302</v>
      </c>
      <c r="EU83" s="231">
        <v>218611634</v>
      </c>
      <c r="EV83" s="231">
        <v>487671</v>
      </c>
      <c r="EW83" s="231">
        <v>484428</v>
      </c>
      <c r="EX83" s="231">
        <v>3243</v>
      </c>
      <c r="EY83" s="229">
        <v>6.7000000000000002E-3</v>
      </c>
      <c r="EZ83" s="229">
        <v>0.21190000000000001</v>
      </c>
      <c r="FA83" s="227" t="s">
        <v>567</v>
      </c>
      <c r="FB83" s="161">
        <f t="shared" si="1"/>
        <v>3462200</v>
      </c>
    </row>
    <row r="84" spans="1:158" ht="17.25" thickBot="1" x14ac:dyDescent="0.3">
      <c r="A84" s="226">
        <v>46148</v>
      </c>
      <c r="B84" s="227" t="s">
        <v>193</v>
      </c>
      <c r="C84" s="227" t="s">
        <v>229</v>
      </c>
      <c r="D84" s="228">
        <v>2025</v>
      </c>
      <c r="E84" s="228">
        <v>401.7</v>
      </c>
      <c r="F84" s="228">
        <v>376.25</v>
      </c>
      <c r="G84" s="228">
        <v>25.45</v>
      </c>
      <c r="H84" s="229">
        <v>6.7599999999999993E-2</v>
      </c>
      <c r="I84" s="228">
        <v>399.2</v>
      </c>
      <c r="J84" s="228">
        <v>373.9</v>
      </c>
      <c r="K84" s="228">
        <v>25.3</v>
      </c>
      <c r="L84" s="229">
        <v>6.7699999999999996E-2</v>
      </c>
      <c r="M84" s="228">
        <v>401.7</v>
      </c>
      <c r="N84" s="228">
        <v>376.25</v>
      </c>
      <c r="O84" s="228">
        <v>25.45</v>
      </c>
      <c r="P84" s="229">
        <v>6.7599999999999993E-2</v>
      </c>
      <c r="Q84" s="228">
        <v>404.4</v>
      </c>
      <c r="R84" s="228">
        <v>378.55</v>
      </c>
      <c r="S84" s="228">
        <v>25.85</v>
      </c>
      <c r="T84" s="229">
        <v>6.83E-2</v>
      </c>
      <c r="U84" s="228">
        <v>405.65</v>
      </c>
      <c r="V84" s="228">
        <v>380.3</v>
      </c>
      <c r="W84" s="228">
        <v>25.35</v>
      </c>
      <c r="X84" s="229">
        <v>6.6699999999999995E-2</v>
      </c>
      <c r="Y84" s="228">
        <v>2.5</v>
      </c>
      <c r="Z84" s="228">
        <v>2.35</v>
      </c>
      <c r="AA84" s="228">
        <v>0.15</v>
      </c>
      <c r="AB84" s="229">
        <v>6.3E-3</v>
      </c>
      <c r="AC84" s="228">
        <v>2.5</v>
      </c>
      <c r="AD84" s="228">
        <v>2.35</v>
      </c>
      <c r="AE84" s="228">
        <v>0.15</v>
      </c>
      <c r="AF84" s="229">
        <v>6.3E-3</v>
      </c>
      <c r="AG84" s="228">
        <v>5.2</v>
      </c>
      <c r="AH84" s="228">
        <v>4.6500000000000004</v>
      </c>
      <c r="AI84" s="228">
        <v>0.55000000000000004</v>
      </c>
      <c r="AJ84" s="229">
        <v>1.2999999999999999E-2</v>
      </c>
      <c r="AK84" s="228">
        <v>6.45</v>
      </c>
      <c r="AL84" s="228">
        <v>6.4</v>
      </c>
      <c r="AM84" s="228">
        <v>0.05</v>
      </c>
      <c r="AN84" s="229">
        <v>1.6199999999999999E-2</v>
      </c>
      <c r="AO84" s="228">
        <v>394.63</v>
      </c>
      <c r="AP84" s="228">
        <v>396.07</v>
      </c>
      <c r="AQ84" s="228">
        <v>0</v>
      </c>
      <c r="AR84" s="230">
        <v>15147000</v>
      </c>
      <c r="AS84" s="230">
        <v>6463800</v>
      </c>
      <c r="AT84" s="230">
        <v>8683200</v>
      </c>
      <c r="AU84" s="229">
        <v>1.3433999999999999</v>
      </c>
      <c r="AV84" s="230">
        <v>14229675</v>
      </c>
      <c r="AW84" s="230">
        <v>6210675</v>
      </c>
      <c r="AX84" s="230">
        <v>8019000</v>
      </c>
      <c r="AY84" s="229">
        <v>1.2911999999999999</v>
      </c>
      <c r="AZ84" s="230">
        <v>834300</v>
      </c>
      <c r="BA84" s="230">
        <v>230850</v>
      </c>
      <c r="BB84" s="230">
        <v>603450</v>
      </c>
      <c r="BC84" s="229">
        <v>2.6139999999999999</v>
      </c>
      <c r="BD84" s="230">
        <v>83025</v>
      </c>
      <c r="BE84" s="230">
        <v>22275</v>
      </c>
      <c r="BF84" s="230">
        <v>60750</v>
      </c>
      <c r="BG84" s="229">
        <v>2.7273000000000001</v>
      </c>
      <c r="BH84" s="230">
        <v>44853750</v>
      </c>
      <c r="BI84" s="230">
        <v>11850300</v>
      </c>
      <c r="BJ84" s="230">
        <v>33003450</v>
      </c>
      <c r="BK84" s="229">
        <v>2.7850000000000001</v>
      </c>
      <c r="BL84" s="230">
        <v>24540975</v>
      </c>
      <c r="BM84" s="230">
        <v>7373025</v>
      </c>
      <c r="BN84" s="230">
        <v>17167950</v>
      </c>
      <c r="BO84" s="229">
        <v>2.3285</v>
      </c>
      <c r="BP84" s="230">
        <v>84541725</v>
      </c>
      <c r="BQ84" s="230">
        <v>25687125</v>
      </c>
      <c r="BR84" s="230">
        <v>58854600</v>
      </c>
      <c r="BS84" s="229">
        <v>2.2911999999999999</v>
      </c>
      <c r="BT84" s="230">
        <v>13347533</v>
      </c>
      <c r="BU84" s="230">
        <v>6408995</v>
      </c>
      <c r="BV84" s="230">
        <v>6938538</v>
      </c>
      <c r="BW84" s="229">
        <v>1.0826</v>
      </c>
      <c r="BX84" s="230">
        <v>39483450</v>
      </c>
      <c r="BY84" s="230">
        <v>38645100</v>
      </c>
      <c r="BZ84" s="230">
        <v>838350</v>
      </c>
      <c r="CA84" s="229">
        <v>2.1700000000000001E-2</v>
      </c>
      <c r="CB84" s="230">
        <v>38065950</v>
      </c>
      <c r="CC84" s="230">
        <v>37294425</v>
      </c>
      <c r="CD84" s="230">
        <v>771525</v>
      </c>
      <c r="CE84" s="229">
        <v>2.07E-2</v>
      </c>
      <c r="CF84" s="230">
        <v>1360800</v>
      </c>
      <c r="CG84" s="230">
        <v>1314225</v>
      </c>
      <c r="CH84" s="230">
        <v>46575</v>
      </c>
      <c r="CI84" s="229">
        <v>3.5400000000000001E-2</v>
      </c>
      <c r="CJ84" s="230">
        <v>56700</v>
      </c>
      <c r="CK84" s="230">
        <v>36450</v>
      </c>
      <c r="CL84" s="230">
        <v>20250</v>
      </c>
      <c r="CM84" s="229">
        <v>0.55559999999999998</v>
      </c>
      <c r="CN84" s="230">
        <v>12429450</v>
      </c>
      <c r="CO84" s="230">
        <v>10056150</v>
      </c>
      <c r="CP84" s="230">
        <v>2373300</v>
      </c>
      <c r="CQ84" s="229">
        <v>0.23599999999999999</v>
      </c>
      <c r="CR84" s="230">
        <v>13190850</v>
      </c>
      <c r="CS84" s="230">
        <v>11570850</v>
      </c>
      <c r="CT84" s="230">
        <v>1620000</v>
      </c>
      <c r="CU84" s="229">
        <v>0.14000000000000001</v>
      </c>
      <c r="CV84" s="230">
        <v>65103750</v>
      </c>
      <c r="CW84" s="230">
        <v>60272100</v>
      </c>
      <c r="CX84" s="230">
        <v>4831650</v>
      </c>
      <c r="CY84" s="229">
        <v>8.0199999999999994E-2</v>
      </c>
      <c r="CZ84" s="228">
        <v>45.86</v>
      </c>
      <c r="DA84" s="228">
        <v>43.56</v>
      </c>
      <c r="DB84" s="228">
        <v>2.2999999999999998</v>
      </c>
      <c r="DC84" s="228">
        <v>2.2999999999999998</v>
      </c>
      <c r="DD84" s="228">
        <v>44.21</v>
      </c>
      <c r="DE84" s="228">
        <v>43.43</v>
      </c>
      <c r="DF84" s="228">
        <v>1.65</v>
      </c>
      <c r="DG84" s="228">
        <v>0.78</v>
      </c>
      <c r="DH84" s="228">
        <v>44.69</v>
      </c>
      <c r="DI84" s="228">
        <v>42.55</v>
      </c>
      <c r="DJ84" s="228">
        <v>2.14</v>
      </c>
      <c r="DK84" s="228">
        <v>2.14</v>
      </c>
      <c r="DL84" s="228">
        <v>48.02</v>
      </c>
      <c r="DM84" s="228">
        <v>45.2</v>
      </c>
      <c r="DN84" s="228">
        <v>2.82</v>
      </c>
      <c r="DO84" s="228">
        <v>2.82</v>
      </c>
      <c r="DP84" s="228">
        <v>1.06</v>
      </c>
      <c r="DQ84" s="228">
        <v>1.1499999999999999</v>
      </c>
      <c r="DR84" s="228">
        <v>-0.09</v>
      </c>
      <c r="DS84" s="229">
        <v>-7.8299999999999995E-2</v>
      </c>
      <c r="DT84" s="228">
        <v>400</v>
      </c>
      <c r="DU84" s="228">
        <v>380</v>
      </c>
      <c r="DV84" s="228">
        <v>0.55000000000000004</v>
      </c>
      <c r="DW84" s="228">
        <v>0.62</v>
      </c>
      <c r="DX84" s="228">
        <v>-7.0000000000000007E-2</v>
      </c>
      <c r="DY84" s="229">
        <v>-0.1129</v>
      </c>
      <c r="DZ84" s="229">
        <v>3.5900000000000001E-2</v>
      </c>
      <c r="EA84" s="230">
        <v>1350675</v>
      </c>
      <c r="EB84" s="229">
        <v>6.7000000000000002E-3</v>
      </c>
      <c r="EC84" s="229">
        <v>3.5900000000000001E-2</v>
      </c>
      <c r="ED84" s="228">
        <v>1.44</v>
      </c>
      <c r="EE84" s="229">
        <v>3.5999999999999999E-3</v>
      </c>
      <c r="EF84" s="230">
        <v>6009122</v>
      </c>
      <c r="EG84" s="230">
        <v>3168389</v>
      </c>
      <c r="EH84" s="229">
        <v>0.89659999999999995</v>
      </c>
      <c r="EI84" s="229">
        <v>0.45019999999999999</v>
      </c>
      <c r="EJ84" s="231">
        <v>186932.74</v>
      </c>
      <c r="EK84" s="231">
        <v>93566.54</v>
      </c>
      <c r="EL84" s="231">
        <v>59787.92</v>
      </c>
      <c r="EM84" s="231">
        <v>3417</v>
      </c>
      <c r="EN84" s="231">
        <v>340287.2</v>
      </c>
      <c r="EO84" s="231">
        <v>99344.79</v>
      </c>
      <c r="EP84" s="231">
        <v>240942.41</v>
      </c>
      <c r="EQ84" s="229">
        <v>2.4253</v>
      </c>
      <c r="ER84" s="231">
        <v>49466</v>
      </c>
      <c r="ES84" s="231">
        <v>48034</v>
      </c>
      <c r="ET84" s="231">
        <v>158644</v>
      </c>
      <c r="EU84" s="231">
        <v>143933168</v>
      </c>
      <c r="EV84" s="231">
        <v>256145</v>
      </c>
      <c r="EW84" s="231">
        <v>226845</v>
      </c>
      <c r="EX84" s="231">
        <v>29300</v>
      </c>
      <c r="EY84" s="229">
        <v>0.12920000000000001</v>
      </c>
      <c r="EZ84" s="229">
        <v>0.45229999999999998</v>
      </c>
      <c r="FA84" s="227" t="s">
        <v>555</v>
      </c>
      <c r="FB84" s="161">
        <f t="shared" si="1"/>
        <v>1417500</v>
      </c>
    </row>
    <row r="85" spans="1:158" ht="17.25" thickBot="1" x14ac:dyDescent="0.3">
      <c r="A85" s="226">
        <v>46148</v>
      </c>
      <c r="B85" s="227" t="s">
        <v>168</v>
      </c>
      <c r="C85" s="227" t="s">
        <v>230</v>
      </c>
      <c r="D85" s="228">
        <v>300</v>
      </c>
      <c r="E85" s="231">
        <v>2326.8000000000002</v>
      </c>
      <c r="F85" s="231">
        <v>2332.1</v>
      </c>
      <c r="G85" s="228">
        <v>-5.3</v>
      </c>
      <c r="H85" s="229">
        <v>-2.3E-3</v>
      </c>
      <c r="I85" s="231">
        <v>2317.1</v>
      </c>
      <c r="J85" s="231">
        <v>2327.4</v>
      </c>
      <c r="K85" s="228">
        <v>-10.3</v>
      </c>
      <c r="L85" s="229">
        <v>-4.4000000000000003E-3</v>
      </c>
      <c r="M85" s="231">
        <v>2326.8000000000002</v>
      </c>
      <c r="N85" s="231">
        <v>2332.1</v>
      </c>
      <c r="O85" s="228">
        <v>-5.3</v>
      </c>
      <c r="P85" s="229">
        <v>-2.3E-3</v>
      </c>
      <c r="Q85" s="231">
        <v>2319.1</v>
      </c>
      <c r="R85" s="231">
        <v>2323</v>
      </c>
      <c r="S85" s="228">
        <v>-3.9</v>
      </c>
      <c r="T85" s="229">
        <v>-1.6999999999999999E-3</v>
      </c>
      <c r="U85" s="231">
        <v>2331.3000000000002</v>
      </c>
      <c r="V85" s="231">
        <v>2335.1999999999998</v>
      </c>
      <c r="W85" s="228">
        <v>-3.9</v>
      </c>
      <c r="X85" s="229">
        <v>-1.6999999999999999E-3</v>
      </c>
      <c r="Y85" s="228">
        <v>9.6999999999999993</v>
      </c>
      <c r="Z85" s="228">
        <v>4.7</v>
      </c>
      <c r="AA85" s="228">
        <v>5</v>
      </c>
      <c r="AB85" s="229">
        <v>4.1999999999999997E-3</v>
      </c>
      <c r="AC85" s="228">
        <v>9.6999999999999993</v>
      </c>
      <c r="AD85" s="228">
        <v>4.7</v>
      </c>
      <c r="AE85" s="228">
        <v>5</v>
      </c>
      <c r="AF85" s="229">
        <v>4.1999999999999997E-3</v>
      </c>
      <c r="AG85" s="228">
        <v>2</v>
      </c>
      <c r="AH85" s="228">
        <v>-4.4000000000000004</v>
      </c>
      <c r="AI85" s="228">
        <v>6.4</v>
      </c>
      <c r="AJ85" s="229">
        <v>8.9999999999999998E-4</v>
      </c>
      <c r="AK85" s="228">
        <v>14.2</v>
      </c>
      <c r="AL85" s="228">
        <v>7.8</v>
      </c>
      <c r="AM85" s="228">
        <v>6.4</v>
      </c>
      <c r="AN85" s="229">
        <v>6.1000000000000004E-3</v>
      </c>
      <c r="AO85" s="231">
        <v>2313.3000000000002</v>
      </c>
      <c r="AP85" s="231">
        <v>2303.33</v>
      </c>
      <c r="AQ85" s="228">
        <v>0</v>
      </c>
      <c r="AR85" s="230">
        <v>1780800</v>
      </c>
      <c r="AS85" s="230">
        <v>1796700</v>
      </c>
      <c r="AT85" s="230">
        <v>-15900</v>
      </c>
      <c r="AU85" s="229">
        <v>-8.8000000000000005E-3</v>
      </c>
      <c r="AV85" s="230">
        <v>1618800</v>
      </c>
      <c r="AW85" s="230">
        <v>1680300</v>
      </c>
      <c r="AX85" s="230">
        <v>-61500</v>
      </c>
      <c r="AY85" s="229">
        <v>-3.6600000000000001E-2</v>
      </c>
      <c r="AZ85" s="230">
        <v>143100</v>
      </c>
      <c r="BA85" s="230">
        <v>109200</v>
      </c>
      <c r="BB85" s="230">
        <v>33900</v>
      </c>
      <c r="BC85" s="229">
        <v>0.31040000000000001</v>
      </c>
      <c r="BD85" s="230">
        <v>18900</v>
      </c>
      <c r="BE85" s="230">
        <v>7200</v>
      </c>
      <c r="BF85" s="230">
        <v>11700</v>
      </c>
      <c r="BG85" s="229">
        <v>1.625</v>
      </c>
      <c r="BH85" s="230">
        <v>9631200</v>
      </c>
      <c r="BI85" s="230">
        <v>8296800</v>
      </c>
      <c r="BJ85" s="230">
        <v>1334400</v>
      </c>
      <c r="BK85" s="229">
        <v>0.1608</v>
      </c>
      <c r="BL85" s="230">
        <v>5529000</v>
      </c>
      <c r="BM85" s="230">
        <v>4600500</v>
      </c>
      <c r="BN85" s="230">
        <v>928500</v>
      </c>
      <c r="BO85" s="229">
        <v>0.20180000000000001</v>
      </c>
      <c r="BP85" s="230">
        <v>16941000</v>
      </c>
      <c r="BQ85" s="230">
        <v>14694000</v>
      </c>
      <c r="BR85" s="230">
        <v>2247000</v>
      </c>
      <c r="BS85" s="229">
        <v>0.15290000000000001</v>
      </c>
      <c r="BT85" s="230">
        <v>1314161</v>
      </c>
      <c r="BU85" s="230">
        <v>2111453</v>
      </c>
      <c r="BV85" s="230">
        <v>-797292</v>
      </c>
      <c r="BW85" s="229">
        <v>-0.37759999999999999</v>
      </c>
      <c r="BX85" s="230">
        <v>15264000</v>
      </c>
      <c r="BY85" s="230">
        <v>15045600</v>
      </c>
      <c r="BZ85" s="230">
        <v>218400</v>
      </c>
      <c r="CA85" s="229">
        <v>1.4500000000000001E-2</v>
      </c>
      <c r="CB85" s="230">
        <v>14522400</v>
      </c>
      <c r="CC85" s="230">
        <v>14362500</v>
      </c>
      <c r="CD85" s="230">
        <v>159900</v>
      </c>
      <c r="CE85" s="229">
        <v>1.11E-2</v>
      </c>
      <c r="CF85" s="230">
        <v>701100</v>
      </c>
      <c r="CG85" s="230">
        <v>653700</v>
      </c>
      <c r="CH85" s="230">
        <v>47400</v>
      </c>
      <c r="CI85" s="229">
        <v>7.2499999999999995E-2</v>
      </c>
      <c r="CJ85" s="230">
        <v>40500</v>
      </c>
      <c r="CK85" s="230">
        <v>29400</v>
      </c>
      <c r="CL85" s="230">
        <v>11100</v>
      </c>
      <c r="CM85" s="229">
        <v>0.37759999999999999</v>
      </c>
      <c r="CN85" s="230">
        <v>7978200</v>
      </c>
      <c r="CO85" s="230">
        <v>7531800</v>
      </c>
      <c r="CP85" s="230">
        <v>446400</v>
      </c>
      <c r="CQ85" s="229">
        <v>5.9299999999999999E-2</v>
      </c>
      <c r="CR85" s="230">
        <v>4189500</v>
      </c>
      <c r="CS85" s="230">
        <v>4272000</v>
      </c>
      <c r="CT85" s="230">
        <v>-82500</v>
      </c>
      <c r="CU85" s="229">
        <v>-1.9300000000000001E-2</v>
      </c>
      <c r="CV85" s="230">
        <v>27431700</v>
      </c>
      <c r="CW85" s="230">
        <v>26849400</v>
      </c>
      <c r="CX85" s="230">
        <v>582300</v>
      </c>
      <c r="CY85" s="229">
        <v>2.1700000000000001E-2</v>
      </c>
      <c r="CZ85" s="228">
        <v>21.81</v>
      </c>
      <c r="DA85" s="228">
        <v>22.42</v>
      </c>
      <c r="DB85" s="228">
        <v>-0.61</v>
      </c>
      <c r="DC85" s="228">
        <v>-0.61</v>
      </c>
      <c r="DD85" s="228">
        <v>24.71</v>
      </c>
      <c r="DE85" s="228">
        <v>24.76</v>
      </c>
      <c r="DF85" s="228">
        <v>-2.9</v>
      </c>
      <c r="DG85" s="228">
        <v>-0.05</v>
      </c>
      <c r="DH85" s="228">
        <v>21.56</v>
      </c>
      <c r="DI85" s="228">
        <v>21.78</v>
      </c>
      <c r="DJ85" s="228">
        <v>-0.22</v>
      </c>
      <c r="DK85" s="228">
        <v>-0.22</v>
      </c>
      <c r="DL85" s="228">
        <v>22.26</v>
      </c>
      <c r="DM85" s="228">
        <v>23.59</v>
      </c>
      <c r="DN85" s="228">
        <v>-1.33</v>
      </c>
      <c r="DO85" s="228">
        <v>-1.33</v>
      </c>
      <c r="DP85" s="228">
        <v>0.53</v>
      </c>
      <c r="DQ85" s="228">
        <v>0.56999999999999995</v>
      </c>
      <c r="DR85" s="228">
        <v>-0.04</v>
      </c>
      <c r="DS85" s="229">
        <v>-7.0199999999999999E-2</v>
      </c>
      <c r="DT85" s="231">
        <v>2400</v>
      </c>
      <c r="DU85" s="231">
        <v>2300</v>
      </c>
      <c r="DV85" s="228">
        <v>0.56999999999999995</v>
      </c>
      <c r="DW85" s="228">
        <v>0.55000000000000004</v>
      </c>
      <c r="DX85" s="228">
        <v>0.02</v>
      </c>
      <c r="DY85" s="229">
        <v>3.6400000000000002E-2</v>
      </c>
      <c r="DZ85" s="229">
        <v>4.8599999999999997E-2</v>
      </c>
      <c r="EA85" s="230">
        <v>683100</v>
      </c>
      <c r="EB85" s="229">
        <v>-3.3E-3</v>
      </c>
      <c r="EC85" s="229">
        <v>4.8599999999999997E-2</v>
      </c>
      <c r="ED85" s="228">
        <v>-9.9700000000000006</v>
      </c>
      <c r="EE85" s="229">
        <v>-4.3E-3</v>
      </c>
      <c r="EF85" s="230">
        <v>626735</v>
      </c>
      <c r="EG85" s="230">
        <v>1329700</v>
      </c>
      <c r="EH85" s="229">
        <v>-0.52869999999999995</v>
      </c>
      <c r="EI85" s="229">
        <v>0.47689999999999999</v>
      </c>
      <c r="EJ85" s="231">
        <v>232521.14</v>
      </c>
      <c r="EK85" s="231">
        <v>126285.77</v>
      </c>
      <c r="EL85" s="231">
        <v>41181.85</v>
      </c>
      <c r="EM85" s="231">
        <v>15430</v>
      </c>
      <c r="EN85" s="231">
        <v>399988.76</v>
      </c>
      <c r="EO85" s="231">
        <v>347460.19</v>
      </c>
      <c r="EP85" s="231">
        <v>52528.57</v>
      </c>
      <c r="EQ85" s="229">
        <v>0.1512</v>
      </c>
      <c r="ER85" s="231">
        <v>192439</v>
      </c>
      <c r="ES85" s="231">
        <v>93314</v>
      </c>
      <c r="ET85" s="231">
        <v>355111</v>
      </c>
      <c r="EU85" s="231">
        <v>89517840</v>
      </c>
      <c r="EV85" s="231">
        <v>640863</v>
      </c>
      <c r="EW85" s="231">
        <v>628350</v>
      </c>
      <c r="EX85" s="231">
        <v>12513</v>
      </c>
      <c r="EY85" s="229">
        <v>1.9900000000000001E-2</v>
      </c>
      <c r="EZ85" s="229">
        <v>0.30640000000000001</v>
      </c>
      <c r="FA85" s="227" t="s">
        <v>566</v>
      </c>
      <c r="FB85" s="161">
        <f t="shared" si="1"/>
        <v>741600</v>
      </c>
    </row>
    <row r="86" spans="1:158" ht="17.25" thickBot="1" x14ac:dyDescent="0.3">
      <c r="A86" s="226">
        <v>46148</v>
      </c>
      <c r="B86" s="227" t="s">
        <v>227</v>
      </c>
      <c r="C86" s="227" t="s">
        <v>665</v>
      </c>
      <c r="D86" s="228">
        <v>1225</v>
      </c>
      <c r="E86" s="228">
        <v>638.95000000000005</v>
      </c>
      <c r="F86" s="228">
        <v>614.4</v>
      </c>
      <c r="G86" s="228">
        <v>24.55</v>
      </c>
      <c r="H86" s="229">
        <v>0.04</v>
      </c>
      <c r="I86" s="228">
        <v>634.6</v>
      </c>
      <c r="J86" s="228">
        <v>611.25</v>
      </c>
      <c r="K86" s="228">
        <v>23.35</v>
      </c>
      <c r="L86" s="229">
        <v>3.8199999999999998E-2</v>
      </c>
      <c r="M86" s="228">
        <v>638.95000000000005</v>
      </c>
      <c r="N86" s="228">
        <v>614.4</v>
      </c>
      <c r="O86" s="228">
        <v>24.55</v>
      </c>
      <c r="P86" s="229">
        <v>0.04</v>
      </c>
      <c r="Q86" s="228">
        <v>643.15</v>
      </c>
      <c r="R86" s="228">
        <v>618.4</v>
      </c>
      <c r="S86" s="228">
        <v>24.75</v>
      </c>
      <c r="T86" s="229">
        <v>0.04</v>
      </c>
      <c r="U86" s="228">
        <v>646.15</v>
      </c>
      <c r="V86" s="228">
        <v>621.6</v>
      </c>
      <c r="W86" s="228">
        <v>24.55</v>
      </c>
      <c r="X86" s="229">
        <v>3.95E-2</v>
      </c>
      <c r="Y86" s="228">
        <v>4.3499999999999996</v>
      </c>
      <c r="Z86" s="228">
        <v>3.15</v>
      </c>
      <c r="AA86" s="228">
        <v>1.2</v>
      </c>
      <c r="AB86" s="229">
        <v>6.8999999999999999E-3</v>
      </c>
      <c r="AC86" s="228">
        <v>4.3499999999999996</v>
      </c>
      <c r="AD86" s="228">
        <v>3.15</v>
      </c>
      <c r="AE86" s="228">
        <v>1.2</v>
      </c>
      <c r="AF86" s="229">
        <v>6.8999999999999999E-3</v>
      </c>
      <c r="AG86" s="228">
        <v>8.5500000000000007</v>
      </c>
      <c r="AH86" s="228">
        <v>7.15</v>
      </c>
      <c r="AI86" s="228">
        <v>1.4</v>
      </c>
      <c r="AJ86" s="229">
        <v>1.35E-2</v>
      </c>
      <c r="AK86" s="228">
        <v>11.55</v>
      </c>
      <c r="AL86" s="228">
        <v>10.35</v>
      </c>
      <c r="AM86" s="228">
        <v>1.2</v>
      </c>
      <c r="AN86" s="229">
        <v>1.8200000000000001E-2</v>
      </c>
      <c r="AO86" s="228">
        <v>633.07000000000005</v>
      </c>
      <c r="AP86" s="228">
        <v>638.80999999999995</v>
      </c>
      <c r="AQ86" s="228">
        <v>0</v>
      </c>
      <c r="AR86" s="230">
        <v>10269175</v>
      </c>
      <c r="AS86" s="230">
        <v>3841600</v>
      </c>
      <c r="AT86" s="230">
        <v>6427575</v>
      </c>
      <c r="AU86" s="229">
        <v>1.6732</v>
      </c>
      <c r="AV86" s="230">
        <v>9583175</v>
      </c>
      <c r="AW86" s="230">
        <v>3338125</v>
      </c>
      <c r="AX86" s="230">
        <v>6245050</v>
      </c>
      <c r="AY86" s="229">
        <v>1.8708</v>
      </c>
      <c r="AZ86" s="230">
        <v>597800</v>
      </c>
      <c r="BA86" s="230">
        <v>438550</v>
      </c>
      <c r="BB86" s="230">
        <v>159250</v>
      </c>
      <c r="BC86" s="229">
        <v>0.36309999999999998</v>
      </c>
      <c r="BD86" s="230">
        <v>88200</v>
      </c>
      <c r="BE86" s="230">
        <v>64925</v>
      </c>
      <c r="BF86" s="230">
        <v>23275</v>
      </c>
      <c r="BG86" s="229">
        <v>0.35849999999999999</v>
      </c>
      <c r="BH86" s="230">
        <v>52871000</v>
      </c>
      <c r="BI86" s="230">
        <v>15637125</v>
      </c>
      <c r="BJ86" s="230">
        <v>37233875</v>
      </c>
      <c r="BK86" s="229">
        <v>2.3811</v>
      </c>
      <c r="BL86" s="230">
        <v>25522875</v>
      </c>
      <c r="BM86" s="230">
        <v>10757950</v>
      </c>
      <c r="BN86" s="230">
        <v>14764925</v>
      </c>
      <c r="BO86" s="229">
        <v>1.3725000000000001</v>
      </c>
      <c r="BP86" s="230">
        <v>88663050</v>
      </c>
      <c r="BQ86" s="230">
        <v>30236675</v>
      </c>
      <c r="BR86" s="230">
        <v>58426375</v>
      </c>
      <c r="BS86" s="229">
        <v>1.9322999999999999</v>
      </c>
      <c r="BT86" s="230">
        <v>10506950</v>
      </c>
      <c r="BU86" s="230">
        <v>4781588</v>
      </c>
      <c r="BV86" s="230">
        <v>5725362</v>
      </c>
      <c r="BW86" s="229">
        <v>1.1974</v>
      </c>
      <c r="BX86" s="230">
        <v>36098300</v>
      </c>
      <c r="BY86" s="230">
        <v>34596450</v>
      </c>
      <c r="BZ86" s="230">
        <v>1501850</v>
      </c>
      <c r="CA86" s="229">
        <v>4.3400000000000001E-2</v>
      </c>
      <c r="CB86" s="230">
        <v>34836550</v>
      </c>
      <c r="CC86" s="230">
        <v>33451075</v>
      </c>
      <c r="CD86" s="230">
        <v>1385475</v>
      </c>
      <c r="CE86" s="229">
        <v>4.1399999999999999E-2</v>
      </c>
      <c r="CF86" s="230">
        <v>1115975</v>
      </c>
      <c r="CG86" s="230">
        <v>1031450</v>
      </c>
      <c r="CH86" s="230">
        <v>84525</v>
      </c>
      <c r="CI86" s="229">
        <v>8.1900000000000001E-2</v>
      </c>
      <c r="CJ86" s="230">
        <v>145775</v>
      </c>
      <c r="CK86" s="230">
        <v>113925</v>
      </c>
      <c r="CL86" s="230">
        <v>31850</v>
      </c>
      <c r="CM86" s="229">
        <v>0.27960000000000002</v>
      </c>
      <c r="CN86" s="230">
        <v>16944200</v>
      </c>
      <c r="CO86" s="230">
        <v>16413775</v>
      </c>
      <c r="CP86" s="230">
        <v>530425</v>
      </c>
      <c r="CQ86" s="229">
        <v>3.2300000000000002E-2</v>
      </c>
      <c r="CR86" s="230">
        <v>12436200</v>
      </c>
      <c r="CS86" s="230">
        <v>10803275</v>
      </c>
      <c r="CT86" s="230">
        <v>1632925</v>
      </c>
      <c r="CU86" s="229">
        <v>0.1512</v>
      </c>
      <c r="CV86" s="230">
        <v>65478700</v>
      </c>
      <c r="CW86" s="230">
        <v>61813500</v>
      </c>
      <c r="CX86" s="230">
        <v>3665200</v>
      </c>
      <c r="CY86" s="229">
        <v>5.9299999999999999E-2</v>
      </c>
      <c r="CZ86" s="228">
        <v>34.19</v>
      </c>
      <c r="DA86" s="228">
        <v>35.6</v>
      </c>
      <c r="DB86" s="228">
        <v>-1.41</v>
      </c>
      <c r="DC86" s="228">
        <v>-1.41</v>
      </c>
      <c r="DD86" s="228">
        <v>50.4</v>
      </c>
      <c r="DE86" s="228">
        <v>50.24</v>
      </c>
      <c r="DF86" s="228">
        <v>-16.21</v>
      </c>
      <c r="DG86" s="228">
        <v>0.16</v>
      </c>
      <c r="DH86" s="228">
        <v>33.75</v>
      </c>
      <c r="DI86" s="228">
        <v>35.299999999999997</v>
      </c>
      <c r="DJ86" s="228">
        <v>-1.55</v>
      </c>
      <c r="DK86" s="228">
        <v>-1.55</v>
      </c>
      <c r="DL86" s="228">
        <v>35.11</v>
      </c>
      <c r="DM86" s="228">
        <v>36.03</v>
      </c>
      <c r="DN86" s="228">
        <v>-0.92</v>
      </c>
      <c r="DO86" s="228">
        <v>-0.92</v>
      </c>
      <c r="DP86" s="228">
        <v>0.73</v>
      </c>
      <c r="DQ86" s="228">
        <v>0.66</v>
      </c>
      <c r="DR86" s="228">
        <v>7.0000000000000007E-2</v>
      </c>
      <c r="DS86" s="229">
        <v>0.1061</v>
      </c>
      <c r="DT86" s="228">
        <v>650</v>
      </c>
      <c r="DU86" s="228">
        <v>600</v>
      </c>
      <c r="DV86" s="228">
        <v>0.48</v>
      </c>
      <c r="DW86" s="228">
        <v>0.69</v>
      </c>
      <c r="DX86" s="228">
        <v>-0.21</v>
      </c>
      <c r="DY86" s="229">
        <v>-0.30430000000000001</v>
      </c>
      <c r="DZ86" s="229">
        <v>3.5000000000000003E-2</v>
      </c>
      <c r="EA86" s="230">
        <v>1145375</v>
      </c>
      <c r="EB86" s="229">
        <v>6.6E-3</v>
      </c>
      <c r="EC86" s="229">
        <v>3.5000000000000003E-2</v>
      </c>
      <c r="ED86" s="228">
        <v>5.74</v>
      </c>
      <c r="EE86" s="229">
        <v>9.1000000000000004E-3</v>
      </c>
      <c r="EF86" s="230">
        <v>5013100</v>
      </c>
      <c r="EG86" s="230">
        <v>2230515</v>
      </c>
      <c r="EH86" s="229">
        <v>1.2475000000000001</v>
      </c>
      <c r="EI86" s="229">
        <v>0.47710000000000002</v>
      </c>
      <c r="EJ86" s="231">
        <v>351383.09</v>
      </c>
      <c r="EK86" s="231">
        <v>155704.9</v>
      </c>
      <c r="EL86" s="231">
        <v>65051.3</v>
      </c>
      <c r="EM86" s="231">
        <v>4175</v>
      </c>
      <c r="EN86" s="231">
        <v>572139.29</v>
      </c>
      <c r="EO86" s="231">
        <v>189017.38</v>
      </c>
      <c r="EP86" s="231">
        <v>383121.91</v>
      </c>
      <c r="EQ86" s="229">
        <v>2.0268999999999999</v>
      </c>
      <c r="ER86" s="231">
        <v>108891</v>
      </c>
      <c r="ES86" s="231">
        <v>72979</v>
      </c>
      <c r="ET86" s="231">
        <v>230707</v>
      </c>
      <c r="EU86" s="231">
        <v>241870587</v>
      </c>
      <c r="EV86" s="231">
        <v>412578</v>
      </c>
      <c r="EW86" s="231">
        <v>379510</v>
      </c>
      <c r="EX86" s="231">
        <v>33068</v>
      </c>
      <c r="EY86" s="229">
        <v>8.7099999999999997E-2</v>
      </c>
      <c r="EZ86" s="229">
        <v>0.2707</v>
      </c>
      <c r="FA86" s="227" t="s">
        <v>555</v>
      </c>
      <c r="FB86" s="161">
        <f t="shared" si="1"/>
        <v>1261750</v>
      </c>
    </row>
    <row r="87" spans="1:158" ht="17.25" thickBot="1" x14ac:dyDescent="0.3">
      <c r="A87" s="226">
        <v>46148</v>
      </c>
      <c r="B87" s="227" t="s">
        <v>162</v>
      </c>
      <c r="C87" s="227" t="s">
        <v>692</v>
      </c>
      <c r="D87" s="228">
        <v>275</v>
      </c>
      <c r="E87" s="231">
        <v>1840.8</v>
      </c>
      <c r="F87" s="231">
        <v>1796.7</v>
      </c>
      <c r="G87" s="228">
        <v>44.1</v>
      </c>
      <c r="H87" s="229">
        <v>2.4500000000000001E-2</v>
      </c>
      <c r="I87" s="231">
        <v>1839.9</v>
      </c>
      <c r="J87" s="231">
        <v>1822.5</v>
      </c>
      <c r="K87" s="228">
        <v>17.399999999999999</v>
      </c>
      <c r="L87" s="229">
        <v>9.4999999999999998E-3</v>
      </c>
      <c r="M87" s="231">
        <v>1840.8</v>
      </c>
      <c r="N87" s="231">
        <v>1796.7</v>
      </c>
      <c r="O87" s="228">
        <v>44.1</v>
      </c>
      <c r="P87" s="229">
        <v>2.4500000000000001E-2</v>
      </c>
      <c r="Q87" s="231">
        <v>1805.6</v>
      </c>
      <c r="R87" s="231">
        <v>1760.8</v>
      </c>
      <c r="S87" s="228">
        <v>44.8</v>
      </c>
      <c r="T87" s="229">
        <v>2.5399999999999999E-2</v>
      </c>
      <c r="U87" s="231">
        <v>1781.6</v>
      </c>
      <c r="V87" s="231">
        <v>1736.1</v>
      </c>
      <c r="W87" s="228">
        <v>45.5</v>
      </c>
      <c r="X87" s="229">
        <v>2.6200000000000001E-2</v>
      </c>
      <c r="Y87" s="228">
        <v>0.9</v>
      </c>
      <c r="Z87" s="228">
        <v>-25.8</v>
      </c>
      <c r="AA87" s="228">
        <v>26.7</v>
      </c>
      <c r="AB87" s="229">
        <v>5.0000000000000001E-4</v>
      </c>
      <c r="AC87" s="228">
        <v>0.9</v>
      </c>
      <c r="AD87" s="228">
        <v>-25.8</v>
      </c>
      <c r="AE87" s="228">
        <v>26.7</v>
      </c>
      <c r="AF87" s="229">
        <v>5.0000000000000001E-4</v>
      </c>
      <c r="AG87" s="228">
        <v>-34.299999999999997</v>
      </c>
      <c r="AH87" s="228">
        <v>-61.7</v>
      </c>
      <c r="AI87" s="228">
        <v>27.4</v>
      </c>
      <c r="AJ87" s="229">
        <v>-1.8599999999999998E-2</v>
      </c>
      <c r="AK87" s="228">
        <v>-58.3</v>
      </c>
      <c r="AL87" s="228">
        <v>-86.4</v>
      </c>
      <c r="AM87" s="228">
        <v>28.1</v>
      </c>
      <c r="AN87" s="229">
        <v>-3.1699999999999999E-2</v>
      </c>
      <c r="AO87" s="231">
        <v>1822.07</v>
      </c>
      <c r="AP87" s="231">
        <v>1786.44</v>
      </c>
      <c r="AQ87" s="228">
        <v>0</v>
      </c>
      <c r="AR87" s="230">
        <v>1804550</v>
      </c>
      <c r="AS87" s="230">
        <v>2515975</v>
      </c>
      <c r="AT87" s="230">
        <v>-711425</v>
      </c>
      <c r="AU87" s="229">
        <v>-0.2828</v>
      </c>
      <c r="AV87" s="230">
        <v>1296075</v>
      </c>
      <c r="AW87" s="230">
        <v>1735800</v>
      </c>
      <c r="AX87" s="230">
        <v>-439725</v>
      </c>
      <c r="AY87" s="229">
        <v>-0.25330000000000003</v>
      </c>
      <c r="AZ87" s="230">
        <v>485100</v>
      </c>
      <c r="BA87" s="230">
        <v>748550</v>
      </c>
      <c r="BB87" s="230">
        <v>-263450</v>
      </c>
      <c r="BC87" s="229">
        <v>-0.35189999999999999</v>
      </c>
      <c r="BD87" s="230">
        <v>23375</v>
      </c>
      <c r="BE87" s="230">
        <v>31625</v>
      </c>
      <c r="BF87" s="230">
        <v>-8250</v>
      </c>
      <c r="BG87" s="229">
        <v>-0.26090000000000002</v>
      </c>
      <c r="BH87" s="230">
        <v>1378850</v>
      </c>
      <c r="BI87" s="230">
        <v>1788050</v>
      </c>
      <c r="BJ87" s="230">
        <v>-409200</v>
      </c>
      <c r="BK87" s="229">
        <v>-0.22889999999999999</v>
      </c>
      <c r="BL87" s="230">
        <v>515625</v>
      </c>
      <c r="BM87" s="230">
        <v>654500</v>
      </c>
      <c r="BN87" s="230">
        <v>-138875</v>
      </c>
      <c r="BO87" s="229">
        <v>-0.2122</v>
      </c>
      <c r="BP87" s="230">
        <v>3699025</v>
      </c>
      <c r="BQ87" s="230">
        <v>4958525</v>
      </c>
      <c r="BR87" s="230">
        <v>-1259500</v>
      </c>
      <c r="BS87" s="229">
        <v>-0.254</v>
      </c>
      <c r="BT87" s="230">
        <v>604937</v>
      </c>
      <c r="BU87" s="230">
        <v>685951</v>
      </c>
      <c r="BV87" s="230">
        <v>-81014</v>
      </c>
      <c r="BW87" s="229">
        <v>-0.1181</v>
      </c>
      <c r="BX87" s="230">
        <v>9603275</v>
      </c>
      <c r="BY87" s="230">
        <v>9469350</v>
      </c>
      <c r="BZ87" s="230">
        <v>133925</v>
      </c>
      <c r="CA87" s="229">
        <v>1.41E-2</v>
      </c>
      <c r="CB87" s="230">
        <v>8314625</v>
      </c>
      <c r="CC87" s="230">
        <v>8406200</v>
      </c>
      <c r="CD87" s="230">
        <v>-91575</v>
      </c>
      <c r="CE87" s="229">
        <v>-1.09E-2</v>
      </c>
      <c r="CF87" s="230">
        <v>1243550</v>
      </c>
      <c r="CG87" s="230">
        <v>1009250</v>
      </c>
      <c r="CH87" s="230">
        <v>234300</v>
      </c>
      <c r="CI87" s="229">
        <v>0.23219999999999999</v>
      </c>
      <c r="CJ87" s="230">
        <v>45100</v>
      </c>
      <c r="CK87" s="230">
        <v>53900</v>
      </c>
      <c r="CL87" s="230">
        <v>-8800</v>
      </c>
      <c r="CM87" s="229">
        <v>-0.1633</v>
      </c>
      <c r="CN87" s="230">
        <v>1122000</v>
      </c>
      <c r="CO87" s="230">
        <v>1162150</v>
      </c>
      <c r="CP87" s="230">
        <v>-40150</v>
      </c>
      <c r="CQ87" s="229">
        <v>-3.4500000000000003E-2</v>
      </c>
      <c r="CR87" s="230">
        <v>972950</v>
      </c>
      <c r="CS87" s="230">
        <v>842325</v>
      </c>
      <c r="CT87" s="230">
        <v>130625</v>
      </c>
      <c r="CU87" s="229">
        <v>0.15509999999999999</v>
      </c>
      <c r="CV87" s="230">
        <v>11698225</v>
      </c>
      <c r="CW87" s="230">
        <v>11473825</v>
      </c>
      <c r="CX87" s="230">
        <v>224400</v>
      </c>
      <c r="CY87" s="229">
        <v>1.9599999999999999E-2</v>
      </c>
      <c r="CZ87" s="228">
        <v>39.61</v>
      </c>
      <c r="DA87" s="228">
        <v>40.93</v>
      </c>
      <c r="DB87" s="228">
        <v>-1.32</v>
      </c>
      <c r="DC87" s="228">
        <v>-1.32</v>
      </c>
      <c r="DD87" s="228">
        <v>33.67</v>
      </c>
      <c r="DE87" s="228">
        <v>33.6</v>
      </c>
      <c r="DF87" s="228">
        <v>5.94</v>
      </c>
      <c r="DG87" s="228">
        <v>7.0000000000000007E-2</v>
      </c>
      <c r="DH87" s="228">
        <v>39.659999999999997</v>
      </c>
      <c r="DI87" s="228">
        <v>40.61</v>
      </c>
      <c r="DJ87" s="228">
        <v>-0.95</v>
      </c>
      <c r="DK87" s="228">
        <v>-0.95</v>
      </c>
      <c r="DL87" s="228">
        <v>39.46</v>
      </c>
      <c r="DM87" s="228">
        <v>41.8</v>
      </c>
      <c r="DN87" s="228">
        <v>-2.34</v>
      </c>
      <c r="DO87" s="228">
        <v>-2.34</v>
      </c>
      <c r="DP87" s="228">
        <v>0.87</v>
      </c>
      <c r="DQ87" s="228">
        <v>0.72</v>
      </c>
      <c r="DR87" s="228">
        <v>0.15</v>
      </c>
      <c r="DS87" s="229">
        <v>0.20830000000000001</v>
      </c>
      <c r="DT87" s="231">
        <v>1900</v>
      </c>
      <c r="DU87" s="231">
        <v>1740</v>
      </c>
      <c r="DV87" s="228">
        <v>0.37</v>
      </c>
      <c r="DW87" s="228">
        <v>0.37</v>
      </c>
      <c r="DX87" s="228">
        <v>0</v>
      </c>
      <c r="DY87" s="229">
        <v>0</v>
      </c>
      <c r="DZ87" s="229">
        <v>0.13420000000000001</v>
      </c>
      <c r="EA87" s="230">
        <v>1063150</v>
      </c>
      <c r="EB87" s="229">
        <v>-1.9099999999999999E-2</v>
      </c>
      <c r="EC87" s="229">
        <v>0.13420000000000001</v>
      </c>
      <c r="ED87" s="228">
        <v>-35.630000000000003</v>
      </c>
      <c r="EE87" s="229">
        <v>-1.9599999999999999E-2</v>
      </c>
      <c r="EF87" s="230">
        <v>282632</v>
      </c>
      <c r="EG87" s="230">
        <v>232609</v>
      </c>
      <c r="EH87" s="229">
        <v>0.21510000000000001</v>
      </c>
      <c r="EI87" s="229">
        <v>0.4672</v>
      </c>
      <c r="EJ87" s="231">
        <v>26858.18</v>
      </c>
      <c r="EK87" s="231">
        <v>9178.1</v>
      </c>
      <c r="EL87" s="231">
        <v>32693.78</v>
      </c>
      <c r="EM87" s="231">
        <v>5457</v>
      </c>
      <c r="EN87" s="231">
        <v>68730.06</v>
      </c>
      <c r="EO87" s="231">
        <v>91065.08</v>
      </c>
      <c r="EP87" s="231">
        <v>-22335.02</v>
      </c>
      <c r="EQ87" s="229">
        <v>-0.24529999999999999</v>
      </c>
      <c r="ER87" s="231">
        <v>21355</v>
      </c>
      <c r="ES87" s="231">
        <v>16903</v>
      </c>
      <c r="ET87" s="231">
        <v>176313</v>
      </c>
      <c r="EU87" s="231">
        <v>21329205</v>
      </c>
      <c r="EV87" s="231">
        <v>214570</v>
      </c>
      <c r="EW87" s="231">
        <v>206384</v>
      </c>
      <c r="EX87" s="231">
        <v>8186</v>
      </c>
      <c r="EY87" s="229">
        <v>3.9699999999999999E-2</v>
      </c>
      <c r="EZ87" s="229">
        <v>0.54849999999999999</v>
      </c>
      <c r="FA87" s="227" t="s">
        <v>555</v>
      </c>
      <c r="FB87" s="161">
        <f t="shared" si="1"/>
        <v>1288650</v>
      </c>
    </row>
    <row r="88" spans="1:158" ht="17.25" thickBot="1" x14ac:dyDescent="0.3">
      <c r="A88" s="226">
        <v>46148</v>
      </c>
      <c r="B88" s="227" t="s">
        <v>172</v>
      </c>
      <c r="C88" s="227" t="s">
        <v>232</v>
      </c>
      <c r="D88" s="228">
        <v>700</v>
      </c>
      <c r="E88" s="231">
        <v>1287.5999999999999</v>
      </c>
      <c r="F88" s="231">
        <v>1258.5</v>
      </c>
      <c r="G88" s="228">
        <v>29.1</v>
      </c>
      <c r="H88" s="229">
        <v>2.3099999999999999E-2</v>
      </c>
      <c r="I88" s="231">
        <v>1279.5</v>
      </c>
      <c r="J88" s="231">
        <v>1251.3</v>
      </c>
      <c r="K88" s="228">
        <v>28.2</v>
      </c>
      <c r="L88" s="229">
        <v>2.2499999999999999E-2</v>
      </c>
      <c r="M88" s="231">
        <v>1287.5999999999999</v>
      </c>
      <c r="N88" s="231">
        <v>1258.5</v>
      </c>
      <c r="O88" s="228">
        <v>29.1</v>
      </c>
      <c r="P88" s="229">
        <v>2.3099999999999999E-2</v>
      </c>
      <c r="Q88" s="231">
        <v>1294.5999999999999</v>
      </c>
      <c r="R88" s="231">
        <v>1266.4000000000001</v>
      </c>
      <c r="S88" s="228">
        <v>28.2</v>
      </c>
      <c r="T88" s="229">
        <v>2.23E-2</v>
      </c>
      <c r="U88" s="231">
        <v>1300.0999999999999</v>
      </c>
      <c r="V88" s="231">
        <v>1272.0999999999999</v>
      </c>
      <c r="W88" s="228">
        <v>28</v>
      </c>
      <c r="X88" s="229">
        <v>2.1999999999999999E-2</v>
      </c>
      <c r="Y88" s="228">
        <v>8.1</v>
      </c>
      <c r="Z88" s="228">
        <v>7.2</v>
      </c>
      <c r="AA88" s="228">
        <v>0.9</v>
      </c>
      <c r="AB88" s="229">
        <v>6.3E-3</v>
      </c>
      <c r="AC88" s="228">
        <v>8.1</v>
      </c>
      <c r="AD88" s="228">
        <v>7.2</v>
      </c>
      <c r="AE88" s="228">
        <v>0.9</v>
      </c>
      <c r="AF88" s="229">
        <v>6.3E-3</v>
      </c>
      <c r="AG88" s="228">
        <v>15.1</v>
      </c>
      <c r="AH88" s="228">
        <v>15.1</v>
      </c>
      <c r="AI88" s="228">
        <v>0</v>
      </c>
      <c r="AJ88" s="229">
        <v>1.18E-2</v>
      </c>
      <c r="AK88" s="228">
        <v>20.6</v>
      </c>
      <c r="AL88" s="228">
        <v>20.8</v>
      </c>
      <c r="AM88" s="228">
        <v>-0.2</v>
      </c>
      <c r="AN88" s="229">
        <v>1.61E-2</v>
      </c>
      <c r="AO88" s="231">
        <v>1276.31</v>
      </c>
      <c r="AP88" s="231">
        <v>1278.54</v>
      </c>
      <c r="AQ88" s="228">
        <v>0</v>
      </c>
      <c r="AR88" s="230">
        <v>22584100</v>
      </c>
      <c r="AS88" s="230">
        <v>15509200</v>
      </c>
      <c r="AT88" s="230">
        <v>7074900</v>
      </c>
      <c r="AU88" s="229">
        <v>0.45619999999999999</v>
      </c>
      <c r="AV88" s="230">
        <v>20822900</v>
      </c>
      <c r="AW88" s="230">
        <v>12901000</v>
      </c>
      <c r="AX88" s="230">
        <v>7921900</v>
      </c>
      <c r="AY88" s="229">
        <v>0.61409999999999998</v>
      </c>
      <c r="AZ88" s="230">
        <v>1617000</v>
      </c>
      <c r="BA88" s="230">
        <v>2480100</v>
      </c>
      <c r="BB88" s="230">
        <v>-863100</v>
      </c>
      <c r="BC88" s="229">
        <v>-0.34799999999999998</v>
      </c>
      <c r="BD88" s="230">
        <v>144200</v>
      </c>
      <c r="BE88" s="230">
        <v>128100</v>
      </c>
      <c r="BF88" s="230">
        <v>16100</v>
      </c>
      <c r="BG88" s="229">
        <v>0.12570000000000001</v>
      </c>
      <c r="BH88" s="230">
        <v>51116100</v>
      </c>
      <c r="BI88" s="230">
        <v>35635600</v>
      </c>
      <c r="BJ88" s="230">
        <v>15480500</v>
      </c>
      <c r="BK88" s="229">
        <v>0.43440000000000001</v>
      </c>
      <c r="BL88" s="230">
        <v>30157400</v>
      </c>
      <c r="BM88" s="230">
        <v>19549600</v>
      </c>
      <c r="BN88" s="230">
        <v>10607800</v>
      </c>
      <c r="BO88" s="229">
        <v>0.54259999999999997</v>
      </c>
      <c r="BP88" s="230">
        <v>103857600</v>
      </c>
      <c r="BQ88" s="230">
        <v>70694400</v>
      </c>
      <c r="BR88" s="230">
        <v>33163200</v>
      </c>
      <c r="BS88" s="229">
        <v>0.46910000000000002</v>
      </c>
      <c r="BT88" s="230">
        <v>23263829</v>
      </c>
      <c r="BU88" s="230">
        <v>24769974</v>
      </c>
      <c r="BV88" s="230">
        <v>-1506145</v>
      </c>
      <c r="BW88" s="229">
        <v>-6.08E-2</v>
      </c>
      <c r="BX88" s="230">
        <v>151484900</v>
      </c>
      <c r="BY88" s="230">
        <v>146106800</v>
      </c>
      <c r="BZ88" s="230">
        <v>5378100</v>
      </c>
      <c r="CA88" s="229">
        <v>3.6799999999999999E-2</v>
      </c>
      <c r="CB88" s="230">
        <v>121345700</v>
      </c>
      <c r="CC88" s="230">
        <v>117162500</v>
      </c>
      <c r="CD88" s="230">
        <v>4183200</v>
      </c>
      <c r="CE88" s="229">
        <v>3.5700000000000003E-2</v>
      </c>
      <c r="CF88" s="230">
        <v>29809500</v>
      </c>
      <c r="CG88" s="230">
        <v>28654500</v>
      </c>
      <c r="CH88" s="230">
        <v>1155000</v>
      </c>
      <c r="CI88" s="229">
        <v>4.0300000000000002E-2</v>
      </c>
      <c r="CJ88" s="230">
        <v>329700</v>
      </c>
      <c r="CK88" s="230">
        <v>289800</v>
      </c>
      <c r="CL88" s="230">
        <v>39900</v>
      </c>
      <c r="CM88" s="229">
        <v>0.13769999999999999</v>
      </c>
      <c r="CN88" s="230">
        <v>35566300</v>
      </c>
      <c r="CO88" s="230">
        <v>36150100</v>
      </c>
      <c r="CP88" s="230">
        <v>-583800</v>
      </c>
      <c r="CQ88" s="229">
        <v>-1.61E-2</v>
      </c>
      <c r="CR88" s="230">
        <v>21476700</v>
      </c>
      <c r="CS88" s="230">
        <v>21029400</v>
      </c>
      <c r="CT88" s="230">
        <v>447300</v>
      </c>
      <c r="CU88" s="229">
        <v>2.1299999999999999E-2</v>
      </c>
      <c r="CV88" s="230">
        <v>208527900</v>
      </c>
      <c r="CW88" s="230">
        <v>203286300</v>
      </c>
      <c r="CX88" s="230">
        <v>5241600</v>
      </c>
      <c r="CY88" s="229">
        <v>2.58E-2</v>
      </c>
      <c r="CZ88" s="228">
        <v>21.19</v>
      </c>
      <c r="DA88" s="228">
        <v>22.44</v>
      </c>
      <c r="DB88" s="228">
        <v>-1.25</v>
      </c>
      <c r="DC88" s="228">
        <v>-1.25</v>
      </c>
      <c r="DD88" s="228">
        <v>24.19</v>
      </c>
      <c r="DE88" s="228">
        <v>24.07</v>
      </c>
      <c r="DF88" s="228">
        <v>-3</v>
      </c>
      <c r="DG88" s="228">
        <v>0.12</v>
      </c>
      <c r="DH88" s="228">
        <v>21.24</v>
      </c>
      <c r="DI88" s="228">
        <v>22.55</v>
      </c>
      <c r="DJ88" s="228">
        <v>-1.31</v>
      </c>
      <c r="DK88" s="228">
        <v>-1.31</v>
      </c>
      <c r="DL88" s="228">
        <v>21.11</v>
      </c>
      <c r="DM88" s="228">
        <v>22.24</v>
      </c>
      <c r="DN88" s="228">
        <v>-1.1299999999999999</v>
      </c>
      <c r="DO88" s="228">
        <v>-1.1299999999999999</v>
      </c>
      <c r="DP88" s="228">
        <v>0.6</v>
      </c>
      <c r="DQ88" s="228">
        <v>0.57999999999999996</v>
      </c>
      <c r="DR88" s="228">
        <v>0.02</v>
      </c>
      <c r="DS88" s="229">
        <v>3.4500000000000003E-2</v>
      </c>
      <c r="DT88" s="231">
        <v>1300</v>
      </c>
      <c r="DU88" s="231">
        <v>1300</v>
      </c>
      <c r="DV88" s="228">
        <v>0.59</v>
      </c>
      <c r="DW88" s="228">
        <v>0.55000000000000004</v>
      </c>
      <c r="DX88" s="228">
        <v>0.04</v>
      </c>
      <c r="DY88" s="229">
        <v>7.2700000000000001E-2</v>
      </c>
      <c r="DZ88" s="229">
        <v>0.19900000000000001</v>
      </c>
      <c r="EA88" s="230">
        <v>28944300</v>
      </c>
      <c r="EB88" s="229">
        <v>5.4000000000000003E-3</v>
      </c>
      <c r="EC88" s="229">
        <v>0.19900000000000001</v>
      </c>
      <c r="ED88" s="228">
        <v>2.23</v>
      </c>
      <c r="EE88" s="229">
        <v>1.6999999999999999E-3</v>
      </c>
      <c r="EF88" s="230">
        <v>14542634</v>
      </c>
      <c r="EG88" s="230">
        <v>12647914</v>
      </c>
      <c r="EH88" s="229">
        <v>0.14979999999999999</v>
      </c>
      <c r="EI88" s="229">
        <v>0.62509999999999999</v>
      </c>
      <c r="EJ88" s="231">
        <v>678842.35</v>
      </c>
      <c r="EK88" s="231">
        <v>381071.99</v>
      </c>
      <c r="EL88" s="231">
        <v>288295.49</v>
      </c>
      <c r="EM88" s="231">
        <v>18314</v>
      </c>
      <c r="EN88" s="231">
        <v>1348209.83</v>
      </c>
      <c r="EO88" s="231">
        <v>911863.7</v>
      </c>
      <c r="EP88" s="231">
        <v>436346.13</v>
      </c>
      <c r="EQ88" s="229">
        <v>0.47849999999999998</v>
      </c>
      <c r="ER88" s="231">
        <v>480621</v>
      </c>
      <c r="ES88" s="231">
        <v>274976</v>
      </c>
      <c r="ET88" s="231">
        <v>1952647</v>
      </c>
      <c r="EU88" s="231">
        <v>668616020</v>
      </c>
      <c r="EV88" s="231">
        <v>2708245</v>
      </c>
      <c r="EW88" s="231">
        <v>2598370</v>
      </c>
      <c r="EX88" s="231">
        <v>109875</v>
      </c>
      <c r="EY88" s="229">
        <v>4.2299999999999997E-2</v>
      </c>
      <c r="EZ88" s="229">
        <v>0.31190000000000001</v>
      </c>
      <c r="FA88" s="227" t="s">
        <v>555</v>
      </c>
      <c r="FB88" s="161">
        <f t="shared" si="1"/>
        <v>30139200</v>
      </c>
    </row>
    <row r="89" spans="1:158" ht="17.25" thickBot="1" x14ac:dyDescent="0.3">
      <c r="A89" s="226">
        <v>46148</v>
      </c>
      <c r="B89" s="227" t="s">
        <v>175</v>
      </c>
      <c r="C89" s="227" t="s">
        <v>472</v>
      </c>
      <c r="D89" s="228">
        <v>325</v>
      </c>
      <c r="E89" s="231">
        <v>1816.5</v>
      </c>
      <c r="F89" s="231">
        <v>1780.1</v>
      </c>
      <c r="G89" s="228">
        <v>36.4</v>
      </c>
      <c r="H89" s="229">
        <v>2.0400000000000001E-2</v>
      </c>
      <c r="I89" s="231">
        <v>1809.9</v>
      </c>
      <c r="J89" s="231">
        <v>1776.9</v>
      </c>
      <c r="K89" s="228">
        <v>33</v>
      </c>
      <c r="L89" s="229">
        <v>1.8599999999999998E-2</v>
      </c>
      <c r="M89" s="231">
        <v>1816.5</v>
      </c>
      <c r="N89" s="231">
        <v>1780.1</v>
      </c>
      <c r="O89" s="228">
        <v>36.4</v>
      </c>
      <c r="P89" s="229">
        <v>2.0400000000000001E-2</v>
      </c>
      <c r="Q89" s="231">
        <v>1823.8</v>
      </c>
      <c r="R89" s="231">
        <v>1789.8</v>
      </c>
      <c r="S89" s="228">
        <v>34</v>
      </c>
      <c r="T89" s="229">
        <v>1.9E-2</v>
      </c>
      <c r="U89" s="231">
        <v>1834</v>
      </c>
      <c r="V89" s="231">
        <v>1779.6</v>
      </c>
      <c r="W89" s="228">
        <v>54.4</v>
      </c>
      <c r="X89" s="229">
        <v>3.0599999999999999E-2</v>
      </c>
      <c r="Y89" s="228">
        <v>6.6</v>
      </c>
      <c r="Z89" s="228">
        <v>3.2</v>
      </c>
      <c r="AA89" s="228">
        <v>3.4</v>
      </c>
      <c r="AB89" s="229">
        <v>3.5999999999999999E-3</v>
      </c>
      <c r="AC89" s="228">
        <v>6.6</v>
      </c>
      <c r="AD89" s="228">
        <v>3.2</v>
      </c>
      <c r="AE89" s="228">
        <v>3.4</v>
      </c>
      <c r="AF89" s="229">
        <v>3.5999999999999999E-3</v>
      </c>
      <c r="AG89" s="228">
        <v>13.9</v>
      </c>
      <c r="AH89" s="228">
        <v>12.9</v>
      </c>
      <c r="AI89" s="228">
        <v>1</v>
      </c>
      <c r="AJ89" s="229">
        <v>7.7000000000000002E-3</v>
      </c>
      <c r="AK89" s="228">
        <v>24.1</v>
      </c>
      <c r="AL89" s="228">
        <v>2.7</v>
      </c>
      <c r="AM89" s="228">
        <v>21.4</v>
      </c>
      <c r="AN89" s="229">
        <v>1.3299999999999999E-2</v>
      </c>
      <c r="AO89" s="231">
        <v>1812.74</v>
      </c>
      <c r="AP89" s="231">
        <v>1815.75</v>
      </c>
      <c r="AQ89" s="228">
        <v>0</v>
      </c>
      <c r="AR89" s="230">
        <v>577850</v>
      </c>
      <c r="AS89" s="230">
        <v>306150</v>
      </c>
      <c r="AT89" s="230">
        <v>271700</v>
      </c>
      <c r="AU89" s="229">
        <v>0.88749999999999996</v>
      </c>
      <c r="AV89" s="230">
        <v>560300</v>
      </c>
      <c r="AW89" s="230">
        <v>299650</v>
      </c>
      <c r="AX89" s="230">
        <v>260650</v>
      </c>
      <c r="AY89" s="229">
        <v>0.86980000000000002</v>
      </c>
      <c r="AZ89" s="230">
        <v>16575</v>
      </c>
      <c r="BA89" s="230">
        <v>6500</v>
      </c>
      <c r="BB89" s="230">
        <v>10075</v>
      </c>
      <c r="BC89" s="229">
        <v>1.55</v>
      </c>
      <c r="BD89" s="228">
        <v>975</v>
      </c>
      <c r="BE89" s="228">
        <v>0</v>
      </c>
      <c r="BF89" s="228">
        <v>975</v>
      </c>
      <c r="BG89" s="229">
        <v>0</v>
      </c>
      <c r="BH89" s="230">
        <v>1617850</v>
      </c>
      <c r="BI89" s="230">
        <v>845325</v>
      </c>
      <c r="BJ89" s="230">
        <v>772525</v>
      </c>
      <c r="BK89" s="229">
        <v>0.91390000000000005</v>
      </c>
      <c r="BL89" s="230">
        <v>568750</v>
      </c>
      <c r="BM89" s="230">
        <v>267475</v>
      </c>
      <c r="BN89" s="230">
        <v>301275</v>
      </c>
      <c r="BO89" s="229">
        <v>1.1264000000000001</v>
      </c>
      <c r="BP89" s="230">
        <v>2764450</v>
      </c>
      <c r="BQ89" s="230">
        <v>1418950</v>
      </c>
      <c r="BR89" s="230">
        <v>1345500</v>
      </c>
      <c r="BS89" s="229">
        <v>0.94820000000000004</v>
      </c>
      <c r="BT89" s="230">
        <v>1379849</v>
      </c>
      <c r="BU89" s="230">
        <v>515031</v>
      </c>
      <c r="BV89" s="230">
        <v>864818</v>
      </c>
      <c r="BW89" s="229">
        <v>1.6792</v>
      </c>
      <c r="BX89" s="230">
        <v>5263050</v>
      </c>
      <c r="BY89" s="230">
        <v>5309850</v>
      </c>
      <c r="BZ89" s="230">
        <v>-46800</v>
      </c>
      <c r="CA89" s="229">
        <v>-8.8000000000000005E-3</v>
      </c>
      <c r="CB89" s="230">
        <v>4961125</v>
      </c>
      <c r="CC89" s="230">
        <v>5007925</v>
      </c>
      <c r="CD89" s="230">
        <v>-46800</v>
      </c>
      <c r="CE89" s="229">
        <v>-9.2999999999999992E-3</v>
      </c>
      <c r="CF89" s="230">
        <v>299000</v>
      </c>
      <c r="CG89" s="230">
        <v>299000</v>
      </c>
      <c r="CH89" s="228">
        <v>0</v>
      </c>
      <c r="CI89" s="229">
        <v>0</v>
      </c>
      <c r="CJ89" s="230">
        <v>2925</v>
      </c>
      <c r="CK89" s="230">
        <v>2925</v>
      </c>
      <c r="CL89" s="228">
        <v>0</v>
      </c>
      <c r="CM89" s="229">
        <v>0</v>
      </c>
      <c r="CN89" s="230">
        <v>788450</v>
      </c>
      <c r="CO89" s="230">
        <v>673725</v>
      </c>
      <c r="CP89" s="230">
        <v>114725</v>
      </c>
      <c r="CQ89" s="229">
        <v>0.17030000000000001</v>
      </c>
      <c r="CR89" s="230">
        <v>362375</v>
      </c>
      <c r="CS89" s="230">
        <v>335725</v>
      </c>
      <c r="CT89" s="230">
        <v>26650</v>
      </c>
      <c r="CU89" s="229">
        <v>7.9399999999999998E-2</v>
      </c>
      <c r="CV89" s="230">
        <v>6413875</v>
      </c>
      <c r="CW89" s="230">
        <v>6319300</v>
      </c>
      <c r="CX89" s="230">
        <v>94575</v>
      </c>
      <c r="CY89" s="229">
        <v>1.4999999999999999E-2</v>
      </c>
      <c r="CZ89" s="228">
        <v>23.33</v>
      </c>
      <c r="DA89" s="228">
        <v>22.55</v>
      </c>
      <c r="DB89" s="228">
        <v>0.78</v>
      </c>
      <c r="DC89" s="228">
        <v>0.78</v>
      </c>
      <c r="DD89" s="228">
        <v>26.88</v>
      </c>
      <c r="DE89" s="228">
        <v>26.83</v>
      </c>
      <c r="DF89" s="228">
        <v>-3.55</v>
      </c>
      <c r="DG89" s="228">
        <v>0.05</v>
      </c>
      <c r="DH89" s="228">
        <v>23.26</v>
      </c>
      <c r="DI89" s="228">
        <v>22.4</v>
      </c>
      <c r="DJ89" s="228">
        <v>0.86</v>
      </c>
      <c r="DK89" s="228">
        <v>0.86</v>
      </c>
      <c r="DL89" s="228">
        <v>23.51</v>
      </c>
      <c r="DM89" s="228">
        <v>23</v>
      </c>
      <c r="DN89" s="228">
        <v>0.51</v>
      </c>
      <c r="DO89" s="228">
        <v>0.51</v>
      </c>
      <c r="DP89" s="228">
        <v>0.46</v>
      </c>
      <c r="DQ89" s="228">
        <v>0.5</v>
      </c>
      <c r="DR89" s="228">
        <v>-0.04</v>
      </c>
      <c r="DS89" s="229">
        <v>-0.08</v>
      </c>
      <c r="DT89" s="231">
        <v>1900</v>
      </c>
      <c r="DU89" s="231">
        <v>1700</v>
      </c>
      <c r="DV89" s="228">
        <v>0.35</v>
      </c>
      <c r="DW89" s="228">
        <v>0.32</v>
      </c>
      <c r="DX89" s="228">
        <v>0.03</v>
      </c>
      <c r="DY89" s="229">
        <v>9.3700000000000006E-2</v>
      </c>
      <c r="DZ89" s="229">
        <v>5.74E-2</v>
      </c>
      <c r="EA89" s="230">
        <v>301925</v>
      </c>
      <c r="EB89" s="229">
        <v>4.0000000000000001E-3</v>
      </c>
      <c r="EC89" s="229">
        <v>5.74E-2</v>
      </c>
      <c r="ED89" s="228">
        <v>3.01</v>
      </c>
      <c r="EE89" s="229">
        <v>1.6999999999999999E-3</v>
      </c>
      <c r="EF89" s="230">
        <v>1079532</v>
      </c>
      <c r="EG89" s="230">
        <v>273948</v>
      </c>
      <c r="EH89" s="229">
        <v>2.9405999999999999</v>
      </c>
      <c r="EI89" s="229">
        <v>0.78239999999999998</v>
      </c>
      <c r="EJ89" s="231">
        <v>30365.040000000001</v>
      </c>
      <c r="EK89" s="231">
        <v>10141.36</v>
      </c>
      <c r="EL89" s="231">
        <v>10475.51</v>
      </c>
      <c r="EM89" s="228">
        <v>970</v>
      </c>
      <c r="EN89" s="231">
        <v>50981.91</v>
      </c>
      <c r="EO89" s="231">
        <v>25861.95</v>
      </c>
      <c r="EP89" s="231">
        <v>25119.96</v>
      </c>
      <c r="EQ89" s="229">
        <v>0.97130000000000005</v>
      </c>
      <c r="ER89" s="231">
        <v>14846</v>
      </c>
      <c r="ES89" s="231">
        <v>6341</v>
      </c>
      <c r="ET89" s="231">
        <v>95626</v>
      </c>
      <c r="EU89" s="231">
        <v>27086521</v>
      </c>
      <c r="EV89" s="231">
        <v>116812</v>
      </c>
      <c r="EW89" s="231">
        <v>113015</v>
      </c>
      <c r="EX89" s="231">
        <v>3797</v>
      </c>
      <c r="EY89" s="229">
        <v>3.3599999999999998E-2</v>
      </c>
      <c r="EZ89" s="229">
        <v>0.23680000000000001</v>
      </c>
      <c r="FA89" s="227" t="s">
        <v>691</v>
      </c>
      <c r="FB89" s="161">
        <f t="shared" si="1"/>
        <v>301925</v>
      </c>
    </row>
    <row r="90" spans="1:158" ht="17.25" thickBot="1" x14ac:dyDescent="0.3">
      <c r="A90" s="226">
        <v>46148</v>
      </c>
      <c r="B90" s="227" t="s">
        <v>175</v>
      </c>
      <c r="C90" s="227" t="s">
        <v>233</v>
      </c>
      <c r="D90" s="228">
        <v>925</v>
      </c>
      <c r="E90" s="228">
        <v>552.65</v>
      </c>
      <c r="F90" s="228">
        <v>538.85</v>
      </c>
      <c r="G90" s="228">
        <v>13.8</v>
      </c>
      <c r="H90" s="229">
        <v>2.5600000000000001E-2</v>
      </c>
      <c r="I90" s="228">
        <v>550.1</v>
      </c>
      <c r="J90" s="228">
        <v>537.35</v>
      </c>
      <c r="K90" s="228">
        <v>12.75</v>
      </c>
      <c r="L90" s="229">
        <v>2.3699999999999999E-2</v>
      </c>
      <c r="M90" s="228">
        <v>552.65</v>
      </c>
      <c r="N90" s="228">
        <v>538.85</v>
      </c>
      <c r="O90" s="228">
        <v>13.8</v>
      </c>
      <c r="P90" s="229">
        <v>2.5600000000000001E-2</v>
      </c>
      <c r="Q90" s="228">
        <v>555.4</v>
      </c>
      <c r="R90" s="228">
        <v>540.6</v>
      </c>
      <c r="S90" s="228">
        <v>14.8</v>
      </c>
      <c r="T90" s="229">
        <v>2.7400000000000001E-2</v>
      </c>
      <c r="U90" s="228">
        <v>556.35</v>
      </c>
      <c r="V90" s="228">
        <v>546.15</v>
      </c>
      <c r="W90" s="228">
        <v>10.199999999999999</v>
      </c>
      <c r="X90" s="229">
        <v>1.8700000000000001E-2</v>
      </c>
      <c r="Y90" s="228">
        <v>2.5499999999999998</v>
      </c>
      <c r="Z90" s="228">
        <v>1.5</v>
      </c>
      <c r="AA90" s="228">
        <v>1.05</v>
      </c>
      <c r="AB90" s="229">
        <v>4.5999999999999999E-3</v>
      </c>
      <c r="AC90" s="228">
        <v>2.5499999999999998</v>
      </c>
      <c r="AD90" s="228">
        <v>1.5</v>
      </c>
      <c r="AE90" s="228">
        <v>1.05</v>
      </c>
      <c r="AF90" s="229">
        <v>4.5999999999999999E-3</v>
      </c>
      <c r="AG90" s="228">
        <v>5.3</v>
      </c>
      <c r="AH90" s="228">
        <v>3.25</v>
      </c>
      <c r="AI90" s="228">
        <v>2.0499999999999998</v>
      </c>
      <c r="AJ90" s="229">
        <v>9.5999999999999992E-3</v>
      </c>
      <c r="AK90" s="228">
        <v>6.25</v>
      </c>
      <c r="AL90" s="228">
        <v>8.8000000000000007</v>
      </c>
      <c r="AM90" s="228">
        <v>-2.5499999999999998</v>
      </c>
      <c r="AN90" s="229">
        <v>1.14E-2</v>
      </c>
      <c r="AO90" s="228">
        <v>548.86</v>
      </c>
      <c r="AP90" s="228">
        <v>551.63</v>
      </c>
      <c r="AQ90" s="228">
        <v>0</v>
      </c>
      <c r="AR90" s="230">
        <v>2827725</v>
      </c>
      <c r="AS90" s="230">
        <v>1601175</v>
      </c>
      <c r="AT90" s="230">
        <v>1226550</v>
      </c>
      <c r="AU90" s="229">
        <v>0.76600000000000001</v>
      </c>
      <c r="AV90" s="230">
        <v>2750025</v>
      </c>
      <c r="AW90" s="230">
        <v>1544750</v>
      </c>
      <c r="AX90" s="230">
        <v>1205275</v>
      </c>
      <c r="AY90" s="229">
        <v>0.7802</v>
      </c>
      <c r="AZ90" s="230">
        <v>75850</v>
      </c>
      <c r="BA90" s="230">
        <v>51800</v>
      </c>
      <c r="BB90" s="230">
        <v>24050</v>
      </c>
      <c r="BC90" s="229">
        <v>0.46429999999999999</v>
      </c>
      <c r="BD90" s="230">
        <v>1850</v>
      </c>
      <c r="BE90" s="230">
        <v>4625</v>
      </c>
      <c r="BF90" s="230">
        <v>-2775</v>
      </c>
      <c r="BG90" s="229">
        <v>-0.6</v>
      </c>
      <c r="BH90" s="230">
        <v>4995000</v>
      </c>
      <c r="BI90" s="230">
        <v>5351125</v>
      </c>
      <c r="BJ90" s="230">
        <v>-356125</v>
      </c>
      <c r="BK90" s="229">
        <v>-6.6600000000000006E-2</v>
      </c>
      <c r="BL90" s="230">
        <v>3325375</v>
      </c>
      <c r="BM90" s="230">
        <v>3453950</v>
      </c>
      <c r="BN90" s="230">
        <v>-128575</v>
      </c>
      <c r="BO90" s="229">
        <v>-3.7199999999999997E-2</v>
      </c>
      <c r="BP90" s="230">
        <v>11148100</v>
      </c>
      <c r="BQ90" s="230">
        <v>10406250</v>
      </c>
      <c r="BR90" s="230">
        <v>741850</v>
      </c>
      <c r="BS90" s="229">
        <v>7.1300000000000002E-2</v>
      </c>
      <c r="BT90" s="230">
        <v>2535091</v>
      </c>
      <c r="BU90" s="230">
        <v>859265</v>
      </c>
      <c r="BV90" s="230">
        <v>1675826</v>
      </c>
      <c r="BW90" s="229">
        <v>1.9502999999999999</v>
      </c>
      <c r="BX90" s="230">
        <v>20437875</v>
      </c>
      <c r="BY90" s="230">
        <v>20615475</v>
      </c>
      <c r="BZ90" s="230">
        <v>-177600</v>
      </c>
      <c r="CA90" s="229">
        <v>-8.6E-3</v>
      </c>
      <c r="CB90" s="230">
        <v>20188125</v>
      </c>
      <c r="CC90" s="230">
        <v>20379600</v>
      </c>
      <c r="CD90" s="230">
        <v>-191475</v>
      </c>
      <c r="CE90" s="229">
        <v>-9.4000000000000004E-3</v>
      </c>
      <c r="CF90" s="230">
        <v>239575</v>
      </c>
      <c r="CG90" s="230">
        <v>223850</v>
      </c>
      <c r="CH90" s="230">
        <v>15725</v>
      </c>
      <c r="CI90" s="229">
        <v>7.0199999999999999E-2</v>
      </c>
      <c r="CJ90" s="230">
        <v>10175</v>
      </c>
      <c r="CK90" s="230">
        <v>12025</v>
      </c>
      <c r="CL90" s="230">
        <v>-1850</v>
      </c>
      <c r="CM90" s="229">
        <v>-0.15379999999999999</v>
      </c>
      <c r="CN90" s="230">
        <v>4421500</v>
      </c>
      <c r="CO90" s="230">
        <v>4646275</v>
      </c>
      <c r="CP90" s="230">
        <v>-224775</v>
      </c>
      <c r="CQ90" s="229">
        <v>-4.8399999999999999E-2</v>
      </c>
      <c r="CR90" s="230">
        <v>3703700</v>
      </c>
      <c r="CS90" s="230">
        <v>3539050</v>
      </c>
      <c r="CT90" s="230">
        <v>164650</v>
      </c>
      <c r="CU90" s="229">
        <v>4.65E-2</v>
      </c>
      <c r="CV90" s="230">
        <v>28563075</v>
      </c>
      <c r="CW90" s="230">
        <v>28800800</v>
      </c>
      <c r="CX90" s="230">
        <v>-237725</v>
      </c>
      <c r="CY90" s="229">
        <v>-8.3000000000000001E-3</v>
      </c>
      <c r="CZ90" s="228">
        <v>27.91</v>
      </c>
      <c r="DA90" s="228">
        <v>28.01</v>
      </c>
      <c r="DB90" s="228">
        <v>-0.1</v>
      </c>
      <c r="DC90" s="228">
        <v>-0.1</v>
      </c>
      <c r="DD90" s="228">
        <v>29.69</v>
      </c>
      <c r="DE90" s="228">
        <v>29.56</v>
      </c>
      <c r="DF90" s="228">
        <v>-1.78</v>
      </c>
      <c r="DG90" s="228">
        <v>0.13</v>
      </c>
      <c r="DH90" s="228">
        <v>27.18</v>
      </c>
      <c r="DI90" s="228">
        <v>27.56</v>
      </c>
      <c r="DJ90" s="228">
        <v>-0.38</v>
      </c>
      <c r="DK90" s="228">
        <v>-0.38</v>
      </c>
      <c r="DL90" s="228">
        <v>29.02</v>
      </c>
      <c r="DM90" s="228">
        <v>28.69</v>
      </c>
      <c r="DN90" s="228">
        <v>0.33</v>
      </c>
      <c r="DO90" s="228">
        <v>0.33</v>
      </c>
      <c r="DP90" s="228">
        <v>0.84</v>
      </c>
      <c r="DQ90" s="228">
        <v>0.76</v>
      </c>
      <c r="DR90" s="228">
        <v>0.08</v>
      </c>
      <c r="DS90" s="229">
        <v>0.1053</v>
      </c>
      <c r="DT90" s="228">
        <v>570</v>
      </c>
      <c r="DU90" s="228">
        <v>540</v>
      </c>
      <c r="DV90" s="228">
        <v>0.67</v>
      </c>
      <c r="DW90" s="228">
        <v>0.65</v>
      </c>
      <c r="DX90" s="228">
        <v>0.02</v>
      </c>
      <c r="DY90" s="229">
        <v>3.0800000000000001E-2</v>
      </c>
      <c r="DZ90" s="229">
        <v>1.2200000000000001E-2</v>
      </c>
      <c r="EA90" s="230">
        <v>235875</v>
      </c>
      <c r="EB90" s="229">
        <v>5.0000000000000001E-3</v>
      </c>
      <c r="EC90" s="229">
        <v>1.2200000000000001E-2</v>
      </c>
      <c r="ED90" s="228">
        <v>2.77</v>
      </c>
      <c r="EE90" s="229">
        <v>5.0000000000000001E-3</v>
      </c>
      <c r="EF90" s="230">
        <v>1878548</v>
      </c>
      <c r="EG90" s="230">
        <v>348156</v>
      </c>
      <c r="EH90" s="229">
        <v>4.3956999999999997</v>
      </c>
      <c r="EI90" s="229">
        <v>0.74099999999999999</v>
      </c>
      <c r="EJ90" s="231">
        <v>28514.38</v>
      </c>
      <c r="EK90" s="231">
        <v>17642.79</v>
      </c>
      <c r="EL90" s="231">
        <v>15522.45</v>
      </c>
      <c r="EM90" s="231">
        <v>2122</v>
      </c>
      <c r="EN90" s="231">
        <v>61679.62</v>
      </c>
      <c r="EO90" s="231">
        <v>57811.02</v>
      </c>
      <c r="EP90" s="231">
        <v>3868.6</v>
      </c>
      <c r="EQ90" s="229">
        <v>6.6900000000000001E-2</v>
      </c>
      <c r="ER90" s="231">
        <v>24922</v>
      </c>
      <c r="ES90" s="231">
        <v>19580</v>
      </c>
      <c r="ET90" s="231">
        <v>112957</v>
      </c>
      <c r="EU90" s="231">
        <v>58892926</v>
      </c>
      <c r="EV90" s="231">
        <v>157459</v>
      </c>
      <c r="EW90" s="231">
        <v>155822</v>
      </c>
      <c r="EX90" s="231">
        <v>1637</v>
      </c>
      <c r="EY90" s="229">
        <v>1.0500000000000001E-2</v>
      </c>
      <c r="EZ90" s="229">
        <v>0.48499999999999999</v>
      </c>
      <c r="FA90" s="227" t="s">
        <v>691</v>
      </c>
      <c r="FB90" s="161">
        <f t="shared" si="1"/>
        <v>249750</v>
      </c>
    </row>
    <row r="91" spans="1:158" ht="17.25" thickBot="1" x14ac:dyDescent="0.3">
      <c r="A91" s="226">
        <v>46148</v>
      </c>
      <c r="B91" s="227" t="s">
        <v>188</v>
      </c>
      <c r="C91" s="227" t="s">
        <v>234</v>
      </c>
      <c r="D91" s="228">
        <v>71475</v>
      </c>
      <c r="E91" s="228">
        <v>11.37</v>
      </c>
      <c r="F91" s="228">
        <v>10.84</v>
      </c>
      <c r="G91" s="228">
        <v>0.53</v>
      </c>
      <c r="H91" s="229">
        <v>4.8899999999999999E-2</v>
      </c>
      <c r="I91" s="228">
        <v>11.3</v>
      </c>
      <c r="J91" s="228">
        <v>10.8</v>
      </c>
      <c r="K91" s="228">
        <v>0.5</v>
      </c>
      <c r="L91" s="229">
        <v>4.6300000000000001E-2</v>
      </c>
      <c r="M91" s="228">
        <v>11.37</v>
      </c>
      <c r="N91" s="228">
        <v>10.84</v>
      </c>
      <c r="O91" s="228">
        <v>0.53</v>
      </c>
      <c r="P91" s="229">
        <v>4.8899999999999999E-2</v>
      </c>
      <c r="Q91" s="228">
        <v>11.46</v>
      </c>
      <c r="R91" s="228">
        <v>10.92</v>
      </c>
      <c r="S91" s="228">
        <v>0.54</v>
      </c>
      <c r="T91" s="229">
        <v>4.9500000000000002E-2</v>
      </c>
      <c r="U91" s="228">
        <v>11.54</v>
      </c>
      <c r="V91" s="228">
        <v>10.99</v>
      </c>
      <c r="W91" s="228">
        <v>0.55000000000000004</v>
      </c>
      <c r="X91" s="229">
        <v>0.05</v>
      </c>
      <c r="Y91" s="228">
        <v>7.0000000000000007E-2</v>
      </c>
      <c r="Z91" s="228">
        <v>0.04</v>
      </c>
      <c r="AA91" s="228">
        <v>0.03</v>
      </c>
      <c r="AB91" s="229">
        <v>6.1999999999999998E-3</v>
      </c>
      <c r="AC91" s="228">
        <v>7.0000000000000007E-2</v>
      </c>
      <c r="AD91" s="228">
        <v>0.04</v>
      </c>
      <c r="AE91" s="228">
        <v>0.03</v>
      </c>
      <c r="AF91" s="229">
        <v>6.1999999999999998E-3</v>
      </c>
      <c r="AG91" s="228">
        <v>0.16</v>
      </c>
      <c r="AH91" s="228">
        <v>0.12</v>
      </c>
      <c r="AI91" s="228">
        <v>0.04</v>
      </c>
      <c r="AJ91" s="229">
        <v>1.4200000000000001E-2</v>
      </c>
      <c r="AK91" s="228">
        <v>0.24</v>
      </c>
      <c r="AL91" s="228">
        <v>0.19</v>
      </c>
      <c r="AM91" s="228">
        <v>0.05</v>
      </c>
      <c r="AN91" s="229">
        <v>2.12E-2</v>
      </c>
      <c r="AO91" s="228">
        <v>11.28</v>
      </c>
      <c r="AP91" s="228">
        <v>11.34</v>
      </c>
      <c r="AQ91" s="228">
        <v>0</v>
      </c>
      <c r="AR91" s="230">
        <v>1045107450</v>
      </c>
      <c r="AS91" s="230">
        <v>1034886525</v>
      </c>
      <c r="AT91" s="230">
        <v>10220925</v>
      </c>
      <c r="AU91" s="229">
        <v>9.9000000000000008E-3</v>
      </c>
      <c r="AV91" s="230">
        <v>932319900</v>
      </c>
      <c r="AW91" s="230">
        <v>913093125</v>
      </c>
      <c r="AX91" s="230">
        <v>19226775</v>
      </c>
      <c r="AY91" s="229">
        <v>2.1100000000000001E-2</v>
      </c>
      <c r="AZ91" s="230">
        <v>97348950</v>
      </c>
      <c r="BA91" s="230">
        <v>100636800</v>
      </c>
      <c r="BB91" s="230">
        <v>-3287850</v>
      </c>
      <c r="BC91" s="229">
        <v>-3.27E-2</v>
      </c>
      <c r="BD91" s="230">
        <v>15438600</v>
      </c>
      <c r="BE91" s="230">
        <v>21156600</v>
      </c>
      <c r="BF91" s="230">
        <v>-5718000</v>
      </c>
      <c r="BG91" s="229">
        <v>-0.27029999999999998</v>
      </c>
      <c r="BH91" s="230">
        <v>2442944025</v>
      </c>
      <c r="BI91" s="230">
        <v>2840059125</v>
      </c>
      <c r="BJ91" s="230">
        <v>-397115100</v>
      </c>
      <c r="BK91" s="229">
        <v>-0.13980000000000001</v>
      </c>
      <c r="BL91" s="230">
        <v>893151600</v>
      </c>
      <c r="BM91" s="230">
        <v>846978750</v>
      </c>
      <c r="BN91" s="230">
        <v>46172850</v>
      </c>
      <c r="BO91" s="229">
        <v>5.45E-2</v>
      </c>
      <c r="BP91" s="230">
        <v>4381203075</v>
      </c>
      <c r="BQ91" s="230">
        <v>4721924400</v>
      </c>
      <c r="BR91" s="230">
        <v>-340721325</v>
      </c>
      <c r="BS91" s="229">
        <v>-7.22E-2</v>
      </c>
      <c r="BT91" s="230">
        <v>945693473</v>
      </c>
      <c r="BU91" s="230">
        <v>869545161</v>
      </c>
      <c r="BV91" s="230">
        <v>76148312</v>
      </c>
      <c r="BW91" s="229">
        <v>8.7599999999999997E-2</v>
      </c>
      <c r="BX91" s="230">
        <v>6698708475</v>
      </c>
      <c r="BY91" s="230">
        <v>6824647425</v>
      </c>
      <c r="BZ91" s="230">
        <v>-125938950</v>
      </c>
      <c r="CA91" s="229">
        <v>-1.8499999999999999E-2</v>
      </c>
      <c r="CB91" s="230">
        <v>6473490750</v>
      </c>
      <c r="CC91" s="230">
        <v>6597571350</v>
      </c>
      <c r="CD91" s="230">
        <v>-124080600</v>
      </c>
      <c r="CE91" s="229">
        <v>-1.8800000000000001E-2</v>
      </c>
      <c r="CF91" s="230">
        <v>201702450</v>
      </c>
      <c r="CG91" s="230">
        <v>205562100</v>
      </c>
      <c r="CH91" s="230">
        <v>-3859650</v>
      </c>
      <c r="CI91" s="229">
        <v>-1.8800000000000001E-2</v>
      </c>
      <c r="CJ91" s="230">
        <v>23515275</v>
      </c>
      <c r="CK91" s="230">
        <v>21513975</v>
      </c>
      <c r="CL91" s="230">
        <v>2001300</v>
      </c>
      <c r="CM91" s="229">
        <v>9.2999999999999999E-2</v>
      </c>
      <c r="CN91" s="230">
        <v>1572235575</v>
      </c>
      <c r="CO91" s="230">
        <v>1594321350</v>
      </c>
      <c r="CP91" s="230">
        <v>-22085775</v>
      </c>
      <c r="CQ91" s="229">
        <v>-1.3899999999999999E-2</v>
      </c>
      <c r="CR91" s="230">
        <v>870779925</v>
      </c>
      <c r="CS91" s="230">
        <v>834041775</v>
      </c>
      <c r="CT91" s="230">
        <v>36738150</v>
      </c>
      <c r="CU91" s="229">
        <v>4.3999999999999997E-2</v>
      </c>
      <c r="CV91" s="230">
        <v>9141723975</v>
      </c>
      <c r="CW91" s="230">
        <v>9253010550</v>
      </c>
      <c r="CX91" s="230">
        <v>-111286575</v>
      </c>
      <c r="CY91" s="229">
        <v>-1.2E-2</v>
      </c>
      <c r="CZ91" s="228">
        <v>49.28</v>
      </c>
      <c r="DA91" s="228">
        <v>52.48</v>
      </c>
      <c r="DB91" s="228">
        <v>-3.2</v>
      </c>
      <c r="DC91" s="228">
        <v>-3.2</v>
      </c>
      <c r="DD91" s="228">
        <v>63.62</v>
      </c>
      <c r="DE91" s="228">
        <v>63.45</v>
      </c>
      <c r="DF91" s="228">
        <v>-14.34</v>
      </c>
      <c r="DG91" s="228">
        <v>0.17</v>
      </c>
      <c r="DH91" s="228">
        <v>50.47</v>
      </c>
      <c r="DI91" s="228">
        <v>54.65</v>
      </c>
      <c r="DJ91" s="228">
        <v>-4.18</v>
      </c>
      <c r="DK91" s="228">
        <v>-4.18</v>
      </c>
      <c r="DL91" s="228">
        <v>46.01</v>
      </c>
      <c r="DM91" s="228">
        <v>45.2</v>
      </c>
      <c r="DN91" s="228">
        <v>0.81</v>
      </c>
      <c r="DO91" s="228">
        <v>0.81</v>
      </c>
      <c r="DP91" s="228">
        <v>0.55000000000000004</v>
      </c>
      <c r="DQ91" s="228">
        <v>0.52</v>
      </c>
      <c r="DR91" s="228">
        <v>0.03</v>
      </c>
      <c r="DS91" s="229">
        <v>5.7700000000000001E-2</v>
      </c>
      <c r="DT91" s="228">
        <v>12</v>
      </c>
      <c r="DU91" s="228">
        <v>10</v>
      </c>
      <c r="DV91" s="228">
        <v>0.37</v>
      </c>
      <c r="DW91" s="228">
        <v>0.3</v>
      </c>
      <c r="DX91" s="228">
        <v>7.0000000000000007E-2</v>
      </c>
      <c r="DY91" s="229">
        <v>0.23330000000000001</v>
      </c>
      <c r="DZ91" s="229">
        <v>3.3599999999999998E-2</v>
      </c>
      <c r="EA91" s="230">
        <v>227076075</v>
      </c>
      <c r="EB91" s="229">
        <v>7.9000000000000008E-3</v>
      </c>
      <c r="EC91" s="229">
        <v>3.3599999999999998E-2</v>
      </c>
      <c r="ED91" s="228">
        <v>0.06</v>
      </c>
      <c r="EE91" s="229">
        <v>5.3E-3</v>
      </c>
      <c r="EF91" s="230">
        <v>259439900</v>
      </c>
      <c r="EG91" s="230">
        <v>198174070</v>
      </c>
      <c r="EH91" s="229">
        <v>0.30919999999999997</v>
      </c>
      <c r="EI91" s="229">
        <v>0.27429999999999999</v>
      </c>
      <c r="EJ91" s="231">
        <v>307894.34000000003</v>
      </c>
      <c r="EK91" s="231">
        <v>97823.3</v>
      </c>
      <c r="EL91" s="231">
        <v>118010.73</v>
      </c>
      <c r="EM91" s="231">
        <v>13333</v>
      </c>
      <c r="EN91" s="231">
        <v>523728.37</v>
      </c>
      <c r="EO91" s="231">
        <v>557818.63</v>
      </c>
      <c r="EP91" s="231">
        <v>-34090.26</v>
      </c>
      <c r="EQ91" s="229">
        <v>-6.1100000000000002E-2</v>
      </c>
      <c r="ER91" s="231">
        <v>183624</v>
      </c>
      <c r="ES91" s="231">
        <v>88480</v>
      </c>
      <c r="ET91" s="231">
        <v>761865</v>
      </c>
      <c r="EU91" s="231">
        <v>12096038468</v>
      </c>
      <c r="EV91" s="231">
        <v>1033969</v>
      </c>
      <c r="EW91" s="231">
        <v>1007113</v>
      </c>
      <c r="EX91" s="231">
        <v>26856</v>
      </c>
      <c r="EY91" s="229">
        <v>2.6700000000000002E-2</v>
      </c>
      <c r="EZ91" s="229">
        <v>0.75580000000000003</v>
      </c>
      <c r="FA91" s="227" t="s">
        <v>691</v>
      </c>
      <c r="FB91" s="161">
        <f t="shared" si="1"/>
        <v>225217725</v>
      </c>
    </row>
    <row r="92" spans="1:158" ht="17.25" thickBot="1" x14ac:dyDescent="0.3">
      <c r="A92" s="226">
        <v>46148</v>
      </c>
      <c r="B92" s="227" t="s">
        <v>172</v>
      </c>
      <c r="C92" s="227" t="s">
        <v>235</v>
      </c>
      <c r="D92" s="228">
        <v>9275</v>
      </c>
      <c r="E92" s="228">
        <v>70.08</v>
      </c>
      <c r="F92" s="228">
        <v>69.13</v>
      </c>
      <c r="G92" s="228">
        <v>0.95</v>
      </c>
      <c r="H92" s="229">
        <v>1.37E-2</v>
      </c>
      <c r="I92" s="228">
        <v>69.59</v>
      </c>
      <c r="J92" s="228">
        <v>68.75</v>
      </c>
      <c r="K92" s="228">
        <v>0.84</v>
      </c>
      <c r="L92" s="229">
        <v>1.2200000000000001E-2</v>
      </c>
      <c r="M92" s="228">
        <v>70.08</v>
      </c>
      <c r="N92" s="228">
        <v>69.13</v>
      </c>
      <c r="O92" s="228">
        <v>0.95</v>
      </c>
      <c r="P92" s="229">
        <v>1.37E-2</v>
      </c>
      <c r="Q92" s="228">
        <v>70.489999999999995</v>
      </c>
      <c r="R92" s="228">
        <v>69.59</v>
      </c>
      <c r="S92" s="228">
        <v>0.9</v>
      </c>
      <c r="T92" s="229">
        <v>1.29E-2</v>
      </c>
      <c r="U92" s="228">
        <v>70.790000000000006</v>
      </c>
      <c r="V92" s="228">
        <v>69.819999999999993</v>
      </c>
      <c r="W92" s="228">
        <v>0.97</v>
      </c>
      <c r="X92" s="229">
        <v>1.3899999999999999E-2</v>
      </c>
      <c r="Y92" s="228">
        <v>0.49</v>
      </c>
      <c r="Z92" s="228">
        <v>0.38</v>
      </c>
      <c r="AA92" s="228">
        <v>0.11</v>
      </c>
      <c r="AB92" s="229">
        <v>7.0000000000000001E-3</v>
      </c>
      <c r="AC92" s="228">
        <v>0.49</v>
      </c>
      <c r="AD92" s="228">
        <v>0.38</v>
      </c>
      <c r="AE92" s="228">
        <v>0.11</v>
      </c>
      <c r="AF92" s="229">
        <v>7.0000000000000001E-3</v>
      </c>
      <c r="AG92" s="228">
        <v>0.9</v>
      </c>
      <c r="AH92" s="228">
        <v>0.84</v>
      </c>
      <c r="AI92" s="228">
        <v>0.06</v>
      </c>
      <c r="AJ92" s="229">
        <v>1.29E-2</v>
      </c>
      <c r="AK92" s="228">
        <v>1.2</v>
      </c>
      <c r="AL92" s="228">
        <v>1.07</v>
      </c>
      <c r="AM92" s="228">
        <v>0.13</v>
      </c>
      <c r="AN92" s="229">
        <v>1.72E-2</v>
      </c>
      <c r="AO92" s="228">
        <v>69.98</v>
      </c>
      <c r="AP92" s="228">
        <v>70.23</v>
      </c>
      <c r="AQ92" s="228">
        <v>0</v>
      </c>
      <c r="AR92" s="230">
        <v>52839675</v>
      </c>
      <c r="AS92" s="230">
        <v>25988550</v>
      </c>
      <c r="AT92" s="230">
        <v>26851125</v>
      </c>
      <c r="AU92" s="229">
        <v>1.0331999999999999</v>
      </c>
      <c r="AV92" s="230">
        <v>46375000</v>
      </c>
      <c r="AW92" s="230">
        <v>22148700</v>
      </c>
      <c r="AX92" s="230">
        <v>24226300</v>
      </c>
      <c r="AY92" s="229">
        <v>1.0938000000000001</v>
      </c>
      <c r="AZ92" s="230">
        <v>5518625</v>
      </c>
      <c r="BA92" s="230">
        <v>3617250</v>
      </c>
      <c r="BB92" s="230">
        <v>1901375</v>
      </c>
      <c r="BC92" s="229">
        <v>0.52559999999999996</v>
      </c>
      <c r="BD92" s="230">
        <v>946050</v>
      </c>
      <c r="BE92" s="230">
        <v>222600</v>
      </c>
      <c r="BF92" s="230">
        <v>723450</v>
      </c>
      <c r="BG92" s="229">
        <v>3.25</v>
      </c>
      <c r="BH92" s="230">
        <v>126019425</v>
      </c>
      <c r="BI92" s="230">
        <v>75099675</v>
      </c>
      <c r="BJ92" s="230">
        <v>50919750</v>
      </c>
      <c r="BK92" s="229">
        <v>0.67800000000000005</v>
      </c>
      <c r="BL92" s="230">
        <v>78141875</v>
      </c>
      <c r="BM92" s="230">
        <v>47302500</v>
      </c>
      <c r="BN92" s="230">
        <v>30839375</v>
      </c>
      <c r="BO92" s="229">
        <v>0.65200000000000002</v>
      </c>
      <c r="BP92" s="230">
        <v>257000975</v>
      </c>
      <c r="BQ92" s="230">
        <v>148390725</v>
      </c>
      <c r="BR92" s="230">
        <v>108610250</v>
      </c>
      <c r="BS92" s="229">
        <v>0.7319</v>
      </c>
      <c r="BT92" s="230">
        <v>32678287</v>
      </c>
      <c r="BU92" s="230">
        <v>16343441</v>
      </c>
      <c r="BV92" s="230">
        <v>16334846</v>
      </c>
      <c r="BW92" s="229">
        <v>0.99950000000000006</v>
      </c>
      <c r="BX92" s="230">
        <v>421456000</v>
      </c>
      <c r="BY92" s="230">
        <v>410483675</v>
      </c>
      <c r="BZ92" s="230">
        <v>10972325</v>
      </c>
      <c r="CA92" s="229">
        <v>2.6700000000000002E-2</v>
      </c>
      <c r="CB92" s="230">
        <v>373300200</v>
      </c>
      <c r="CC92" s="230">
        <v>365462825</v>
      </c>
      <c r="CD92" s="230">
        <v>7837375</v>
      </c>
      <c r="CE92" s="229">
        <v>2.1399999999999999E-2</v>
      </c>
      <c r="CF92" s="230">
        <v>46310075</v>
      </c>
      <c r="CG92" s="230">
        <v>43750175</v>
      </c>
      <c r="CH92" s="230">
        <v>2559900</v>
      </c>
      <c r="CI92" s="229">
        <v>5.8500000000000003E-2</v>
      </c>
      <c r="CJ92" s="230">
        <v>1845725</v>
      </c>
      <c r="CK92" s="230">
        <v>1270675</v>
      </c>
      <c r="CL92" s="230">
        <v>575050</v>
      </c>
      <c r="CM92" s="229">
        <v>0.4526</v>
      </c>
      <c r="CN92" s="230">
        <v>104807500</v>
      </c>
      <c r="CO92" s="230">
        <v>94122700</v>
      </c>
      <c r="CP92" s="230">
        <v>10684800</v>
      </c>
      <c r="CQ92" s="229">
        <v>0.1135</v>
      </c>
      <c r="CR92" s="230">
        <v>86229675</v>
      </c>
      <c r="CS92" s="230">
        <v>83261675</v>
      </c>
      <c r="CT92" s="230">
        <v>2968000</v>
      </c>
      <c r="CU92" s="229">
        <v>3.56E-2</v>
      </c>
      <c r="CV92" s="230">
        <v>612493175</v>
      </c>
      <c r="CW92" s="230">
        <v>587868050</v>
      </c>
      <c r="CX92" s="230">
        <v>24625125</v>
      </c>
      <c r="CY92" s="229">
        <v>4.19E-2</v>
      </c>
      <c r="CZ92" s="228">
        <v>31.83</v>
      </c>
      <c r="DA92" s="228">
        <v>32.11</v>
      </c>
      <c r="DB92" s="228">
        <v>-0.28000000000000003</v>
      </c>
      <c r="DC92" s="228">
        <v>-0.28000000000000003</v>
      </c>
      <c r="DD92" s="228">
        <v>41.12</v>
      </c>
      <c r="DE92" s="228">
        <v>41.18</v>
      </c>
      <c r="DF92" s="228">
        <v>-9.2899999999999991</v>
      </c>
      <c r="DG92" s="228">
        <v>-0.06</v>
      </c>
      <c r="DH92" s="228">
        <v>31.46</v>
      </c>
      <c r="DI92" s="228">
        <v>32.15</v>
      </c>
      <c r="DJ92" s="228">
        <v>-0.69</v>
      </c>
      <c r="DK92" s="228">
        <v>-0.69</v>
      </c>
      <c r="DL92" s="228">
        <v>32.409999999999997</v>
      </c>
      <c r="DM92" s="228">
        <v>32.06</v>
      </c>
      <c r="DN92" s="228">
        <v>0.35</v>
      </c>
      <c r="DO92" s="228">
        <v>0.35</v>
      </c>
      <c r="DP92" s="228">
        <v>0.82</v>
      </c>
      <c r="DQ92" s="228">
        <v>0.88</v>
      </c>
      <c r="DR92" s="228">
        <v>-0.06</v>
      </c>
      <c r="DS92" s="229">
        <v>-6.8199999999999997E-2</v>
      </c>
      <c r="DT92" s="228">
        <v>70</v>
      </c>
      <c r="DU92" s="228">
        <v>70</v>
      </c>
      <c r="DV92" s="228">
        <v>0.62</v>
      </c>
      <c r="DW92" s="228">
        <v>0.63</v>
      </c>
      <c r="DX92" s="228">
        <v>-0.01</v>
      </c>
      <c r="DY92" s="229">
        <v>-1.5900000000000001E-2</v>
      </c>
      <c r="DZ92" s="229">
        <v>0.1143</v>
      </c>
      <c r="EA92" s="230">
        <v>45020850</v>
      </c>
      <c r="EB92" s="229">
        <v>5.8999999999999999E-3</v>
      </c>
      <c r="EC92" s="229">
        <v>0.1143</v>
      </c>
      <c r="ED92" s="228">
        <v>0.25</v>
      </c>
      <c r="EE92" s="229">
        <v>3.5999999999999999E-3</v>
      </c>
      <c r="EF92" s="230">
        <v>17902591</v>
      </c>
      <c r="EG92" s="230">
        <v>6876143</v>
      </c>
      <c r="EH92" s="229">
        <v>1.6035999999999999</v>
      </c>
      <c r="EI92" s="229">
        <v>0.54779999999999995</v>
      </c>
      <c r="EJ92" s="231">
        <v>93104.19</v>
      </c>
      <c r="EK92" s="231">
        <v>53319.99</v>
      </c>
      <c r="EL92" s="231">
        <v>36993.379999999997</v>
      </c>
      <c r="EM92" s="231">
        <v>4772</v>
      </c>
      <c r="EN92" s="231">
        <v>183417.56</v>
      </c>
      <c r="EO92" s="231">
        <v>106309.26</v>
      </c>
      <c r="EP92" s="231">
        <v>77108.3</v>
      </c>
      <c r="EQ92" s="229">
        <v>0.72529999999999994</v>
      </c>
      <c r="ER92" s="231">
        <v>75526</v>
      </c>
      <c r="ES92" s="231">
        <v>58955</v>
      </c>
      <c r="ET92" s="231">
        <v>295559</v>
      </c>
      <c r="EU92" s="231">
        <v>1101871266</v>
      </c>
      <c r="EV92" s="231">
        <v>430041</v>
      </c>
      <c r="EW92" s="231">
        <v>409078</v>
      </c>
      <c r="EX92" s="231">
        <v>20963</v>
      </c>
      <c r="EY92" s="229">
        <v>5.1200000000000002E-2</v>
      </c>
      <c r="EZ92" s="229">
        <v>0.55589999999999995</v>
      </c>
      <c r="FA92" s="227" t="s">
        <v>555</v>
      </c>
      <c r="FB92" s="161">
        <f t="shared" si="1"/>
        <v>48155800</v>
      </c>
    </row>
    <row r="93" spans="1:158" ht="17.25" thickBot="1" x14ac:dyDescent="0.3">
      <c r="A93" s="226">
        <v>46148</v>
      </c>
      <c r="B93" s="227" t="s">
        <v>161</v>
      </c>
      <c r="C93" s="227" t="s">
        <v>514</v>
      </c>
      <c r="D93" s="228">
        <v>3750</v>
      </c>
      <c r="E93" s="228">
        <v>128.72</v>
      </c>
      <c r="F93" s="228">
        <v>126.35</v>
      </c>
      <c r="G93" s="228">
        <v>2.37</v>
      </c>
      <c r="H93" s="229">
        <v>1.8800000000000001E-2</v>
      </c>
      <c r="I93" s="228">
        <v>129.80000000000001</v>
      </c>
      <c r="J93" s="228">
        <v>127.62</v>
      </c>
      <c r="K93" s="228">
        <v>2.1800000000000002</v>
      </c>
      <c r="L93" s="229">
        <v>1.7100000000000001E-2</v>
      </c>
      <c r="M93" s="228">
        <v>128.72</v>
      </c>
      <c r="N93" s="228">
        <v>126.35</v>
      </c>
      <c r="O93" s="228">
        <v>2.37</v>
      </c>
      <c r="P93" s="229">
        <v>1.8800000000000001E-2</v>
      </c>
      <c r="Q93" s="228">
        <v>129.27000000000001</v>
      </c>
      <c r="R93" s="228">
        <v>126.96</v>
      </c>
      <c r="S93" s="228">
        <v>2.31</v>
      </c>
      <c r="T93" s="229">
        <v>1.8200000000000001E-2</v>
      </c>
      <c r="U93" s="228">
        <v>130.15</v>
      </c>
      <c r="V93" s="228">
        <v>128.44999999999999</v>
      </c>
      <c r="W93" s="228">
        <v>1.7</v>
      </c>
      <c r="X93" s="229">
        <v>1.32E-2</v>
      </c>
      <c r="Y93" s="228">
        <v>-1.08</v>
      </c>
      <c r="Z93" s="228">
        <v>-1.27</v>
      </c>
      <c r="AA93" s="228">
        <v>0.19</v>
      </c>
      <c r="AB93" s="229">
        <v>-8.3000000000000001E-3</v>
      </c>
      <c r="AC93" s="228">
        <v>-1.08</v>
      </c>
      <c r="AD93" s="228">
        <v>-1.27</v>
      </c>
      <c r="AE93" s="228">
        <v>0.19</v>
      </c>
      <c r="AF93" s="229">
        <v>-8.3000000000000001E-3</v>
      </c>
      <c r="AG93" s="228">
        <v>-0.53</v>
      </c>
      <c r="AH93" s="228">
        <v>-0.66</v>
      </c>
      <c r="AI93" s="228">
        <v>0.13</v>
      </c>
      <c r="AJ93" s="229">
        <v>-4.1000000000000003E-3</v>
      </c>
      <c r="AK93" s="228">
        <v>0.35</v>
      </c>
      <c r="AL93" s="228">
        <v>0.83</v>
      </c>
      <c r="AM93" s="228">
        <v>-0.48</v>
      </c>
      <c r="AN93" s="229">
        <v>2.7000000000000001E-3</v>
      </c>
      <c r="AO93" s="228">
        <v>128.15</v>
      </c>
      <c r="AP93" s="228">
        <v>128.63999999999999</v>
      </c>
      <c r="AQ93" s="228">
        <v>0</v>
      </c>
      <c r="AR93" s="230">
        <v>8100000</v>
      </c>
      <c r="AS93" s="230">
        <v>6502500</v>
      </c>
      <c r="AT93" s="230">
        <v>1597500</v>
      </c>
      <c r="AU93" s="229">
        <v>0.2457</v>
      </c>
      <c r="AV93" s="230">
        <v>7380000</v>
      </c>
      <c r="AW93" s="230">
        <v>5853750</v>
      </c>
      <c r="AX93" s="230">
        <v>1526250</v>
      </c>
      <c r="AY93" s="229">
        <v>0.26069999999999999</v>
      </c>
      <c r="AZ93" s="230">
        <v>678750</v>
      </c>
      <c r="BA93" s="230">
        <v>641250</v>
      </c>
      <c r="BB93" s="230">
        <v>37500</v>
      </c>
      <c r="BC93" s="229">
        <v>5.8500000000000003E-2</v>
      </c>
      <c r="BD93" s="230">
        <v>41250</v>
      </c>
      <c r="BE93" s="230">
        <v>7500</v>
      </c>
      <c r="BF93" s="230">
        <v>33750</v>
      </c>
      <c r="BG93" s="229">
        <v>4.5</v>
      </c>
      <c r="BH93" s="230">
        <v>34406250</v>
      </c>
      <c r="BI93" s="230">
        <v>28788750</v>
      </c>
      <c r="BJ93" s="230">
        <v>5617500</v>
      </c>
      <c r="BK93" s="229">
        <v>0.1951</v>
      </c>
      <c r="BL93" s="230">
        <v>17216250</v>
      </c>
      <c r="BM93" s="230">
        <v>8460000</v>
      </c>
      <c r="BN93" s="230">
        <v>8756250</v>
      </c>
      <c r="BO93" s="229">
        <v>1.0349999999999999</v>
      </c>
      <c r="BP93" s="230">
        <v>59722500</v>
      </c>
      <c r="BQ93" s="230">
        <v>43751250</v>
      </c>
      <c r="BR93" s="230">
        <v>15971250</v>
      </c>
      <c r="BS93" s="229">
        <v>0.36499999999999999</v>
      </c>
      <c r="BT93" s="230">
        <v>6623909</v>
      </c>
      <c r="BU93" s="230">
        <v>6122049</v>
      </c>
      <c r="BV93" s="230">
        <v>501860</v>
      </c>
      <c r="BW93" s="229">
        <v>8.2000000000000003E-2</v>
      </c>
      <c r="BX93" s="230">
        <v>70651650</v>
      </c>
      <c r="BY93" s="230">
        <v>72149250</v>
      </c>
      <c r="BZ93" s="230">
        <v>-1497600</v>
      </c>
      <c r="CA93" s="229">
        <v>-2.0799999999999999E-2</v>
      </c>
      <c r="CB93" s="230">
        <v>67398750</v>
      </c>
      <c r="CC93" s="230">
        <v>68846250</v>
      </c>
      <c r="CD93" s="230">
        <v>-1447500</v>
      </c>
      <c r="CE93" s="229">
        <v>-2.1000000000000001E-2</v>
      </c>
      <c r="CF93" s="230">
        <v>3105000</v>
      </c>
      <c r="CG93" s="230">
        <v>3172500</v>
      </c>
      <c r="CH93" s="230">
        <v>-67500</v>
      </c>
      <c r="CI93" s="229">
        <v>-2.1299999999999999E-2</v>
      </c>
      <c r="CJ93" s="230">
        <v>147900</v>
      </c>
      <c r="CK93" s="230">
        <v>130500</v>
      </c>
      <c r="CL93" s="230">
        <v>17400</v>
      </c>
      <c r="CM93" s="229">
        <v>0.1333</v>
      </c>
      <c r="CN93" s="230">
        <v>45120000</v>
      </c>
      <c r="CO93" s="230">
        <v>43833750</v>
      </c>
      <c r="CP93" s="230">
        <v>1286250</v>
      </c>
      <c r="CQ93" s="229">
        <v>2.93E-2</v>
      </c>
      <c r="CR93" s="230">
        <v>28790550</v>
      </c>
      <c r="CS93" s="230">
        <v>26478750</v>
      </c>
      <c r="CT93" s="230">
        <v>2311800</v>
      </c>
      <c r="CU93" s="229">
        <v>8.7300000000000003E-2</v>
      </c>
      <c r="CV93" s="230">
        <v>144562200</v>
      </c>
      <c r="CW93" s="230">
        <v>142461750</v>
      </c>
      <c r="CX93" s="230">
        <v>2100450</v>
      </c>
      <c r="CY93" s="229">
        <v>1.47E-2</v>
      </c>
      <c r="CZ93" s="228">
        <v>35.97</v>
      </c>
      <c r="DA93" s="228">
        <v>38.880000000000003</v>
      </c>
      <c r="DB93" s="228">
        <v>-2.91</v>
      </c>
      <c r="DC93" s="228">
        <v>-2.91</v>
      </c>
      <c r="DD93" s="228">
        <v>51.76</v>
      </c>
      <c r="DE93" s="228">
        <v>51.83</v>
      </c>
      <c r="DF93" s="228">
        <v>-15.79</v>
      </c>
      <c r="DG93" s="228">
        <v>-7.0000000000000007E-2</v>
      </c>
      <c r="DH93" s="228">
        <v>36.1</v>
      </c>
      <c r="DI93" s="228">
        <v>39.22</v>
      </c>
      <c r="DJ93" s="228">
        <v>-3.12</v>
      </c>
      <c r="DK93" s="228">
        <v>-3.12</v>
      </c>
      <c r="DL93" s="228">
        <v>35.72</v>
      </c>
      <c r="DM93" s="228">
        <v>37.76</v>
      </c>
      <c r="DN93" s="228">
        <v>-2.04</v>
      </c>
      <c r="DO93" s="228">
        <v>-2.04</v>
      </c>
      <c r="DP93" s="228">
        <v>0.64</v>
      </c>
      <c r="DQ93" s="228">
        <v>0.6</v>
      </c>
      <c r="DR93" s="228">
        <v>0.04</v>
      </c>
      <c r="DS93" s="229">
        <v>6.6699999999999995E-2</v>
      </c>
      <c r="DT93" s="228">
        <v>150</v>
      </c>
      <c r="DU93" s="228">
        <v>125</v>
      </c>
      <c r="DV93" s="228">
        <v>0.5</v>
      </c>
      <c r="DW93" s="228">
        <v>0.28999999999999998</v>
      </c>
      <c r="DX93" s="228">
        <v>0.21</v>
      </c>
      <c r="DY93" s="229">
        <v>0.72409999999999997</v>
      </c>
      <c r="DZ93" s="229">
        <v>4.5999999999999999E-2</v>
      </c>
      <c r="EA93" s="230">
        <v>3303000</v>
      </c>
      <c r="EB93" s="229">
        <v>4.3E-3</v>
      </c>
      <c r="EC93" s="229">
        <v>4.5999999999999999E-2</v>
      </c>
      <c r="ED93" s="228">
        <v>0.49</v>
      </c>
      <c r="EE93" s="229">
        <v>3.8E-3</v>
      </c>
      <c r="EF93" s="230">
        <v>3297211</v>
      </c>
      <c r="EG93" s="230">
        <v>2870491</v>
      </c>
      <c r="EH93" s="229">
        <v>0.1487</v>
      </c>
      <c r="EI93" s="229">
        <v>0.49780000000000002</v>
      </c>
      <c r="EJ93" s="231">
        <v>47343.41</v>
      </c>
      <c r="EK93" s="231">
        <v>21134.51</v>
      </c>
      <c r="EL93" s="231">
        <v>10393.030000000001</v>
      </c>
      <c r="EM93" s="231">
        <v>1824</v>
      </c>
      <c r="EN93" s="231">
        <v>78870.95</v>
      </c>
      <c r="EO93" s="231">
        <v>57918.879999999997</v>
      </c>
      <c r="EP93" s="231">
        <v>20952.07</v>
      </c>
      <c r="EQ93" s="229">
        <v>0.36170000000000002</v>
      </c>
      <c r="ER93" s="231">
        <v>61328</v>
      </c>
      <c r="ES93" s="231">
        <v>36257</v>
      </c>
      <c r="ET93" s="231">
        <v>90962</v>
      </c>
      <c r="EU93" s="231">
        <v>133395043</v>
      </c>
      <c r="EV93" s="231">
        <v>188547</v>
      </c>
      <c r="EW93" s="231">
        <v>184020</v>
      </c>
      <c r="EX93" s="231">
        <v>4527</v>
      </c>
      <c r="EY93" s="229">
        <v>2.46E-2</v>
      </c>
      <c r="EZ93" s="229">
        <v>1.0837000000000001</v>
      </c>
      <c r="FA93" s="227" t="s">
        <v>691</v>
      </c>
      <c r="FB93" s="161">
        <f t="shared" si="1"/>
        <v>3252900</v>
      </c>
    </row>
    <row r="94" spans="1:158" ht="17.25" thickBot="1" x14ac:dyDescent="0.3">
      <c r="A94" s="226">
        <v>46148</v>
      </c>
      <c r="B94" s="227" t="s">
        <v>206</v>
      </c>
      <c r="C94" s="227" t="s">
        <v>501</v>
      </c>
      <c r="D94" s="228">
        <v>1000</v>
      </c>
      <c r="E94" s="228">
        <v>669.85</v>
      </c>
      <c r="F94" s="228">
        <v>650.29999999999995</v>
      </c>
      <c r="G94" s="228">
        <v>19.55</v>
      </c>
      <c r="H94" s="229">
        <v>3.0099999999999998E-2</v>
      </c>
      <c r="I94" s="228">
        <v>666.15</v>
      </c>
      <c r="J94" s="228">
        <v>647.79999999999995</v>
      </c>
      <c r="K94" s="228">
        <v>18.350000000000001</v>
      </c>
      <c r="L94" s="229">
        <v>2.8299999999999999E-2</v>
      </c>
      <c r="M94" s="228">
        <v>669.85</v>
      </c>
      <c r="N94" s="228">
        <v>650.29999999999995</v>
      </c>
      <c r="O94" s="228">
        <v>19.55</v>
      </c>
      <c r="P94" s="229">
        <v>3.0099999999999998E-2</v>
      </c>
      <c r="Q94" s="228">
        <v>673.7</v>
      </c>
      <c r="R94" s="228">
        <v>652.20000000000005</v>
      </c>
      <c r="S94" s="228">
        <v>21.5</v>
      </c>
      <c r="T94" s="229">
        <v>3.3000000000000002E-2</v>
      </c>
      <c r="U94" s="228">
        <v>676.2</v>
      </c>
      <c r="V94" s="228">
        <v>656.4</v>
      </c>
      <c r="W94" s="228">
        <v>19.8</v>
      </c>
      <c r="X94" s="229">
        <v>3.0200000000000001E-2</v>
      </c>
      <c r="Y94" s="228">
        <v>3.7</v>
      </c>
      <c r="Z94" s="228">
        <v>2.5</v>
      </c>
      <c r="AA94" s="228">
        <v>1.2</v>
      </c>
      <c r="AB94" s="229">
        <v>5.5999999999999999E-3</v>
      </c>
      <c r="AC94" s="228">
        <v>3.7</v>
      </c>
      <c r="AD94" s="228">
        <v>2.5</v>
      </c>
      <c r="AE94" s="228">
        <v>1.2</v>
      </c>
      <c r="AF94" s="229">
        <v>5.5999999999999999E-3</v>
      </c>
      <c r="AG94" s="228">
        <v>7.55</v>
      </c>
      <c r="AH94" s="228">
        <v>4.4000000000000004</v>
      </c>
      <c r="AI94" s="228">
        <v>3.15</v>
      </c>
      <c r="AJ94" s="229">
        <v>1.1299999999999999E-2</v>
      </c>
      <c r="AK94" s="228">
        <v>10.050000000000001</v>
      </c>
      <c r="AL94" s="228">
        <v>8.6</v>
      </c>
      <c r="AM94" s="228">
        <v>1.45</v>
      </c>
      <c r="AN94" s="229">
        <v>1.5100000000000001E-2</v>
      </c>
      <c r="AO94" s="228">
        <v>666.04</v>
      </c>
      <c r="AP94" s="228">
        <v>667.61</v>
      </c>
      <c r="AQ94" s="228">
        <v>0</v>
      </c>
      <c r="AR94" s="230">
        <v>4780000</v>
      </c>
      <c r="AS94" s="230">
        <v>2452000</v>
      </c>
      <c r="AT94" s="230">
        <v>2328000</v>
      </c>
      <c r="AU94" s="229">
        <v>0.94940000000000002</v>
      </c>
      <c r="AV94" s="230">
        <v>4464000</v>
      </c>
      <c r="AW94" s="230">
        <v>2395000</v>
      </c>
      <c r="AX94" s="230">
        <v>2069000</v>
      </c>
      <c r="AY94" s="229">
        <v>0.8639</v>
      </c>
      <c r="AZ94" s="230">
        <v>295000</v>
      </c>
      <c r="BA94" s="230">
        <v>52000</v>
      </c>
      <c r="BB94" s="230">
        <v>243000</v>
      </c>
      <c r="BC94" s="229">
        <v>4.6730999999999998</v>
      </c>
      <c r="BD94" s="230">
        <v>21000</v>
      </c>
      <c r="BE94" s="230">
        <v>5000</v>
      </c>
      <c r="BF94" s="230">
        <v>16000</v>
      </c>
      <c r="BG94" s="229">
        <v>3.2</v>
      </c>
      <c r="BH94" s="230">
        <v>12240000</v>
      </c>
      <c r="BI94" s="230">
        <v>4301000</v>
      </c>
      <c r="BJ94" s="230">
        <v>7939000</v>
      </c>
      <c r="BK94" s="229">
        <v>1.8458000000000001</v>
      </c>
      <c r="BL94" s="230">
        <v>6157000</v>
      </c>
      <c r="BM94" s="230">
        <v>2530000</v>
      </c>
      <c r="BN94" s="230">
        <v>3627000</v>
      </c>
      <c r="BO94" s="229">
        <v>1.4336</v>
      </c>
      <c r="BP94" s="230">
        <v>23177000</v>
      </c>
      <c r="BQ94" s="230">
        <v>9283000</v>
      </c>
      <c r="BR94" s="230">
        <v>13894000</v>
      </c>
      <c r="BS94" s="229">
        <v>1.4966999999999999</v>
      </c>
      <c r="BT94" s="230">
        <v>2561200</v>
      </c>
      <c r="BU94" s="230">
        <v>1219083</v>
      </c>
      <c r="BV94" s="230">
        <v>1342117</v>
      </c>
      <c r="BW94" s="229">
        <v>1.1009</v>
      </c>
      <c r="BX94" s="230">
        <v>22046000</v>
      </c>
      <c r="BY94" s="230">
        <v>22412000</v>
      </c>
      <c r="BZ94" s="230">
        <v>-366000</v>
      </c>
      <c r="CA94" s="229">
        <v>-1.6299999999999999E-2</v>
      </c>
      <c r="CB94" s="230">
        <v>20189000</v>
      </c>
      <c r="CC94" s="230">
        <v>20650000</v>
      </c>
      <c r="CD94" s="230">
        <v>-461000</v>
      </c>
      <c r="CE94" s="229">
        <v>-2.23E-2</v>
      </c>
      <c r="CF94" s="230">
        <v>1838000</v>
      </c>
      <c r="CG94" s="230">
        <v>1753000</v>
      </c>
      <c r="CH94" s="230">
        <v>85000</v>
      </c>
      <c r="CI94" s="229">
        <v>4.8500000000000001E-2</v>
      </c>
      <c r="CJ94" s="230">
        <v>19000</v>
      </c>
      <c r="CK94" s="230">
        <v>9000</v>
      </c>
      <c r="CL94" s="230">
        <v>10000</v>
      </c>
      <c r="CM94" s="229">
        <v>1.1111</v>
      </c>
      <c r="CN94" s="230">
        <v>5328000</v>
      </c>
      <c r="CO94" s="230">
        <v>4738000</v>
      </c>
      <c r="CP94" s="230">
        <v>590000</v>
      </c>
      <c r="CQ94" s="229">
        <v>0.1245</v>
      </c>
      <c r="CR94" s="230">
        <v>5264000</v>
      </c>
      <c r="CS94" s="230">
        <v>5069000</v>
      </c>
      <c r="CT94" s="230">
        <v>195000</v>
      </c>
      <c r="CU94" s="229">
        <v>3.85E-2</v>
      </c>
      <c r="CV94" s="230">
        <v>32638000</v>
      </c>
      <c r="CW94" s="230">
        <v>32219000</v>
      </c>
      <c r="CX94" s="230">
        <v>419000</v>
      </c>
      <c r="CY94" s="229">
        <v>1.2999999999999999E-2</v>
      </c>
      <c r="CZ94" s="228">
        <v>30.73</v>
      </c>
      <c r="DA94" s="228">
        <v>31.02</v>
      </c>
      <c r="DB94" s="228">
        <v>-0.28999999999999998</v>
      </c>
      <c r="DC94" s="228">
        <v>-0.28999999999999998</v>
      </c>
      <c r="DD94" s="228">
        <v>34.89</v>
      </c>
      <c r="DE94" s="228">
        <v>34.78</v>
      </c>
      <c r="DF94" s="228">
        <v>-4.16</v>
      </c>
      <c r="DG94" s="228">
        <v>0.11</v>
      </c>
      <c r="DH94" s="228">
        <v>29.69</v>
      </c>
      <c r="DI94" s="228">
        <v>30.33</v>
      </c>
      <c r="DJ94" s="228">
        <v>-0.64</v>
      </c>
      <c r="DK94" s="228">
        <v>-0.64</v>
      </c>
      <c r="DL94" s="228">
        <v>32.81</v>
      </c>
      <c r="DM94" s="228">
        <v>32.19</v>
      </c>
      <c r="DN94" s="228">
        <v>0.62</v>
      </c>
      <c r="DO94" s="228">
        <v>0.62</v>
      </c>
      <c r="DP94" s="228">
        <v>0.99</v>
      </c>
      <c r="DQ94" s="228">
        <v>1.07</v>
      </c>
      <c r="DR94" s="228">
        <v>-0.08</v>
      </c>
      <c r="DS94" s="229">
        <v>-7.4800000000000005E-2</v>
      </c>
      <c r="DT94" s="228">
        <v>700</v>
      </c>
      <c r="DU94" s="228">
        <v>660</v>
      </c>
      <c r="DV94" s="228">
        <v>0.5</v>
      </c>
      <c r="DW94" s="228">
        <v>0.59</v>
      </c>
      <c r="DX94" s="228">
        <v>-0.09</v>
      </c>
      <c r="DY94" s="229">
        <v>-0.1525</v>
      </c>
      <c r="DZ94" s="229">
        <v>8.4199999999999997E-2</v>
      </c>
      <c r="EA94" s="230">
        <v>1762000</v>
      </c>
      <c r="EB94" s="229">
        <v>5.7000000000000002E-3</v>
      </c>
      <c r="EC94" s="229">
        <v>8.4199999999999997E-2</v>
      </c>
      <c r="ED94" s="228">
        <v>1.57</v>
      </c>
      <c r="EE94" s="229">
        <v>2.3999999999999998E-3</v>
      </c>
      <c r="EF94" s="230">
        <v>1099923</v>
      </c>
      <c r="EG94" s="230">
        <v>629603</v>
      </c>
      <c r="EH94" s="229">
        <v>0.747</v>
      </c>
      <c r="EI94" s="229">
        <v>0.42949999999999999</v>
      </c>
      <c r="EJ94" s="231">
        <v>84925.54</v>
      </c>
      <c r="EK94" s="231">
        <v>39812.75</v>
      </c>
      <c r="EL94" s="231">
        <v>31842.59</v>
      </c>
      <c r="EM94" s="231">
        <v>2145</v>
      </c>
      <c r="EN94" s="231">
        <v>156580.88</v>
      </c>
      <c r="EO94" s="231">
        <v>61303.92</v>
      </c>
      <c r="EP94" s="231">
        <v>95276.96</v>
      </c>
      <c r="EQ94" s="229">
        <v>1.5542</v>
      </c>
      <c r="ER94" s="231">
        <v>36205</v>
      </c>
      <c r="ES94" s="231">
        <v>33970</v>
      </c>
      <c r="ET94" s="231">
        <v>147747</v>
      </c>
      <c r="EU94" s="231">
        <v>123332004</v>
      </c>
      <c r="EV94" s="231">
        <v>217922</v>
      </c>
      <c r="EW94" s="231">
        <v>210134</v>
      </c>
      <c r="EX94" s="231">
        <v>7788</v>
      </c>
      <c r="EY94" s="229">
        <v>3.7100000000000001E-2</v>
      </c>
      <c r="EZ94" s="229">
        <v>0.2646</v>
      </c>
      <c r="FA94" s="227" t="s">
        <v>691</v>
      </c>
      <c r="FB94" s="161">
        <f t="shared" si="1"/>
        <v>1857000</v>
      </c>
    </row>
    <row r="95" spans="1:158" ht="17.25" thickBot="1" x14ac:dyDescent="0.3">
      <c r="A95" s="226">
        <v>46148</v>
      </c>
      <c r="B95" s="227" t="s">
        <v>172</v>
      </c>
      <c r="C95" s="227" t="s">
        <v>577</v>
      </c>
      <c r="D95" s="228">
        <v>1000</v>
      </c>
      <c r="E95" s="228">
        <v>872.95</v>
      </c>
      <c r="F95" s="228">
        <v>853.3</v>
      </c>
      <c r="G95" s="228">
        <v>19.649999999999999</v>
      </c>
      <c r="H95" s="229">
        <v>2.3E-2</v>
      </c>
      <c r="I95" s="228">
        <v>866.85</v>
      </c>
      <c r="J95" s="228">
        <v>848.75</v>
      </c>
      <c r="K95" s="228">
        <v>18.100000000000001</v>
      </c>
      <c r="L95" s="229">
        <v>2.1299999999999999E-2</v>
      </c>
      <c r="M95" s="228">
        <v>872.95</v>
      </c>
      <c r="N95" s="228">
        <v>853.3</v>
      </c>
      <c r="O95" s="228">
        <v>19.649999999999999</v>
      </c>
      <c r="P95" s="229">
        <v>2.3E-2</v>
      </c>
      <c r="Q95" s="228">
        <v>874.55</v>
      </c>
      <c r="R95" s="228">
        <v>854.8</v>
      </c>
      <c r="S95" s="228">
        <v>19.75</v>
      </c>
      <c r="T95" s="229">
        <v>2.3099999999999999E-2</v>
      </c>
      <c r="U95" s="228">
        <v>876.5</v>
      </c>
      <c r="V95" s="228">
        <v>859.8</v>
      </c>
      <c r="W95" s="228">
        <v>16.7</v>
      </c>
      <c r="X95" s="229">
        <v>1.9400000000000001E-2</v>
      </c>
      <c r="Y95" s="228">
        <v>6.1</v>
      </c>
      <c r="Z95" s="228">
        <v>4.55</v>
      </c>
      <c r="AA95" s="228">
        <v>1.55</v>
      </c>
      <c r="AB95" s="229">
        <v>7.0000000000000001E-3</v>
      </c>
      <c r="AC95" s="228">
        <v>6.1</v>
      </c>
      <c r="AD95" s="228">
        <v>4.55</v>
      </c>
      <c r="AE95" s="228">
        <v>1.55</v>
      </c>
      <c r="AF95" s="229">
        <v>7.0000000000000001E-3</v>
      </c>
      <c r="AG95" s="228">
        <v>7.7</v>
      </c>
      <c r="AH95" s="228">
        <v>6.05</v>
      </c>
      <c r="AI95" s="228">
        <v>1.65</v>
      </c>
      <c r="AJ95" s="229">
        <v>8.8999999999999999E-3</v>
      </c>
      <c r="AK95" s="228">
        <v>9.65</v>
      </c>
      <c r="AL95" s="228">
        <v>11.05</v>
      </c>
      <c r="AM95" s="228">
        <v>-1.4</v>
      </c>
      <c r="AN95" s="229">
        <v>1.11E-2</v>
      </c>
      <c r="AO95" s="228">
        <v>867.6</v>
      </c>
      <c r="AP95" s="228">
        <v>869.32</v>
      </c>
      <c r="AQ95" s="228">
        <v>0</v>
      </c>
      <c r="AR95" s="230">
        <v>4030000</v>
      </c>
      <c r="AS95" s="230">
        <v>4408000</v>
      </c>
      <c r="AT95" s="230">
        <v>-378000</v>
      </c>
      <c r="AU95" s="229">
        <v>-8.5800000000000001E-2</v>
      </c>
      <c r="AV95" s="230">
        <v>3883000</v>
      </c>
      <c r="AW95" s="230">
        <v>4316000</v>
      </c>
      <c r="AX95" s="230">
        <v>-433000</v>
      </c>
      <c r="AY95" s="229">
        <v>-0.1003</v>
      </c>
      <c r="AZ95" s="230">
        <v>130000</v>
      </c>
      <c r="BA95" s="230">
        <v>83000</v>
      </c>
      <c r="BB95" s="230">
        <v>47000</v>
      </c>
      <c r="BC95" s="229">
        <v>0.56630000000000003</v>
      </c>
      <c r="BD95" s="230">
        <v>17000</v>
      </c>
      <c r="BE95" s="230">
        <v>9000</v>
      </c>
      <c r="BF95" s="230">
        <v>8000</v>
      </c>
      <c r="BG95" s="229">
        <v>0.88890000000000002</v>
      </c>
      <c r="BH95" s="230">
        <v>16518000</v>
      </c>
      <c r="BI95" s="230">
        <v>12893000</v>
      </c>
      <c r="BJ95" s="230">
        <v>3625000</v>
      </c>
      <c r="BK95" s="229">
        <v>0.28120000000000001</v>
      </c>
      <c r="BL95" s="230">
        <v>7829000</v>
      </c>
      <c r="BM95" s="230">
        <v>5826000</v>
      </c>
      <c r="BN95" s="230">
        <v>2003000</v>
      </c>
      <c r="BO95" s="229">
        <v>0.34379999999999999</v>
      </c>
      <c r="BP95" s="230">
        <v>28377000</v>
      </c>
      <c r="BQ95" s="230">
        <v>23127000</v>
      </c>
      <c r="BR95" s="230">
        <v>5250000</v>
      </c>
      <c r="BS95" s="229">
        <v>0.22700000000000001</v>
      </c>
      <c r="BT95" s="230">
        <v>2762764</v>
      </c>
      <c r="BU95" s="230">
        <v>3515740</v>
      </c>
      <c r="BV95" s="230">
        <v>-752976</v>
      </c>
      <c r="BW95" s="229">
        <v>-0.2142</v>
      </c>
      <c r="BX95" s="230">
        <v>13969000</v>
      </c>
      <c r="BY95" s="230">
        <v>13627000</v>
      </c>
      <c r="BZ95" s="230">
        <v>342000</v>
      </c>
      <c r="CA95" s="229">
        <v>2.5100000000000001E-2</v>
      </c>
      <c r="CB95" s="230">
        <v>13412000</v>
      </c>
      <c r="CC95" s="230">
        <v>13086000</v>
      </c>
      <c r="CD95" s="230">
        <v>326000</v>
      </c>
      <c r="CE95" s="229">
        <v>2.4899999999999999E-2</v>
      </c>
      <c r="CF95" s="230">
        <v>533000</v>
      </c>
      <c r="CG95" s="230">
        <v>518000</v>
      </c>
      <c r="CH95" s="230">
        <v>15000</v>
      </c>
      <c r="CI95" s="229">
        <v>2.9000000000000001E-2</v>
      </c>
      <c r="CJ95" s="230">
        <v>24000</v>
      </c>
      <c r="CK95" s="230">
        <v>23000</v>
      </c>
      <c r="CL95" s="230">
        <v>1000</v>
      </c>
      <c r="CM95" s="229">
        <v>4.3499999999999997E-2</v>
      </c>
      <c r="CN95" s="230">
        <v>7008000</v>
      </c>
      <c r="CO95" s="230">
        <v>7118000</v>
      </c>
      <c r="CP95" s="230">
        <v>-110000</v>
      </c>
      <c r="CQ95" s="229">
        <v>-1.55E-2</v>
      </c>
      <c r="CR95" s="230">
        <v>3832000</v>
      </c>
      <c r="CS95" s="230">
        <v>3728000</v>
      </c>
      <c r="CT95" s="230">
        <v>104000</v>
      </c>
      <c r="CU95" s="229">
        <v>2.7900000000000001E-2</v>
      </c>
      <c r="CV95" s="230">
        <v>24809000</v>
      </c>
      <c r="CW95" s="230">
        <v>24473000</v>
      </c>
      <c r="CX95" s="230">
        <v>336000</v>
      </c>
      <c r="CY95" s="229">
        <v>1.37E-2</v>
      </c>
      <c r="CZ95" s="228">
        <v>34.67</v>
      </c>
      <c r="DA95" s="228">
        <v>36.130000000000003</v>
      </c>
      <c r="DB95" s="228">
        <v>-1.46</v>
      </c>
      <c r="DC95" s="228">
        <v>-1.46</v>
      </c>
      <c r="DD95" s="228">
        <v>41.35</v>
      </c>
      <c r="DE95" s="228">
        <v>41.36</v>
      </c>
      <c r="DF95" s="228">
        <v>-6.68</v>
      </c>
      <c r="DG95" s="228">
        <v>-0.01</v>
      </c>
      <c r="DH95" s="228">
        <v>34.44</v>
      </c>
      <c r="DI95" s="228">
        <v>36.18</v>
      </c>
      <c r="DJ95" s="228">
        <v>-1.74</v>
      </c>
      <c r="DK95" s="228">
        <v>-1.74</v>
      </c>
      <c r="DL95" s="228">
        <v>35.15</v>
      </c>
      <c r="DM95" s="228">
        <v>36</v>
      </c>
      <c r="DN95" s="228">
        <v>-0.85</v>
      </c>
      <c r="DO95" s="228">
        <v>-0.85</v>
      </c>
      <c r="DP95" s="228">
        <v>0.55000000000000004</v>
      </c>
      <c r="DQ95" s="228">
        <v>0.52</v>
      </c>
      <c r="DR95" s="228">
        <v>0.03</v>
      </c>
      <c r="DS95" s="229">
        <v>5.7700000000000001E-2</v>
      </c>
      <c r="DT95" s="231">
        <v>1000</v>
      </c>
      <c r="DU95" s="228">
        <v>900</v>
      </c>
      <c r="DV95" s="228">
        <v>0.47</v>
      </c>
      <c r="DW95" s="228">
        <v>0.45</v>
      </c>
      <c r="DX95" s="228">
        <v>0.02</v>
      </c>
      <c r="DY95" s="229">
        <v>4.4400000000000002E-2</v>
      </c>
      <c r="DZ95" s="229">
        <v>3.9899999999999998E-2</v>
      </c>
      <c r="EA95" s="230">
        <v>541000</v>
      </c>
      <c r="EB95" s="229">
        <v>1.8E-3</v>
      </c>
      <c r="EC95" s="229">
        <v>3.9899999999999998E-2</v>
      </c>
      <c r="ED95" s="228">
        <v>1.72</v>
      </c>
      <c r="EE95" s="229">
        <v>2E-3</v>
      </c>
      <c r="EF95" s="230">
        <v>1118455</v>
      </c>
      <c r="EG95" s="230">
        <v>1561024</v>
      </c>
      <c r="EH95" s="229">
        <v>-0.28349999999999997</v>
      </c>
      <c r="EI95" s="229">
        <v>0.40479999999999999</v>
      </c>
      <c r="EJ95" s="231">
        <v>151953.45000000001</v>
      </c>
      <c r="EK95" s="231">
        <v>66857.94</v>
      </c>
      <c r="EL95" s="231">
        <v>34967.35</v>
      </c>
      <c r="EM95" s="231">
        <v>7344</v>
      </c>
      <c r="EN95" s="231">
        <v>253778.74</v>
      </c>
      <c r="EO95" s="231">
        <v>202174.96</v>
      </c>
      <c r="EP95" s="231">
        <v>51603.78</v>
      </c>
      <c r="EQ95" s="229">
        <v>0.25519999999999998</v>
      </c>
      <c r="ER95" s="231">
        <v>65060</v>
      </c>
      <c r="ES95" s="231">
        <v>32450</v>
      </c>
      <c r="ET95" s="231">
        <v>121952</v>
      </c>
      <c r="EU95" s="231">
        <v>52862157</v>
      </c>
      <c r="EV95" s="231">
        <v>219462</v>
      </c>
      <c r="EW95" s="231">
        <v>213877</v>
      </c>
      <c r="EX95" s="231">
        <v>5585</v>
      </c>
      <c r="EY95" s="229">
        <v>2.6100000000000002E-2</v>
      </c>
      <c r="EZ95" s="229">
        <v>0.46929999999999999</v>
      </c>
      <c r="FA95" s="227" t="s">
        <v>555</v>
      </c>
      <c r="FB95" s="161">
        <f t="shared" si="1"/>
        <v>557000</v>
      </c>
    </row>
    <row r="96" spans="1:158" ht="17.25" thickBot="1" x14ac:dyDescent="0.3">
      <c r="A96" s="226">
        <v>46148</v>
      </c>
      <c r="B96" s="227" t="s">
        <v>181</v>
      </c>
      <c r="C96" s="227" t="s">
        <v>684</v>
      </c>
      <c r="D96" s="228">
        <v>1</v>
      </c>
      <c r="E96" s="228">
        <v>16.68</v>
      </c>
      <c r="F96" s="228">
        <v>17.91</v>
      </c>
      <c r="G96" s="228">
        <v>-1.23</v>
      </c>
      <c r="H96" s="229">
        <v>-6.88E-2</v>
      </c>
      <c r="I96" s="228">
        <v>16.68</v>
      </c>
      <c r="J96" s="228">
        <v>17.91</v>
      </c>
      <c r="K96" s="228">
        <v>-1.23</v>
      </c>
      <c r="L96" s="229">
        <v>-6.88E-2</v>
      </c>
      <c r="M96" s="228">
        <v>0</v>
      </c>
      <c r="N96" s="228">
        <v>0</v>
      </c>
      <c r="O96" s="228">
        <v>0</v>
      </c>
      <c r="P96" s="229">
        <v>0</v>
      </c>
      <c r="Q96" s="228">
        <v>0</v>
      </c>
      <c r="R96" s="228">
        <v>0</v>
      </c>
      <c r="S96" s="228">
        <v>0</v>
      </c>
      <c r="T96" s="229">
        <v>0</v>
      </c>
      <c r="U96" s="228">
        <v>0</v>
      </c>
      <c r="V96" s="228">
        <v>0</v>
      </c>
      <c r="W96" s="228">
        <v>0</v>
      </c>
      <c r="X96" s="229">
        <v>0</v>
      </c>
      <c r="Y96" s="228">
        <v>0</v>
      </c>
      <c r="Z96" s="228">
        <v>0</v>
      </c>
      <c r="AA96" s="228">
        <v>0</v>
      </c>
      <c r="AB96" s="229">
        <v>0</v>
      </c>
      <c r="AC96" s="228">
        <v>0</v>
      </c>
      <c r="AD96" s="228">
        <v>0</v>
      </c>
      <c r="AE96" s="228">
        <v>0</v>
      </c>
      <c r="AF96" s="229">
        <v>0</v>
      </c>
      <c r="AG96" s="228">
        <v>0</v>
      </c>
      <c r="AH96" s="228">
        <v>0</v>
      </c>
      <c r="AI96" s="228">
        <v>0</v>
      </c>
      <c r="AJ96" s="229">
        <v>0</v>
      </c>
      <c r="AK96" s="228">
        <v>0</v>
      </c>
      <c r="AL96" s="228">
        <v>0</v>
      </c>
      <c r="AM96" s="228">
        <v>0</v>
      </c>
      <c r="AN96" s="229">
        <v>0</v>
      </c>
      <c r="AO96" s="228">
        <v>0</v>
      </c>
      <c r="AP96" s="228">
        <v>0</v>
      </c>
      <c r="AQ96" s="228">
        <v>0</v>
      </c>
      <c r="AR96" s="228">
        <v>0</v>
      </c>
      <c r="AS96" s="228">
        <v>0</v>
      </c>
      <c r="AT96" s="228">
        <v>0</v>
      </c>
      <c r="AU96" s="229">
        <v>0</v>
      </c>
      <c r="AV96" s="228">
        <v>0</v>
      </c>
      <c r="AW96" s="228">
        <v>0</v>
      </c>
      <c r="AX96" s="228">
        <v>0</v>
      </c>
      <c r="AY96" s="229">
        <v>0</v>
      </c>
      <c r="AZ96" s="228">
        <v>0</v>
      </c>
      <c r="BA96" s="228">
        <v>0</v>
      </c>
      <c r="BB96" s="228">
        <v>0</v>
      </c>
      <c r="BC96" s="229">
        <v>0</v>
      </c>
      <c r="BD96" s="228">
        <v>0</v>
      </c>
      <c r="BE96" s="228">
        <v>0</v>
      </c>
      <c r="BF96" s="228">
        <v>0</v>
      </c>
      <c r="BG96" s="229">
        <v>0</v>
      </c>
      <c r="BH96" s="228">
        <v>0</v>
      </c>
      <c r="BI96" s="228">
        <v>0</v>
      </c>
      <c r="BJ96" s="228">
        <v>0</v>
      </c>
      <c r="BK96" s="229">
        <v>0</v>
      </c>
      <c r="BL96" s="228">
        <v>0</v>
      </c>
      <c r="BM96" s="228">
        <v>0</v>
      </c>
      <c r="BN96" s="228">
        <v>0</v>
      </c>
      <c r="BO96" s="229">
        <v>0</v>
      </c>
      <c r="BP96" s="228">
        <v>0</v>
      </c>
      <c r="BQ96" s="228">
        <v>0</v>
      </c>
      <c r="BR96" s="228">
        <v>0</v>
      </c>
      <c r="BS96" s="229">
        <v>0</v>
      </c>
      <c r="BT96" s="228">
        <v>0</v>
      </c>
      <c r="BU96" s="228">
        <v>0</v>
      </c>
      <c r="BV96" s="228">
        <v>0</v>
      </c>
      <c r="BW96" s="229">
        <v>0</v>
      </c>
      <c r="BX96" s="228">
        <v>0</v>
      </c>
      <c r="BY96" s="228">
        <v>0</v>
      </c>
      <c r="BZ96" s="228">
        <v>0</v>
      </c>
      <c r="CA96" s="229">
        <v>0</v>
      </c>
      <c r="CB96" s="228">
        <v>0</v>
      </c>
      <c r="CC96" s="228">
        <v>0</v>
      </c>
      <c r="CD96" s="228">
        <v>0</v>
      </c>
      <c r="CE96" s="229">
        <v>0</v>
      </c>
      <c r="CF96" s="228">
        <v>0</v>
      </c>
      <c r="CG96" s="228">
        <v>0</v>
      </c>
      <c r="CH96" s="228">
        <v>0</v>
      </c>
      <c r="CI96" s="229">
        <v>0</v>
      </c>
      <c r="CJ96" s="228">
        <v>0</v>
      </c>
      <c r="CK96" s="228">
        <v>0</v>
      </c>
      <c r="CL96" s="228">
        <v>0</v>
      </c>
      <c r="CM96" s="229">
        <v>0</v>
      </c>
      <c r="CN96" s="228">
        <v>0</v>
      </c>
      <c r="CO96" s="228">
        <v>0</v>
      </c>
      <c r="CP96" s="228">
        <v>0</v>
      </c>
      <c r="CQ96" s="229">
        <v>0</v>
      </c>
      <c r="CR96" s="228">
        <v>0</v>
      </c>
      <c r="CS96" s="228">
        <v>0</v>
      </c>
      <c r="CT96" s="228">
        <v>0</v>
      </c>
      <c r="CU96" s="229">
        <v>0</v>
      </c>
      <c r="CV96" s="228">
        <v>0</v>
      </c>
      <c r="CW96" s="228">
        <v>0</v>
      </c>
      <c r="CX96" s="228">
        <v>0</v>
      </c>
      <c r="CY96" s="229">
        <v>0</v>
      </c>
      <c r="CZ96" s="228">
        <v>0</v>
      </c>
      <c r="DA96" s="228">
        <v>0</v>
      </c>
      <c r="DB96" s="228">
        <v>0</v>
      </c>
      <c r="DC96" s="228">
        <v>0</v>
      </c>
      <c r="DD96" s="228">
        <v>0</v>
      </c>
      <c r="DE96" s="228">
        <v>0</v>
      </c>
      <c r="DF96" s="228">
        <v>0</v>
      </c>
      <c r="DG96" s="228">
        <v>0</v>
      </c>
      <c r="DH96" s="228">
        <v>0</v>
      </c>
      <c r="DI96" s="228">
        <v>0</v>
      </c>
      <c r="DJ96" s="228">
        <v>0</v>
      </c>
      <c r="DK96" s="228">
        <v>0</v>
      </c>
      <c r="DL96" s="228">
        <v>0</v>
      </c>
      <c r="DM96" s="228">
        <v>0</v>
      </c>
      <c r="DN96" s="228">
        <v>0</v>
      </c>
      <c r="DO96" s="228">
        <v>0</v>
      </c>
      <c r="DP96" s="228">
        <v>0</v>
      </c>
      <c r="DQ96" s="228">
        <v>0</v>
      </c>
      <c r="DR96" s="228">
        <v>0</v>
      </c>
      <c r="DS96" s="229">
        <v>0</v>
      </c>
      <c r="DT96" s="228">
        <v>0</v>
      </c>
      <c r="DU96" s="228">
        <v>0</v>
      </c>
      <c r="DV96" s="228">
        <v>0</v>
      </c>
      <c r="DW96" s="228">
        <v>0</v>
      </c>
      <c r="DX96" s="228">
        <v>0</v>
      </c>
      <c r="DY96" s="229">
        <v>0</v>
      </c>
      <c r="DZ96" s="229">
        <v>0</v>
      </c>
      <c r="EA96" s="228">
        <v>0</v>
      </c>
      <c r="EB96" s="229">
        <v>0</v>
      </c>
      <c r="EC96" s="229">
        <v>0</v>
      </c>
      <c r="ED96" s="228">
        <v>0</v>
      </c>
      <c r="EE96" s="229">
        <v>0</v>
      </c>
      <c r="EF96" s="228">
        <v>0</v>
      </c>
      <c r="EG96" s="228">
        <v>0</v>
      </c>
      <c r="EH96" s="229">
        <v>0</v>
      </c>
      <c r="EI96" s="229">
        <v>0</v>
      </c>
      <c r="EJ96" s="228">
        <v>0</v>
      </c>
      <c r="EK96" s="228">
        <v>0</v>
      </c>
      <c r="EL96" s="228">
        <v>0</v>
      </c>
      <c r="EM96" s="228">
        <v>0</v>
      </c>
      <c r="EN96" s="228">
        <v>0</v>
      </c>
      <c r="EO96" s="228">
        <v>0</v>
      </c>
      <c r="EP96" s="228">
        <v>0</v>
      </c>
      <c r="EQ96" s="229">
        <v>0</v>
      </c>
      <c r="ER96" s="228">
        <v>0</v>
      </c>
      <c r="ES96" s="228">
        <v>0</v>
      </c>
      <c r="ET96" s="228">
        <v>0</v>
      </c>
      <c r="EU96" s="228">
        <v>0</v>
      </c>
      <c r="EV96" s="228">
        <v>0</v>
      </c>
      <c r="EW96" s="228">
        <v>0</v>
      </c>
      <c r="EX96" s="228">
        <v>0</v>
      </c>
      <c r="EY96" s="229">
        <v>0</v>
      </c>
      <c r="EZ96" s="229">
        <v>0</v>
      </c>
      <c r="FA96" s="227" t="s">
        <v>237</v>
      </c>
      <c r="FB96" s="161">
        <f t="shared" si="1"/>
        <v>0</v>
      </c>
    </row>
    <row r="97" spans="1:158" ht="17.25" thickBot="1" x14ac:dyDescent="0.3">
      <c r="A97" s="226">
        <v>46148</v>
      </c>
      <c r="B97" s="227" t="s">
        <v>215</v>
      </c>
      <c r="C97" s="227" t="s">
        <v>238</v>
      </c>
      <c r="D97" s="228">
        <v>150</v>
      </c>
      <c r="E97" s="231">
        <v>4541.8999999999996</v>
      </c>
      <c r="F97" s="231">
        <v>4262.7</v>
      </c>
      <c r="G97" s="228">
        <v>279.2</v>
      </c>
      <c r="H97" s="229">
        <v>6.5500000000000003E-2</v>
      </c>
      <c r="I97" s="231">
        <v>4520.2</v>
      </c>
      <c r="J97" s="231">
        <v>4238.3999999999996</v>
      </c>
      <c r="K97" s="228">
        <v>281.8</v>
      </c>
      <c r="L97" s="229">
        <v>6.6500000000000004E-2</v>
      </c>
      <c r="M97" s="231">
        <v>4541.8999999999996</v>
      </c>
      <c r="N97" s="231">
        <v>4262.7</v>
      </c>
      <c r="O97" s="228">
        <v>279.2</v>
      </c>
      <c r="P97" s="229">
        <v>6.5500000000000003E-2</v>
      </c>
      <c r="Q97" s="231">
        <v>4571.2</v>
      </c>
      <c r="R97" s="231">
        <v>4290.1000000000004</v>
      </c>
      <c r="S97" s="228">
        <v>281.10000000000002</v>
      </c>
      <c r="T97" s="229">
        <v>6.5500000000000003E-2</v>
      </c>
      <c r="U97" s="231">
        <v>4579.3</v>
      </c>
      <c r="V97" s="231">
        <v>4304.7</v>
      </c>
      <c r="W97" s="228">
        <v>274.60000000000002</v>
      </c>
      <c r="X97" s="229">
        <v>6.3799999999999996E-2</v>
      </c>
      <c r="Y97" s="228">
        <v>21.7</v>
      </c>
      <c r="Z97" s="228">
        <v>24.3</v>
      </c>
      <c r="AA97" s="228">
        <v>-2.6</v>
      </c>
      <c r="AB97" s="229">
        <v>4.7999999999999996E-3</v>
      </c>
      <c r="AC97" s="228">
        <v>21.7</v>
      </c>
      <c r="AD97" s="228">
        <v>24.3</v>
      </c>
      <c r="AE97" s="228">
        <v>-2.6</v>
      </c>
      <c r="AF97" s="229">
        <v>4.7999999999999996E-3</v>
      </c>
      <c r="AG97" s="228">
        <v>51</v>
      </c>
      <c r="AH97" s="228">
        <v>51.7</v>
      </c>
      <c r="AI97" s="228">
        <v>-0.7</v>
      </c>
      <c r="AJ97" s="229">
        <v>1.1299999999999999E-2</v>
      </c>
      <c r="AK97" s="228">
        <v>59.1</v>
      </c>
      <c r="AL97" s="228">
        <v>66.3</v>
      </c>
      <c r="AM97" s="228">
        <v>-7.2</v>
      </c>
      <c r="AN97" s="229">
        <v>1.3100000000000001E-2</v>
      </c>
      <c r="AO97" s="231">
        <v>4472.3</v>
      </c>
      <c r="AP97" s="231">
        <v>4473.0200000000004</v>
      </c>
      <c r="AQ97" s="228">
        <v>0</v>
      </c>
      <c r="AR97" s="230">
        <v>3063000</v>
      </c>
      <c r="AS97" s="230">
        <v>1105650</v>
      </c>
      <c r="AT97" s="230">
        <v>1957350</v>
      </c>
      <c r="AU97" s="229">
        <v>1.7703</v>
      </c>
      <c r="AV97" s="230">
        <v>2919150</v>
      </c>
      <c r="AW97" s="230">
        <v>1058550</v>
      </c>
      <c r="AX97" s="230">
        <v>1860600</v>
      </c>
      <c r="AY97" s="229">
        <v>1.7577</v>
      </c>
      <c r="AZ97" s="230">
        <v>122850</v>
      </c>
      <c r="BA97" s="230">
        <v>43050</v>
      </c>
      <c r="BB97" s="230">
        <v>79800</v>
      </c>
      <c r="BC97" s="229">
        <v>1.8536999999999999</v>
      </c>
      <c r="BD97" s="230">
        <v>21000</v>
      </c>
      <c r="BE97" s="230">
        <v>4050</v>
      </c>
      <c r="BF97" s="230">
        <v>16950</v>
      </c>
      <c r="BG97" s="229">
        <v>4.1852</v>
      </c>
      <c r="BH97" s="230">
        <v>14049750</v>
      </c>
      <c r="BI97" s="230">
        <v>4173600</v>
      </c>
      <c r="BJ97" s="230">
        <v>9876150</v>
      </c>
      <c r="BK97" s="229">
        <v>2.3662999999999998</v>
      </c>
      <c r="BL97" s="230">
        <v>6134700</v>
      </c>
      <c r="BM97" s="230">
        <v>2886900</v>
      </c>
      <c r="BN97" s="230">
        <v>3247800</v>
      </c>
      <c r="BO97" s="229">
        <v>1.125</v>
      </c>
      <c r="BP97" s="230">
        <v>23247450</v>
      </c>
      <c r="BQ97" s="230">
        <v>8166150</v>
      </c>
      <c r="BR97" s="230">
        <v>15081300</v>
      </c>
      <c r="BS97" s="229">
        <v>1.8468</v>
      </c>
      <c r="BT97" s="230">
        <v>2811417</v>
      </c>
      <c r="BU97" s="230">
        <v>1281319</v>
      </c>
      <c r="BV97" s="230">
        <v>1530098</v>
      </c>
      <c r="BW97" s="229">
        <v>1.1941999999999999</v>
      </c>
      <c r="BX97" s="230">
        <v>7764000</v>
      </c>
      <c r="BY97" s="230">
        <v>7917000</v>
      </c>
      <c r="BZ97" s="230">
        <v>-153000</v>
      </c>
      <c r="CA97" s="229">
        <v>-1.9300000000000001E-2</v>
      </c>
      <c r="CB97" s="230">
        <v>7493700</v>
      </c>
      <c r="CC97" s="230">
        <v>7647450</v>
      </c>
      <c r="CD97" s="230">
        <v>-153750</v>
      </c>
      <c r="CE97" s="229">
        <v>-2.01E-2</v>
      </c>
      <c r="CF97" s="230">
        <v>252000</v>
      </c>
      <c r="CG97" s="230">
        <v>250950</v>
      </c>
      <c r="CH97" s="230">
        <v>1050</v>
      </c>
      <c r="CI97" s="229">
        <v>4.1999999999999997E-3</v>
      </c>
      <c r="CJ97" s="230">
        <v>18300</v>
      </c>
      <c r="CK97" s="230">
        <v>18600</v>
      </c>
      <c r="CL97" s="228">
        <v>-300</v>
      </c>
      <c r="CM97" s="229">
        <v>-1.61E-2</v>
      </c>
      <c r="CN97" s="230">
        <v>4299450</v>
      </c>
      <c r="CO97" s="230">
        <v>3756450</v>
      </c>
      <c r="CP97" s="230">
        <v>543000</v>
      </c>
      <c r="CQ97" s="229">
        <v>0.14460000000000001</v>
      </c>
      <c r="CR97" s="230">
        <v>2577600</v>
      </c>
      <c r="CS97" s="230">
        <v>2083500</v>
      </c>
      <c r="CT97" s="230">
        <v>494100</v>
      </c>
      <c r="CU97" s="229">
        <v>0.23710000000000001</v>
      </c>
      <c r="CV97" s="230">
        <v>14641050</v>
      </c>
      <c r="CW97" s="230">
        <v>13756950</v>
      </c>
      <c r="CX97" s="230">
        <v>884100</v>
      </c>
      <c r="CY97" s="229">
        <v>6.4299999999999996E-2</v>
      </c>
      <c r="CZ97" s="228">
        <v>36.47</v>
      </c>
      <c r="DA97" s="228">
        <v>38.97</v>
      </c>
      <c r="DB97" s="228">
        <v>-2.5</v>
      </c>
      <c r="DC97" s="228">
        <v>-2.5</v>
      </c>
      <c r="DD97" s="228">
        <v>40.47</v>
      </c>
      <c r="DE97" s="228">
        <v>39.619999999999997</v>
      </c>
      <c r="DF97" s="228">
        <v>-4</v>
      </c>
      <c r="DG97" s="228">
        <v>0.85</v>
      </c>
      <c r="DH97" s="228">
        <v>35.61</v>
      </c>
      <c r="DI97" s="228">
        <v>38.270000000000003</v>
      </c>
      <c r="DJ97" s="228">
        <v>-2.66</v>
      </c>
      <c r="DK97" s="228">
        <v>-2.66</v>
      </c>
      <c r="DL97" s="228">
        <v>38.450000000000003</v>
      </c>
      <c r="DM97" s="228">
        <v>39.979999999999997</v>
      </c>
      <c r="DN97" s="228">
        <v>-1.53</v>
      </c>
      <c r="DO97" s="228">
        <v>-1.53</v>
      </c>
      <c r="DP97" s="228">
        <v>0.6</v>
      </c>
      <c r="DQ97" s="228">
        <v>0.55000000000000004</v>
      </c>
      <c r="DR97" s="228">
        <v>0.05</v>
      </c>
      <c r="DS97" s="229">
        <v>9.0899999999999995E-2</v>
      </c>
      <c r="DT97" s="231">
        <v>4500</v>
      </c>
      <c r="DU97" s="231">
        <v>4200</v>
      </c>
      <c r="DV97" s="228">
        <v>0.44</v>
      </c>
      <c r="DW97" s="228">
        <v>0.69</v>
      </c>
      <c r="DX97" s="228">
        <v>-0.25</v>
      </c>
      <c r="DY97" s="229">
        <v>-0.36230000000000001</v>
      </c>
      <c r="DZ97" s="229">
        <v>3.4799999999999998E-2</v>
      </c>
      <c r="EA97" s="230">
        <v>269550</v>
      </c>
      <c r="EB97" s="229">
        <v>6.4999999999999997E-3</v>
      </c>
      <c r="EC97" s="229">
        <v>3.4799999999999998E-2</v>
      </c>
      <c r="ED97" s="228">
        <v>0.72</v>
      </c>
      <c r="EE97" s="229">
        <v>2.0000000000000001E-4</v>
      </c>
      <c r="EF97" s="230">
        <v>1206369</v>
      </c>
      <c r="EG97" s="230">
        <v>691696</v>
      </c>
      <c r="EH97" s="229">
        <v>0.74409999999999998</v>
      </c>
      <c r="EI97" s="229">
        <v>0.42909999999999998</v>
      </c>
      <c r="EJ97" s="231">
        <v>664050.34</v>
      </c>
      <c r="EK97" s="231">
        <v>266860.94</v>
      </c>
      <c r="EL97" s="231">
        <v>136992.59</v>
      </c>
      <c r="EM97" s="231">
        <v>9791</v>
      </c>
      <c r="EN97" s="231">
        <v>1067903.8700000001</v>
      </c>
      <c r="EO97" s="231">
        <v>363268.06</v>
      </c>
      <c r="EP97" s="231">
        <v>704635.81</v>
      </c>
      <c r="EQ97" s="229">
        <v>1.9397</v>
      </c>
      <c r="ER97" s="231">
        <v>200016</v>
      </c>
      <c r="ES97" s="231">
        <v>110195</v>
      </c>
      <c r="ET97" s="231">
        <v>352714</v>
      </c>
      <c r="EU97" s="231">
        <v>33878797</v>
      </c>
      <c r="EV97" s="231">
        <v>662925</v>
      </c>
      <c r="EW97" s="231">
        <v>599912</v>
      </c>
      <c r="EX97" s="231">
        <v>63013</v>
      </c>
      <c r="EY97" s="229">
        <v>0.105</v>
      </c>
      <c r="EZ97" s="229">
        <v>0.43219999999999997</v>
      </c>
      <c r="FA97" s="227" t="s">
        <v>691</v>
      </c>
      <c r="FB97" s="161">
        <f t="shared" si="1"/>
        <v>270300</v>
      </c>
    </row>
    <row r="98" spans="1:158" ht="17.25" thickBot="1" x14ac:dyDescent="0.3">
      <c r="A98" s="226">
        <v>46148</v>
      </c>
      <c r="B98" s="227" t="s">
        <v>172</v>
      </c>
      <c r="C98" s="227" t="s">
        <v>239</v>
      </c>
      <c r="D98" s="228">
        <v>700</v>
      </c>
      <c r="E98" s="228">
        <v>953</v>
      </c>
      <c r="F98" s="228">
        <v>915.85</v>
      </c>
      <c r="G98" s="228">
        <v>37.15</v>
      </c>
      <c r="H98" s="229">
        <v>4.0599999999999997E-2</v>
      </c>
      <c r="I98" s="228">
        <v>946.75</v>
      </c>
      <c r="J98" s="228">
        <v>910.7</v>
      </c>
      <c r="K98" s="228">
        <v>36.049999999999997</v>
      </c>
      <c r="L98" s="229">
        <v>3.9600000000000003E-2</v>
      </c>
      <c r="M98" s="228">
        <v>953</v>
      </c>
      <c r="N98" s="228">
        <v>915.85</v>
      </c>
      <c r="O98" s="228">
        <v>37.15</v>
      </c>
      <c r="P98" s="229">
        <v>4.0599999999999997E-2</v>
      </c>
      <c r="Q98" s="228">
        <v>958.3</v>
      </c>
      <c r="R98" s="228">
        <v>919.75</v>
      </c>
      <c r="S98" s="228">
        <v>38.549999999999997</v>
      </c>
      <c r="T98" s="229">
        <v>4.19E-2</v>
      </c>
      <c r="U98" s="228">
        <v>962.9</v>
      </c>
      <c r="V98" s="228">
        <v>925.5</v>
      </c>
      <c r="W98" s="228">
        <v>37.4</v>
      </c>
      <c r="X98" s="229">
        <v>4.0399999999999998E-2</v>
      </c>
      <c r="Y98" s="228">
        <v>6.25</v>
      </c>
      <c r="Z98" s="228">
        <v>5.15</v>
      </c>
      <c r="AA98" s="228">
        <v>1.1000000000000001</v>
      </c>
      <c r="AB98" s="229">
        <v>6.6E-3</v>
      </c>
      <c r="AC98" s="228">
        <v>6.25</v>
      </c>
      <c r="AD98" s="228">
        <v>5.15</v>
      </c>
      <c r="AE98" s="228">
        <v>1.1000000000000001</v>
      </c>
      <c r="AF98" s="229">
        <v>6.6E-3</v>
      </c>
      <c r="AG98" s="228">
        <v>11.55</v>
      </c>
      <c r="AH98" s="228">
        <v>9.0500000000000007</v>
      </c>
      <c r="AI98" s="228">
        <v>2.5</v>
      </c>
      <c r="AJ98" s="229">
        <v>1.2200000000000001E-2</v>
      </c>
      <c r="AK98" s="228">
        <v>16.149999999999999</v>
      </c>
      <c r="AL98" s="228">
        <v>14.8</v>
      </c>
      <c r="AM98" s="228">
        <v>1.35</v>
      </c>
      <c r="AN98" s="229">
        <v>1.7100000000000001E-2</v>
      </c>
      <c r="AO98" s="228">
        <v>940.1</v>
      </c>
      <c r="AP98" s="228">
        <v>941.5</v>
      </c>
      <c r="AQ98" s="228">
        <v>0</v>
      </c>
      <c r="AR98" s="230">
        <v>4651500</v>
      </c>
      <c r="AS98" s="230">
        <v>2903600</v>
      </c>
      <c r="AT98" s="230">
        <v>1747900</v>
      </c>
      <c r="AU98" s="229">
        <v>0.60199999999999998</v>
      </c>
      <c r="AV98" s="230">
        <v>4067700</v>
      </c>
      <c r="AW98" s="230">
        <v>2412200</v>
      </c>
      <c r="AX98" s="230">
        <v>1655500</v>
      </c>
      <c r="AY98" s="229">
        <v>0.68630000000000002</v>
      </c>
      <c r="AZ98" s="230">
        <v>511000</v>
      </c>
      <c r="BA98" s="230">
        <v>485100</v>
      </c>
      <c r="BB98" s="230">
        <v>25900</v>
      </c>
      <c r="BC98" s="229">
        <v>5.3400000000000003E-2</v>
      </c>
      <c r="BD98" s="230">
        <v>72800</v>
      </c>
      <c r="BE98" s="230">
        <v>6300</v>
      </c>
      <c r="BF98" s="230">
        <v>66500</v>
      </c>
      <c r="BG98" s="229">
        <v>10.5556</v>
      </c>
      <c r="BH98" s="230">
        <v>9739100</v>
      </c>
      <c r="BI98" s="230">
        <v>6982500</v>
      </c>
      <c r="BJ98" s="230">
        <v>2756600</v>
      </c>
      <c r="BK98" s="229">
        <v>0.39479999999999998</v>
      </c>
      <c r="BL98" s="230">
        <v>7893900</v>
      </c>
      <c r="BM98" s="230">
        <v>4699100</v>
      </c>
      <c r="BN98" s="230">
        <v>3194800</v>
      </c>
      <c r="BO98" s="229">
        <v>0.67989999999999995</v>
      </c>
      <c r="BP98" s="230">
        <v>22284500</v>
      </c>
      <c r="BQ98" s="230">
        <v>14585200</v>
      </c>
      <c r="BR98" s="230">
        <v>7699300</v>
      </c>
      <c r="BS98" s="229">
        <v>0.52790000000000004</v>
      </c>
      <c r="BT98" s="230">
        <v>3023648</v>
      </c>
      <c r="BU98" s="230">
        <v>2118939</v>
      </c>
      <c r="BV98" s="230">
        <v>904709</v>
      </c>
      <c r="BW98" s="229">
        <v>0.42699999999999999</v>
      </c>
      <c r="BX98" s="230">
        <v>36582000</v>
      </c>
      <c r="BY98" s="230">
        <v>36456000</v>
      </c>
      <c r="BZ98" s="230">
        <v>126000</v>
      </c>
      <c r="CA98" s="229">
        <v>3.5000000000000001E-3</v>
      </c>
      <c r="CB98" s="230">
        <v>34491800</v>
      </c>
      <c r="CC98" s="230">
        <v>34632500</v>
      </c>
      <c r="CD98" s="230">
        <v>-140700</v>
      </c>
      <c r="CE98" s="229">
        <v>-4.1000000000000003E-3</v>
      </c>
      <c r="CF98" s="230">
        <v>2030700</v>
      </c>
      <c r="CG98" s="230">
        <v>1796200</v>
      </c>
      <c r="CH98" s="230">
        <v>234500</v>
      </c>
      <c r="CI98" s="229">
        <v>0.13059999999999999</v>
      </c>
      <c r="CJ98" s="230">
        <v>59500</v>
      </c>
      <c r="CK98" s="230">
        <v>27300</v>
      </c>
      <c r="CL98" s="230">
        <v>32200</v>
      </c>
      <c r="CM98" s="229">
        <v>1.1795</v>
      </c>
      <c r="CN98" s="230">
        <v>6580000</v>
      </c>
      <c r="CO98" s="230">
        <v>6236300</v>
      </c>
      <c r="CP98" s="230">
        <v>343700</v>
      </c>
      <c r="CQ98" s="229">
        <v>5.5100000000000003E-2</v>
      </c>
      <c r="CR98" s="230">
        <v>5994100</v>
      </c>
      <c r="CS98" s="230">
        <v>5464900</v>
      </c>
      <c r="CT98" s="230">
        <v>529200</v>
      </c>
      <c r="CU98" s="229">
        <v>9.6799999999999997E-2</v>
      </c>
      <c r="CV98" s="230">
        <v>49156100</v>
      </c>
      <c r="CW98" s="230">
        <v>48157200</v>
      </c>
      <c r="CX98" s="230">
        <v>998900</v>
      </c>
      <c r="CY98" s="229">
        <v>2.07E-2</v>
      </c>
      <c r="CZ98" s="228">
        <v>32.06</v>
      </c>
      <c r="DA98" s="228">
        <v>31.62</v>
      </c>
      <c r="DB98" s="228">
        <v>0.44</v>
      </c>
      <c r="DC98" s="228">
        <v>0.44</v>
      </c>
      <c r="DD98" s="228">
        <v>43.54</v>
      </c>
      <c r="DE98" s="228">
        <v>43.33</v>
      </c>
      <c r="DF98" s="228">
        <v>-11.48</v>
      </c>
      <c r="DG98" s="228">
        <v>0.21</v>
      </c>
      <c r="DH98" s="228">
        <v>31.02</v>
      </c>
      <c r="DI98" s="228">
        <v>31.41</v>
      </c>
      <c r="DJ98" s="228">
        <v>-0.39</v>
      </c>
      <c r="DK98" s="228">
        <v>-0.39</v>
      </c>
      <c r="DL98" s="228">
        <v>33.35</v>
      </c>
      <c r="DM98" s="228">
        <v>31.93</v>
      </c>
      <c r="DN98" s="228">
        <v>1.42</v>
      </c>
      <c r="DO98" s="228">
        <v>1.42</v>
      </c>
      <c r="DP98" s="228">
        <v>0.91</v>
      </c>
      <c r="DQ98" s="228">
        <v>0.88</v>
      </c>
      <c r="DR98" s="228">
        <v>0.03</v>
      </c>
      <c r="DS98" s="229">
        <v>3.4099999999999998E-2</v>
      </c>
      <c r="DT98" s="228">
        <v>900</v>
      </c>
      <c r="DU98" s="228">
        <v>900</v>
      </c>
      <c r="DV98" s="228">
        <v>0.81</v>
      </c>
      <c r="DW98" s="228">
        <v>0.67</v>
      </c>
      <c r="DX98" s="228">
        <v>0.14000000000000001</v>
      </c>
      <c r="DY98" s="229">
        <v>0.20899999999999999</v>
      </c>
      <c r="DZ98" s="229">
        <v>5.7099999999999998E-2</v>
      </c>
      <c r="EA98" s="230">
        <v>1823500</v>
      </c>
      <c r="EB98" s="229">
        <v>5.5999999999999999E-3</v>
      </c>
      <c r="EC98" s="229">
        <v>5.7099999999999998E-2</v>
      </c>
      <c r="ED98" s="228">
        <v>1.4</v>
      </c>
      <c r="EE98" s="229">
        <v>1.5E-3</v>
      </c>
      <c r="EF98" s="230">
        <v>1643779</v>
      </c>
      <c r="EG98" s="230">
        <v>1123651</v>
      </c>
      <c r="EH98" s="229">
        <v>0.46289999999999998</v>
      </c>
      <c r="EI98" s="229">
        <v>0.54359999999999997</v>
      </c>
      <c r="EJ98" s="231">
        <v>95640.86</v>
      </c>
      <c r="EK98" s="231">
        <v>72491.320000000007</v>
      </c>
      <c r="EL98" s="231">
        <v>43742.13</v>
      </c>
      <c r="EM98" s="231">
        <v>6061</v>
      </c>
      <c r="EN98" s="231">
        <v>211874.31</v>
      </c>
      <c r="EO98" s="231">
        <v>136441.39000000001</v>
      </c>
      <c r="EP98" s="231">
        <v>75432.92</v>
      </c>
      <c r="EQ98" s="229">
        <v>0.55289999999999995</v>
      </c>
      <c r="ER98" s="231">
        <v>61488</v>
      </c>
      <c r="ES98" s="231">
        <v>52986</v>
      </c>
      <c r="ET98" s="231">
        <v>348740</v>
      </c>
      <c r="EU98" s="231">
        <v>93808799</v>
      </c>
      <c r="EV98" s="231">
        <v>463214</v>
      </c>
      <c r="EW98" s="231">
        <v>439804</v>
      </c>
      <c r="EX98" s="231">
        <v>23410</v>
      </c>
      <c r="EY98" s="229">
        <v>5.3199999999999997E-2</v>
      </c>
      <c r="EZ98" s="229">
        <v>0.52400000000000002</v>
      </c>
      <c r="FA98" s="227" t="s">
        <v>555</v>
      </c>
      <c r="FB98" s="161">
        <f t="shared" si="1"/>
        <v>2090200</v>
      </c>
    </row>
    <row r="99" spans="1:158" ht="17.25" thickBot="1" x14ac:dyDescent="0.3">
      <c r="A99" s="226">
        <v>46148</v>
      </c>
      <c r="B99" s="227" t="s">
        <v>188</v>
      </c>
      <c r="C99" s="227" t="s">
        <v>473</v>
      </c>
      <c r="D99" s="228">
        <v>1700</v>
      </c>
      <c r="E99" s="228">
        <v>410.1</v>
      </c>
      <c r="F99" s="228">
        <v>404.95</v>
      </c>
      <c r="G99" s="228">
        <v>5.15</v>
      </c>
      <c r="H99" s="229">
        <v>1.2699999999999999E-2</v>
      </c>
      <c r="I99" s="228">
        <v>408.3</v>
      </c>
      <c r="J99" s="228">
        <v>402.7</v>
      </c>
      <c r="K99" s="228">
        <v>5.6</v>
      </c>
      <c r="L99" s="229">
        <v>1.3899999999999999E-2</v>
      </c>
      <c r="M99" s="228">
        <v>410.1</v>
      </c>
      <c r="N99" s="228">
        <v>404.95</v>
      </c>
      <c r="O99" s="228">
        <v>5.15</v>
      </c>
      <c r="P99" s="229">
        <v>1.2699999999999999E-2</v>
      </c>
      <c r="Q99" s="228">
        <v>412.75</v>
      </c>
      <c r="R99" s="228">
        <v>407.7</v>
      </c>
      <c r="S99" s="228">
        <v>5.05</v>
      </c>
      <c r="T99" s="229">
        <v>1.24E-2</v>
      </c>
      <c r="U99" s="228">
        <v>415.15</v>
      </c>
      <c r="V99" s="228">
        <v>410</v>
      </c>
      <c r="W99" s="228">
        <v>5.15</v>
      </c>
      <c r="X99" s="229">
        <v>1.26E-2</v>
      </c>
      <c r="Y99" s="228">
        <v>1.8</v>
      </c>
      <c r="Z99" s="228">
        <v>2.25</v>
      </c>
      <c r="AA99" s="228">
        <v>-0.45</v>
      </c>
      <c r="AB99" s="229">
        <v>4.4000000000000003E-3</v>
      </c>
      <c r="AC99" s="228">
        <v>1.8</v>
      </c>
      <c r="AD99" s="228">
        <v>2.25</v>
      </c>
      <c r="AE99" s="228">
        <v>-0.45</v>
      </c>
      <c r="AF99" s="229">
        <v>4.4000000000000003E-3</v>
      </c>
      <c r="AG99" s="228">
        <v>4.45</v>
      </c>
      <c r="AH99" s="228">
        <v>5</v>
      </c>
      <c r="AI99" s="228">
        <v>-0.55000000000000004</v>
      </c>
      <c r="AJ99" s="229">
        <v>1.09E-2</v>
      </c>
      <c r="AK99" s="228">
        <v>6.85</v>
      </c>
      <c r="AL99" s="228">
        <v>7.3</v>
      </c>
      <c r="AM99" s="228">
        <v>-0.45</v>
      </c>
      <c r="AN99" s="229">
        <v>1.6799999999999999E-2</v>
      </c>
      <c r="AO99" s="228">
        <v>410.54</v>
      </c>
      <c r="AP99" s="228">
        <v>413.96</v>
      </c>
      <c r="AQ99" s="228">
        <v>0</v>
      </c>
      <c r="AR99" s="230">
        <v>11439300</v>
      </c>
      <c r="AS99" s="230">
        <v>9270100</v>
      </c>
      <c r="AT99" s="230">
        <v>2169200</v>
      </c>
      <c r="AU99" s="229">
        <v>0.23400000000000001</v>
      </c>
      <c r="AV99" s="230">
        <v>10992200</v>
      </c>
      <c r="AW99" s="230">
        <v>8940300</v>
      </c>
      <c r="AX99" s="230">
        <v>2051900</v>
      </c>
      <c r="AY99" s="229">
        <v>0.22950000000000001</v>
      </c>
      <c r="AZ99" s="230">
        <v>389300</v>
      </c>
      <c r="BA99" s="230">
        <v>275400</v>
      </c>
      <c r="BB99" s="230">
        <v>113900</v>
      </c>
      <c r="BC99" s="229">
        <v>0.41360000000000002</v>
      </c>
      <c r="BD99" s="230">
        <v>57800</v>
      </c>
      <c r="BE99" s="230">
        <v>54400</v>
      </c>
      <c r="BF99" s="230">
        <v>3400</v>
      </c>
      <c r="BG99" s="229">
        <v>6.25E-2</v>
      </c>
      <c r="BH99" s="230">
        <v>32607700</v>
      </c>
      <c r="BI99" s="230">
        <v>36157300</v>
      </c>
      <c r="BJ99" s="230">
        <v>-3549600</v>
      </c>
      <c r="BK99" s="229">
        <v>-9.8199999999999996E-2</v>
      </c>
      <c r="BL99" s="230">
        <v>11000700</v>
      </c>
      <c r="BM99" s="230">
        <v>12008800</v>
      </c>
      <c r="BN99" s="230">
        <v>-1008100</v>
      </c>
      <c r="BO99" s="229">
        <v>-8.3900000000000002E-2</v>
      </c>
      <c r="BP99" s="230">
        <v>55047700</v>
      </c>
      <c r="BQ99" s="230">
        <v>57436200</v>
      </c>
      <c r="BR99" s="230">
        <v>-2388500</v>
      </c>
      <c r="BS99" s="229">
        <v>-4.1599999999999998E-2</v>
      </c>
      <c r="BT99" s="230">
        <v>5794323</v>
      </c>
      <c r="BU99" s="230">
        <v>4690191</v>
      </c>
      <c r="BV99" s="230">
        <v>1104132</v>
      </c>
      <c r="BW99" s="229">
        <v>0.2354</v>
      </c>
      <c r="BX99" s="230">
        <v>83935800</v>
      </c>
      <c r="BY99" s="230">
        <v>83065400</v>
      </c>
      <c r="BZ99" s="230">
        <v>870400</v>
      </c>
      <c r="CA99" s="229">
        <v>1.0500000000000001E-2</v>
      </c>
      <c r="CB99" s="230">
        <v>80054700</v>
      </c>
      <c r="CC99" s="230">
        <v>79279500</v>
      </c>
      <c r="CD99" s="230">
        <v>775200</v>
      </c>
      <c r="CE99" s="229">
        <v>9.7999999999999997E-3</v>
      </c>
      <c r="CF99" s="230">
        <v>3770600</v>
      </c>
      <c r="CG99" s="230">
        <v>3699200</v>
      </c>
      <c r="CH99" s="230">
        <v>71400</v>
      </c>
      <c r="CI99" s="229">
        <v>1.9300000000000001E-2</v>
      </c>
      <c r="CJ99" s="230">
        <v>110500</v>
      </c>
      <c r="CK99" s="230">
        <v>86700</v>
      </c>
      <c r="CL99" s="230">
        <v>23800</v>
      </c>
      <c r="CM99" s="229">
        <v>0.27450000000000002</v>
      </c>
      <c r="CN99" s="230">
        <v>29255300</v>
      </c>
      <c r="CO99" s="230">
        <v>30423200</v>
      </c>
      <c r="CP99" s="230">
        <v>-1167900</v>
      </c>
      <c r="CQ99" s="229">
        <v>-3.8399999999999997E-2</v>
      </c>
      <c r="CR99" s="230">
        <v>20374500</v>
      </c>
      <c r="CS99" s="230">
        <v>20644800</v>
      </c>
      <c r="CT99" s="230">
        <v>-270300</v>
      </c>
      <c r="CU99" s="229">
        <v>-1.3100000000000001E-2</v>
      </c>
      <c r="CV99" s="230">
        <v>133565600</v>
      </c>
      <c r="CW99" s="230">
        <v>134133400</v>
      </c>
      <c r="CX99" s="230">
        <v>-567800</v>
      </c>
      <c r="CY99" s="229">
        <v>-4.1999999999999997E-3</v>
      </c>
      <c r="CZ99" s="228">
        <v>29</v>
      </c>
      <c r="DA99" s="228">
        <v>30.16</v>
      </c>
      <c r="DB99" s="228">
        <v>-1.1599999999999999</v>
      </c>
      <c r="DC99" s="228">
        <v>-1.1599999999999999</v>
      </c>
      <c r="DD99" s="228">
        <v>37.299999999999997</v>
      </c>
      <c r="DE99" s="228">
        <v>37.35</v>
      </c>
      <c r="DF99" s="228">
        <v>-8.3000000000000007</v>
      </c>
      <c r="DG99" s="228">
        <v>-0.05</v>
      </c>
      <c r="DH99" s="228">
        <v>28.99</v>
      </c>
      <c r="DI99" s="228">
        <v>30.41</v>
      </c>
      <c r="DJ99" s="228">
        <v>-1.42</v>
      </c>
      <c r="DK99" s="228">
        <v>-1.42</v>
      </c>
      <c r="DL99" s="228">
        <v>29.05</v>
      </c>
      <c r="DM99" s="228">
        <v>29.41</v>
      </c>
      <c r="DN99" s="228">
        <v>-0.36</v>
      </c>
      <c r="DO99" s="228">
        <v>-0.36</v>
      </c>
      <c r="DP99" s="228">
        <v>0.7</v>
      </c>
      <c r="DQ99" s="228">
        <v>0.68</v>
      </c>
      <c r="DR99" s="228">
        <v>0.02</v>
      </c>
      <c r="DS99" s="229">
        <v>2.9399999999999999E-2</v>
      </c>
      <c r="DT99" s="228">
        <v>440</v>
      </c>
      <c r="DU99" s="228">
        <v>400</v>
      </c>
      <c r="DV99" s="228">
        <v>0.34</v>
      </c>
      <c r="DW99" s="228">
        <v>0.33</v>
      </c>
      <c r="DX99" s="228">
        <v>0.01</v>
      </c>
      <c r="DY99" s="229">
        <v>3.0300000000000001E-2</v>
      </c>
      <c r="DZ99" s="229">
        <v>4.6199999999999998E-2</v>
      </c>
      <c r="EA99" s="230">
        <v>3785900</v>
      </c>
      <c r="EB99" s="229">
        <v>6.4999999999999997E-3</v>
      </c>
      <c r="EC99" s="229">
        <v>4.6199999999999998E-2</v>
      </c>
      <c r="ED99" s="228">
        <v>3.42</v>
      </c>
      <c r="EE99" s="229">
        <v>8.3000000000000001E-3</v>
      </c>
      <c r="EF99" s="230">
        <v>2962096</v>
      </c>
      <c r="EG99" s="230">
        <v>1909053</v>
      </c>
      <c r="EH99" s="229">
        <v>0.55159999999999998</v>
      </c>
      <c r="EI99" s="229">
        <v>0.51119999999999999</v>
      </c>
      <c r="EJ99" s="231">
        <v>139733.42000000001</v>
      </c>
      <c r="EK99" s="231">
        <v>44556.37</v>
      </c>
      <c r="EL99" s="231">
        <v>46979.02</v>
      </c>
      <c r="EM99" s="231">
        <v>8452</v>
      </c>
      <c r="EN99" s="231">
        <v>231268.81</v>
      </c>
      <c r="EO99" s="231">
        <v>240513.71</v>
      </c>
      <c r="EP99" s="231">
        <v>-9244.9</v>
      </c>
      <c r="EQ99" s="229">
        <v>-3.8399999999999997E-2</v>
      </c>
      <c r="ER99" s="231">
        <v>124746</v>
      </c>
      <c r="ES99" s="231">
        <v>81557</v>
      </c>
      <c r="ET99" s="231">
        <v>344326</v>
      </c>
      <c r="EU99" s="231">
        <v>193625858</v>
      </c>
      <c r="EV99" s="231">
        <v>550629</v>
      </c>
      <c r="EW99" s="231">
        <v>548600</v>
      </c>
      <c r="EX99" s="231">
        <v>2029</v>
      </c>
      <c r="EY99" s="229">
        <v>3.7000000000000002E-3</v>
      </c>
      <c r="EZ99" s="229">
        <v>0.68979999999999997</v>
      </c>
      <c r="FA99" s="227" t="s">
        <v>555</v>
      </c>
      <c r="FB99" s="161">
        <f t="shared" si="1"/>
        <v>3881100</v>
      </c>
    </row>
    <row r="100" spans="1:158" ht="17.25" thickBot="1" x14ac:dyDescent="0.3">
      <c r="A100" s="226">
        <v>46148</v>
      </c>
      <c r="B100" s="227" t="s">
        <v>221</v>
      </c>
      <c r="C100" s="227" t="s">
        <v>240</v>
      </c>
      <c r="D100" s="228">
        <v>400</v>
      </c>
      <c r="E100" s="231">
        <v>1171</v>
      </c>
      <c r="F100" s="231">
        <v>1178.3</v>
      </c>
      <c r="G100" s="228">
        <v>-7.3</v>
      </c>
      <c r="H100" s="229">
        <v>-6.1999999999999998E-3</v>
      </c>
      <c r="I100" s="231">
        <v>1167.2</v>
      </c>
      <c r="J100" s="231">
        <v>1178.0999999999999</v>
      </c>
      <c r="K100" s="228">
        <v>-10.9</v>
      </c>
      <c r="L100" s="229">
        <v>-9.2999999999999992E-3</v>
      </c>
      <c r="M100" s="231">
        <v>1171</v>
      </c>
      <c r="N100" s="231">
        <v>1178.3</v>
      </c>
      <c r="O100" s="228">
        <v>-7.3</v>
      </c>
      <c r="P100" s="229">
        <v>-6.1999999999999998E-3</v>
      </c>
      <c r="Q100" s="231">
        <v>1172.4000000000001</v>
      </c>
      <c r="R100" s="231">
        <v>1178.8</v>
      </c>
      <c r="S100" s="228">
        <v>-6.4</v>
      </c>
      <c r="T100" s="229">
        <v>-5.4000000000000003E-3</v>
      </c>
      <c r="U100" s="231">
        <v>1176</v>
      </c>
      <c r="V100" s="231">
        <v>1181.5999999999999</v>
      </c>
      <c r="W100" s="228">
        <v>-5.6</v>
      </c>
      <c r="X100" s="229">
        <v>-4.7000000000000002E-3</v>
      </c>
      <c r="Y100" s="228">
        <v>3.8</v>
      </c>
      <c r="Z100" s="228">
        <v>0.2</v>
      </c>
      <c r="AA100" s="228">
        <v>3.6</v>
      </c>
      <c r="AB100" s="229">
        <v>3.3E-3</v>
      </c>
      <c r="AC100" s="228">
        <v>3.8</v>
      </c>
      <c r="AD100" s="228">
        <v>0.2</v>
      </c>
      <c r="AE100" s="228">
        <v>3.6</v>
      </c>
      <c r="AF100" s="229">
        <v>3.3E-3</v>
      </c>
      <c r="AG100" s="228">
        <v>5.2</v>
      </c>
      <c r="AH100" s="228">
        <v>0.7</v>
      </c>
      <c r="AI100" s="228">
        <v>4.5</v>
      </c>
      <c r="AJ100" s="229">
        <v>4.4999999999999997E-3</v>
      </c>
      <c r="AK100" s="228">
        <v>8.8000000000000007</v>
      </c>
      <c r="AL100" s="228">
        <v>3.5</v>
      </c>
      <c r="AM100" s="228">
        <v>5.3</v>
      </c>
      <c r="AN100" s="229">
        <v>7.4999999999999997E-3</v>
      </c>
      <c r="AO100" s="231">
        <v>1174.18</v>
      </c>
      <c r="AP100" s="231">
        <v>1175.19</v>
      </c>
      <c r="AQ100" s="228">
        <v>0</v>
      </c>
      <c r="AR100" s="230">
        <v>10949600</v>
      </c>
      <c r="AS100" s="230">
        <v>5986800</v>
      </c>
      <c r="AT100" s="230">
        <v>4962800</v>
      </c>
      <c r="AU100" s="229">
        <v>0.82899999999999996</v>
      </c>
      <c r="AV100" s="230">
        <v>9887200</v>
      </c>
      <c r="AW100" s="230">
        <v>5461200</v>
      </c>
      <c r="AX100" s="230">
        <v>4426000</v>
      </c>
      <c r="AY100" s="229">
        <v>0.81040000000000001</v>
      </c>
      <c r="AZ100" s="230">
        <v>925600</v>
      </c>
      <c r="BA100" s="230">
        <v>461600</v>
      </c>
      <c r="BB100" s="230">
        <v>464000</v>
      </c>
      <c r="BC100" s="229">
        <v>1.0052000000000001</v>
      </c>
      <c r="BD100" s="230">
        <v>136800</v>
      </c>
      <c r="BE100" s="230">
        <v>64000</v>
      </c>
      <c r="BF100" s="230">
        <v>72800</v>
      </c>
      <c r="BG100" s="229">
        <v>1.1375</v>
      </c>
      <c r="BH100" s="230">
        <v>31862800</v>
      </c>
      <c r="BI100" s="230">
        <v>18187600</v>
      </c>
      <c r="BJ100" s="230">
        <v>13675200</v>
      </c>
      <c r="BK100" s="229">
        <v>0.75190000000000001</v>
      </c>
      <c r="BL100" s="230">
        <v>16237200</v>
      </c>
      <c r="BM100" s="230">
        <v>9085600</v>
      </c>
      <c r="BN100" s="230">
        <v>7151600</v>
      </c>
      <c r="BO100" s="229">
        <v>0.78710000000000002</v>
      </c>
      <c r="BP100" s="230">
        <v>59049600</v>
      </c>
      <c r="BQ100" s="230">
        <v>33260000</v>
      </c>
      <c r="BR100" s="230">
        <v>25789600</v>
      </c>
      <c r="BS100" s="229">
        <v>0.77539999999999998</v>
      </c>
      <c r="BT100" s="230">
        <v>10174454</v>
      </c>
      <c r="BU100" s="230">
        <v>8507610</v>
      </c>
      <c r="BV100" s="230">
        <v>1666844</v>
      </c>
      <c r="BW100" s="229">
        <v>0.19589999999999999</v>
      </c>
      <c r="BX100" s="230">
        <v>85876800</v>
      </c>
      <c r="BY100" s="230">
        <v>82906000</v>
      </c>
      <c r="BZ100" s="230">
        <v>2970800</v>
      </c>
      <c r="CA100" s="229">
        <v>3.5799999999999998E-2</v>
      </c>
      <c r="CB100" s="230">
        <v>79884800</v>
      </c>
      <c r="CC100" s="230">
        <v>77441600</v>
      </c>
      <c r="CD100" s="230">
        <v>2443200</v>
      </c>
      <c r="CE100" s="229">
        <v>3.15E-2</v>
      </c>
      <c r="CF100" s="230">
        <v>5695200</v>
      </c>
      <c r="CG100" s="230">
        <v>5253600</v>
      </c>
      <c r="CH100" s="230">
        <v>441600</v>
      </c>
      <c r="CI100" s="229">
        <v>8.4099999999999994E-2</v>
      </c>
      <c r="CJ100" s="230">
        <v>296800</v>
      </c>
      <c r="CK100" s="230">
        <v>210800</v>
      </c>
      <c r="CL100" s="230">
        <v>86000</v>
      </c>
      <c r="CM100" s="229">
        <v>0.40799999999999997</v>
      </c>
      <c r="CN100" s="230">
        <v>40464000</v>
      </c>
      <c r="CO100" s="230">
        <v>35942000</v>
      </c>
      <c r="CP100" s="230">
        <v>4522000</v>
      </c>
      <c r="CQ100" s="229">
        <v>0.1258</v>
      </c>
      <c r="CR100" s="230">
        <v>22896000</v>
      </c>
      <c r="CS100" s="230">
        <v>21021600</v>
      </c>
      <c r="CT100" s="230">
        <v>1874400</v>
      </c>
      <c r="CU100" s="229">
        <v>8.9200000000000002E-2</v>
      </c>
      <c r="CV100" s="230">
        <v>149236800</v>
      </c>
      <c r="CW100" s="230">
        <v>139869600</v>
      </c>
      <c r="CX100" s="230">
        <v>9367200</v>
      </c>
      <c r="CY100" s="229">
        <v>6.7000000000000004E-2</v>
      </c>
      <c r="CZ100" s="228">
        <v>30.09</v>
      </c>
      <c r="DA100" s="228">
        <v>30.18</v>
      </c>
      <c r="DB100" s="228">
        <v>-0.09</v>
      </c>
      <c r="DC100" s="228">
        <v>-0.09</v>
      </c>
      <c r="DD100" s="228">
        <v>32.28</v>
      </c>
      <c r="DE100" s="228">
        <v>32.340000000000003</v>
      </c>
      <c r="DF100" s="228">
        <v>-2.19</v>
      </c>
      <c r="DG100" s="228">
        <v>-0.06</v>
      </c>
      <c r="DH100" s="228">
        <v>30.55</v>
      </c>
      <c r="DI100" s="228">
        <v>30.43</v>
      </c>
      <c r="DJ100" s="228">
        <v>0.12</v>
      </c>
      <c r="DK100" s="228">
        <v>0.12</v>
      </c>
      <c r="DL100" s="228">
        <v>29.18</v>
      </c>
      <c r="DM100" s="228">
        <v>29.69</v>
      </c>
      <c r="DN100" s="228">
        <v>-0.51</v>
      </c>
      <c r="DO100" s="228">
        <v>-0.51</v>
      </c>
      <c r="DP100" s="228">
        <v>0.56999999999999995</v>
      </c>
      <c r="DQ100" s="228">
        <v>0.57999999999999996</v>
      </c>
      <c r="DR100" s="228">
        <v>-0.01</v>
      </c>
      <c r="DS100" s="229">
        <v>-1.72E-2</v>
      </c>
      <c r="DT100" s="231">
        <v>1200</v>
      </c>
      <c r="DU100" s="231">
        <v>1100</v>
      </c>
      <c r="DV100" s="228">
        <v>0.51</v>
      </c>
      <c r="DW100" s="228">
        <v>0.5</v>
      </c>
      <c r="DX100" s="228">
        <v>0.01</v>
      </c>
      <c r="DY100" s="229">
        <v>0.02</v>
      </c>
      <c r="DZ100" s="229">
        <v>6.9800000000000001E-2</v>
      </c>
      <c r="EA100" s="230">
        <v>5464400</v>
      </c>
      <c r="EB100" s="229">
        <v>1.1999999999999999E-3</v>
      </c>
      <c r="EC100" s="229">
        <v>6.9800000000000001E-2</v>
      </c>
      <c r="ED100" s="228">
        <v>1.01</v>
      </c>
      <c r="EE100" s="229">
        <v>8.9999999999999998E-4</v>
      </c>
      <c r="EF100" s="230">
        <v>5946754</v>
      </c>
      <c r="EG100" s="230">
        <v>3366050</v>
      </c>
      <c r="EH100" s="229">
        <v>0.76670000000000005</v>
      </c>
      <c r="EI100" s="229">
        <v>0.58450000000000002</v>
      </c>
      <c r="EJ100" s="231">
        <v>397445.48</v>
      </c>
      <c r="EK100" s="231">
        <v>188611.37</v>
      </c>
      <c r="EL100" s="231">
        <v>128582.91</v>
      </c>
      <c r="EM100" s="231">
        <v>19235</v>
      </c>
      <c r="EN100" s="231">
        <v>714639.76</v>
      </c>
      <c r="EO100" s="231">
        <v>404384.46</v>
      </c>
      <c r="EP100" s="231">
        <v>310255.3</v>
      </c>
      <c r="EQ100" s="229">
        <v>0.76719999999999999</v>
      </c>
      <c r="ER100" s="231">
        <v>509478</v>
      </c>
      <c r="ES100" s="231">
        <v>269378</v>
      </c>
      <c r="ET100" s="231">
        <v>1005712</v>
      </c>
      <c r="EU100" s="231">
        <v>475237614</v>
      </c>
      <c r="EV100" s="231">
        <v>1784568</v>
      </c>
      <c r="EW100" s="231">
        <v>1679601</v>
      </c>
      <c r="EX100" s="231">
        <v>104967</v>
      </c>
      <c r="EY100" s="229">
        <v>6.25E-2</v>
      </c>
      <c r="EZ100" s="229">
        <v>0.314</v>
      </c>
      <c r="FA100" s="227" t="s">
        <v>566</v>
      </c>
      <c r="FB100" s="161">
        <f t="shared" si="1"/>
        <v>5992000</v>
      </c>
    </row>
    <row r="101" spans="1:158" ht="17.25" thickBot="1" x14ac:dyDescent="0.3">
      <c r="A101" s="226">
        <v>46148</v>
      </c>
      <c r="B101" s="227" t="s">
        <v>161</v>
      </c>
      <c r="C101" s="227" t="s">
        <v>666</v>
      </c>
      <c r="D101" s="228">
        <v>3575</v>
      </c>
      <c r="E101" s="228">
        <v>107.53</v>
      </c>
      <c r="F101" s="228">
        <v>104.73</v>
      </c>
      <c r="G101" s="228">
        <v>2.8</v>
      </c>
      <c r="H101" s="229">
        <v>2.6700000000000002E-2</v>
      </c>
      <c r="I101" s="228">
        <v>107.11</v>
      </c>
      <c r="J101" s="228">
        <v>104.47</v>
      </c>
      <c r="K101" s="228">
        <v>2.64</v>
      </c>
      <c r="L101" s="229">
        <v>2.53E-2</v>
      </c>
      <c r="M101" s="228">
        <v>107.53</v>
      </c>
      <c r="N101" s="228">
        <v>104.73</v>
      </c>
      <c r="O101" s="228">
        <v>2.8</v>
      </c>
      <c r="P101" s="229">
        <v>2.6700000000000002E-2</v>
      </c>
      <c r="Q101" s="228">
        <v>108.07</v>
      </c>
      <c r="R101" s="228">
        <v>105.41</v>
      </c>
      <c r="S101" s="228">
        <v>2.66</v>
      </c>
      <c r="T101" s="229">
        <v>2.52E-2</v>
      </c>
      <c r="U101" s="228">
        <v>109</v>
      </c>
      <c r="V101" s="228">
        <v>106.37</v>
      </c>
      <c r="W101" s="228">
        <v>2.63</v>
      </c>
      <c r="X101" s="229">
        <v>2.47E-2</v>
      </c>
      <c r="Y101" s="228">
        <v>0.42</v>
      </c>
      <c r="Z101" s="228">
        <v>0.26</v>
      </c>
      <c r="AA101" s="228">
        <v>0.16</v>
      </c>
      <c r="AB101" s="229">
        <v>3.8999999999999998E-3</v>
      </c>
      <c r="AC101" s="228">
        <v>0.42</v>
      </c>
      <c r="AD101" s="228">
        <v>0.26</v>
      </c>
      <c r="AE101" s="228">
        <v>0.16</v>
      </c>
      <c r="AF101" s="229">
        <v>3.8999999999999998E-3</v>
      </c>
      <c r="AG101" s="228">
        <v>0.96</v>
      </c>
      <c r="AH101" s="228">
        <v>0.94</v>
      </c>
      <c r="AI101" s="228">
        <v>0.02</v>
      </c>
      <c r="AJ101" s="229">
        <v>8.9999999999999993E-3</v>
      </c>
      <c r="AK101" s="228">
        <v>1.89</v>
      </c>
      <c r="AL101" s="228">
        <v>1.9</v>
      </c>
      <c r="AM101" s="228">
        <v>-0.01</v>
      </c>
      <c r="AN101" s="229">
        <v>1.7600000000000001E-2</v>
      </c>
      <c r="AO101" s="228">
        <v>107.03</v>
      </c>
      <c r="AP101" s="228">
        <v>107.54</v>
      </c>
      <c r="AQ101" s="228">
        <v>0</v>
      </c>
      <c r="AR101" s="230">
        <v>17017000</v>
      </c>
      <c r="AS101" s="230">
        <v>22508200</v>
      </c>
      <c r="AT101" s="230">
        <v>-5491200</v>
      </c>
      <c r="AU101" s="229">
        <v>-0.24399999999999999</v>
      </c>
      <c r="AV101" s="230">
        <v>16305575</v>
      </c>
      <c r="AW101" s="230">
        <v>21853975</v>
      </c>
      <c r="AX101" s="230">
        <v>-5548400</v>
      </c>
      <c r="AY101" s="229">
        <v>-0.25390000000000001</v>
      </c>
      <c r="AZ101" s="230">
        <v>664950</v>
      </c>
      <c r="BA101" s="230">
        <v>622050</v>
      </c>
      <c r="BB101" s="230">
        <v>42900</v>
      </c>
      <c r="BC101" s="229">
        <v>6.9000000000000006E-2</v>
      </c>
      <c r="BD101" s="230">
        <v>46475</v>
      </c>
      <c r="BE101" s="230">
        <v>32175</v>
      </c>
      <c r="BF101" s="230">
        <v>14300</v>
      </c>
      <c r="BG101" s="229">
        <v>0.44440000000000002</v>
      </c>
      <c r="BH101" s="230">
        <v>40329575</v>
      </c>
      <c r="BI101" s="230">
        <v>50350300</v>
      </c>
      <c r="BJ101" s="230">
        <v>-10020725</v>
      </c>
      <c r="BK101" s="229">
        <v>-0.19900000000000001</v>
      </c>
      <c r="BL101" s="230">
        <v>8966100</v>
      </c>
      <c r="BM101" s="230">
        <v>12555400</v>
      </c>
      <c r="BN101" s="230">
        <v>-3589300</v>
      </c>
      <c r="BO101" s="229">
        <v>-0.28589999999999999</v>
      </c>
      <c r="BP101" s="230">
        <v>66312675</v>
      </c>
      <c r="BQ101" s="230">
        <v>85413900</v>
      </c>
      <c r="BR101" s="230">
        <v>-19101225</v>
      </c>
      <c r="BS101" s="229">
        <v>-0.22359999999999999</v>
      </c>
      <c r="BT101" s="230">
        <v>22350801</v>
      </c>
      <c r="BU101" s="230">
        <v>27369456</v>
      </c>
      <c r="BV101" s="230">
        <v>-5018655</v>
      </c>
      <c r="BW101" s="229">
        <v>-0.18340000000000001</v>
      </c>
      <c r="BX101" s="230">
        <v>91861650</v>
      </c>
      <c r="BY101" s="230">
        <v>93681325</v>
      </c>
      <c r="BZ101" s="230">
        <v>-1819675</v>
      </c>
      <c r="CA101" s="229">
        <v>-1.9400000000000001E-2</v>
      </c>
      <c r="CB101" s="230">
        <v>88617100</v>
      </c>
      <c r="CC101" s="230">
        <v>90379575</v>
      </c>
      <c r="CD101" s="230">
        <v>-1762475</v>
      </c>
      <c r="CE101" s="229">
        <v>-1.95E-2</v>
      </c>
      <c r="CF101" s="230">
        <v>2438150</v>
      </c>
      <c r="CG101" s="230">
        <v>2495350</v>
      </c>
      <c r="CH101" s="230">
        <v>-57200</v>
      </c>
      <c r="CI101" s="229">
        <v>-2.29E-2</v>
      </c>
      <c r="CJ101" s="230">
        <v>806400</v>
      </c>
      <c r="CK101" s="230">
        <v>806400</v>
      </c>
      <c r="CL101" s="228">
        <v>0</v>
      </c>
      <c r="CM101" s="229">
        <v>0</v>
      </c>
      <c r="CN101" s="230">
        <v>26494325</v>
      </c>
      <c r="CO101" s="230">
        <v>24277825</v>
      </c>
      <c r="CP101" s="230">
        <v>2216500</v>
      </c>
      <c r="CQ101" s="229">
        <v>9.1300000000000006E-2</v>
      </c>
      <c r="CR101" s="230">
        <v>13502775</v>
      </c>
      <c r="CS101" s="230">
        <v>12566125</v>
      </c>
      <c r="CT101" s="230">
        <v>936650</v>
      </c>
      <c r="CU101" s="229">
        <v>7.4499999999999997E-2</v>
      </c>
      <c r="CV101" s="230">
        <v>131858750</v>
      </c>
      <c r="CW101" s="230">
        <v>130525275</v>
      </c>
      <c r="CX101" s="230">
        <v>1333475</v>
      </c>
      <c r="CY101" s="229">
        <v>1.0200000000000001E-2</v>
      </c>
      <c r="CZ101" s="228">
        <v>50.75</v>
      </c>
      <c r="DA101" s="228">
        <v>52.8</v>
      </c>
      <c r="DB101" s="228">
        <v>-2.0499999999999998</v>
      </c>
      <c r="DC101" s="228">
        <v>-2.0499999999999998</v>
      </c>
      <c r="DD101" s="228">
        <v>53.68</v>
      </c>
      <c r="DE101" s="228">
        <v>53.69</v>
      </c>
      <c r="DF101" s="228">
        <v>-2.93</v>
      </c>
      <c r="DG101" s="228">
        <v>-0.01</v>
      </c>
      <c r="DH101" s="228">
        <v>50.66</v>
      </c>
      <c r="DI101" s="228">
        <v>52.92</v>
      </c>
      <c r="DJ101" s="228">
        <v>-2.2599999999999998</v>
      </c>
      <c r="DK101" s="228">
        <v>-2.2599999999999998</v>
      </c>
      <c r="DL101" s="228">
        <v>51.18</v>
      </c>
      <c r="DM101" s="228">
        <v>52.28</v>
      </c>
      <c r="DN101" s="228">
        <v>-1.1000000000000001</v>
      </c>
      <c r="DO101" s="228">
        <v>-1.1000000000000001</v>
      </c>
      <c r="DP101" s="228">
        <v>0.51</v>
      </c>
      <c r="DQ101" s="228">
        <v>0.52</v>
      </c>
      <c r="DR101" s="228">
        <v>-0.01</v>
      </c>
      <c r="DS101" s="229">
        <v>-1.9199999999999998E-2</v>
      </c>
      <c r="DT101" s="228">
        <v>110</v>
      </c>
      <c r="DU101" s="228">
        <v>100</v>
      </c>
      <c r="DV101" s="228">
        <v>0.22</v>
      </c>
      <c r="DW101" s="228">
        <v>0.25</v>
      </c>
      <c r="DX101" s="228">
        <v>-0.03</v>
      </c>
      <c r="DY101" s="229">
        <v>-0.12</v>
      </c>
      <c r="DZ101" s="229">
        <v>3.5299999999999998E-2</v>
      </c>
      <c r="EA101" s="230">
        <v>3301750</v>
      </c>
      <c r="EB101" s="229">
        <v>5.0000000000000001E-3</v>
      </c>
      <c r="EC101" s="229">
        <v>3.5299999999999998E-2</v>
      </c>
      <c r="ED101" s="228">
        <v>0.51</v>
      </c>
      <c r="EE101" s="229">
        <v>4.7999999999999996E-3</v>
      </c>
      <c r="EF101" s="230">
        <v>9002330</v>
      </c>
      <c r="EG101" s="230">
        <v>10926780</v>
      </c>
      <c r="EH101" s="229">
        <v>-0.17610000000000001</v>
      </c>
      <c r="EI101" s="229">
        <v>0.40279999999999999</v>
      </c>
      <c r="EJ101" s="231">
        <v>45679.360000000001</v>
      </c>
      <c r="EK101" s="231">
        <v>9333.19</v>
      </c>
      <c r="EL101" s="231">
        <v>18257.48</v>
      </c>
      <c r="EM101" s="231">
        <v>5835</v>
      </c>
      <c r="EN101" s="231">
        <v>73270.03</v>
      </c>
      <c r="EO101" s="231">
        <v>93261.87</v>
      </c>
      <c r="EP101" s="231">
        <v>-19991.84</v>
      </c>
      <c r="EQ101" s="229">
        <v>-0.21440000000000001</v>
      </c>
      <c r="ER101" s="231">
        <v>28238</v>
      </c>
      <c r="ES101" s="231">
        <v>13618</v>
      </c>
      <c r="ET101" s="231">
        <v>98804</v>
      </c>
      <c r="EU101" s="231">
        <v>144708707</v>
      </c>
      <c r="EV101" s="231">
        <v>140660</v>
      </c>
      <c r="EW101" s="231">
        <v>136576</v>
      </c>
      <c r="EX101" s="231">
        <v>4084</v>
      </c>
      <c r="EY101" s="229">
        <v>2.9899999999999999E-2</v>
      </c>
      <c r="EZ101" s="229">
        <v>0.91120000000000001</v>
      </c>
      <c r="FA101" s="227" t="s">
        <v>691</v>
      </c>
      <c r="FB101" s="161">
        <f t="shared" si="1"/>
        <v>3244550</v>
      </c>
    </row>
    <row r="102" spans="1:158" ht="17.25" thickBot="1" x14ac:dyDescent="0.3">
      <c r="A102" s="226">
        <v>46148</v>
      </c>
      <c r="B102" s="227" t="s">
        <v>193</v>
      </c>
      <c r="C102" s="227" t="s">
        <v>241</v>
      </c>
      <c r="D102" s="228">
        <v>4875</v>
      </c>
      <c r="E102" s="228">
        <v>149.18</v>
      </c>
      <c r="F102" s="228">
        <v>142.99</v>
      </c>
      <c r="G102" s="228">
        <v>6.19</v>
      </c>
      <c r="H102" s="229">
        <v>4.3299999999999998E-2</v>
      </c>
      <c r="I102" s="228">
        <v>148.21</v>
      </c>
      <c r="J102" s="228">
        <v>142.13999999999999</v>
      </c>
      <c r="K102" s="228">
        <v>6.07</v>
      </c>
      <c r="L102" s="229">
        <v>4.2700000000000002E-2</v>
      </c>
      <c r="M102" s="228">
        <v>149.18</v>
      </c>
      <c r="N102" s="228">
        <v>142.99</v>
      </c>
      <c r="O102" s="228">
        <v>6.19</v>
      </c>
      <c r="P102" s="229">
        <v>4.3299999999999998E-2</v>
      </c>
      <c r="Q102" s="228">
        <v>150.18</v>
      </c>
      <c r="R102" s="228">
        <v>143.97999999999999</v>
      </c>
      <c r="S102" s="228">
        <v>6.2</v>
      </c>
      <c r="T102" s="229">
        <v>4.3099999999999999E-2</v>
      </c>
      <c r="U102" s="228">
        <v>150.9</v>
      </c>
      <c r="V102" s="228">
        <v>145</v>
      </c>
      <c r="W102" s="228">
        <v>5.9</v>
      </c>
      <c r="X102" s="229">
        <v>4.07E-2</v>
      </c>
      <c r="Y102" s="228">
        <v>0.97</v>
      </c>
      <c r="Z102" s="228">
        <v>0.85</v>
      </c>
      <c r="AA102" s="228">
        <v>0.12</v>
      </c>
      <c r="AB102" s="229">
        <v>6.4999999999999997E-3</v>
      </c>
      <c r="AC102" s="228">
        <v>0.97</v>
      </c>
      <c r="AD102" s="228">
        <v>0.85</v>
      </c>
      <c r="AE102" s="228">
        <v>0.12</v>
      </c>
      <c r="AF102" s="229">
        <v>6.4999999999999997E-3</v>
      </c>
      <c r="AG102" s="228">
        <v>1.97</v>
      </c>
      <c r="AH102" s="228">
        <v>1.84</v>
      </c>
      <c r="AI102" s="228">
        <v>0.13</v>
      </c>
      <c r="AJ102" s="229">
        <v>1.3299999999999999E-2</v>
      </c>
      <c r="AK102" s="228">
        <v>2.69</v>
      </c>
      <c r="AL102" s="228">
        <v>2.86</v>
      </c>
      <c r="AM102" s="228">
        <v>-0.17</v>
      </c>
      <c r="AN102" s="229">
        <v>1.8100000000000002E-2</v>
      </c>
      <c r="AO102" s="228">
        <v>147.5</v>
      </c>
      <c r="AP102" s="228">
        <v>148.11000000000001</v>
      </c>
      <c r="AQ102" s="228">
        <v>0</v>
      </c>
      <c r="AR102" s="230">
        <v>29630250</v>
      </c>
      <c r="AS102" s="230">
        <v>6649500</v>
      </c>
      <c r="AT102" s="230">
        <v>22980750</v>
      </c>
      <c r="AU102" s="229">
        <v>3.456</v>
      </c>
      <c r="AV102" s="230">
        <v>27733875</v>
      </c>
      <c r="AW102" s="230">
        <v>6225375</v>
      </c>
      <c r="AX102" s="230">
        <v>21508500</v>
      </c>
      <c r="AY102" s="229">
        <v>3.4550000000000001</v>
      </c>
      <c r="AZ102" s="230">
        <v>1642875</v>
      </c>
      <c r="BA102" s="230">
        <v>385125</v>
      </c>
      <c r="BB102" s="230">
        <v>1257750</v>
      </c>
      <c r="BC102" s="229">
        <v>3.2658</v>
      </c>
      <c r="BD102" s="230">
        <v>253500</v>
      </c>
      <c r="BE102" s="230">
        <v>39000</v>
      </c>
      <c r="BF102" s="230">
        <v>214500</v>
      </c>
      <c r="BG102" s="229">
        <v>5.5</v>
      </c>
      <c r="BH102" s="230">
        <v>116346750</v>
      </c>
      <c r="BI102" s="230">
        <v>24145875</v>
      </c>
      <c r="BJ102" s="230">
        <v>92200875</v>
      </c>
      <c r="BK102" s="229">
        <v>3.8184999999999998</v>
      </c>
      <c r="BL102" s="230">
        <v>45586125</v>
      </c>
      <c r="BM102" s="230">
        <v>14478750</v>
      </c>
      <c r="BN102" s="230">
        <v>31107375</v>
      </c>
      <c r="BO102" s="229">
        <v>2.1484999999999999</v>
      </c>
      <c r="BP102" s="230">
        <v>191563125</v>
      </c>
      <c r="BQ102" s="230">
        <v>45274125</v>
      </c>
      <c r="BR102" s="230">
        <v>146289000</v>
      </c>
      <c r="BS102" s="229">
        <v>3.2311999999999999</v>
      </c>
      <c r="BT102" s="230">
        <v>18603275</v>
      </c>
      <c r="BU102" s="230">
        <v>9801896</v>
      </c>
      <c r="BV102" s="230">
        <v>8801379</v>
      </c>
      <c r="BW102" s="229">
        <v>0.89790000000000003</v>
      </c>
      <c r="BX102" s="230">
        <v>112807500</v>
      </c>
      <c r="BY102" s="230">
        <v>113348625</v>
      </c>
      <c r="BZ102" s="230">
        <v>-541125</v>
      </c>
      <c r="CA102" s="229">
        <v>-4.7999999999999996E-3</v>
      </c>
      <c r="CB102" s="230">
        <v>103978875</v>
      </c>
      <c r="CC102" s="230">
        <v>104773500</v>
      </c>
      <c r="CD102" s="230">
        <v>-794625</v>
      </c>
      <c r="CE102" s="229">
        <v>-7.6E-3</v>
      </c>
      <c r="CF102" s="230">
        <v>8560500</v>
      </c>
      <c r="CG102" s="230">
        <v>8375250</v>
      </c>
      <c r="CH102" s="230">
        <v>185250</v>
      </c>
      <c r="CI102" s="229">
        <v>2.2100000000000002E-2</v>
      </c>
      <c r="CJ102" s="230">
        <v>268125</v>
      </c>
      <c r="CK102" s="230">
        <v>199875</v>
      </c>
      <c r="CL102" s="230">
        <v>68250</v>
      </c>
      <c r="CM102" s="229">
        <v>0.34150000000000003</v>
      </c>
      <c r="CN102" s="230">
        <v>47906625</v>
      </c>
      <c r="CO102" s="230">
        <v>41710500</v>
      </c>
      <c r="CP102" s="230">
        <v>6196125</v>
      </c>
      <c r="CQ102" s="229">
        <v>0.14860000000000001</v>
      </c>
      <c r="CR102" s="230">
        <v>32740500</v>
      </c>
      <c r="CS102" s="230">
        <v>31341375</v>
      </c>
      <c r="CT102" s="230">
        <v>1399125</v>
      </c>
      <c r="CU102" s="229">
        <v>4.4600000000000001E-2</v>
      </c>
      <c r="CV102" s="230">
        <v>193454625</v>
      </c>
      <c r="CW102" s="230">
        <v>186400500</v>
      </c>
      <c r="CX102" s="230">
        <v>7054125</v>
      </c>
      <c r="CY102" s="229">
        <v>3.78E-2</v>
      </c>
      <c r="CZ102" s="228">
        <v>36.549999999999997</v>
      </c>
      <c r="DA102" s="228">
        <v>35.61</v>
      </c>
      <c r="DB102" s="228">
        <v>0.94</v>
      </c>
      <c r="DC102" s="228">
        <v>0.94</v>
      </c>
      <c r="DD102" s="228">
        <v>33.880000000000003</v>
      </c>
      <c r="DE102" s="228">
        <v>33.47</v>
      </c>
      <c r="DF102" s="228">
        <v>2.67</v>
      </c>
      <c r="DG102" s="228">
        <v>0.41</v>
      </c>
      <c r="DH102" s="228">
        <v>36.43</v>
      </c>
      <c r="DI102" s="228">
        <v>35.24</v>
      </c>
      <c r="DJ102" s="228">
        <v>1.19</v>
      </c>
      <c r="DK102" s="228">
        <v>1.19</v>
      </c>
      <c r="DL102" s="228">
        <v>36.86</v>
      </c>
      <c r="DM102" s="228">
        <v>36.22</v>
      </c>
      <c r="DN102" s="228">
        <v>0.64</v>
      </c>
      <c r="DO102" s="228">
        <v>0.64</v>
      </c>
      <c r="DP102" s="228">
        <v>0.68</v>
      </c>
      <c r="DQ102" s="228">
        <v>0.75</v>
      </c>
      <c r="DR102" s="228">
        <v>-7.0000000000000007E-2</v>
      </c>
      <c r="DS102" s="229">
        <v>-9.3299999999999994E-2</v>
      </c>
      <c r="DT102" s="228">
        <v>150</v>
      </c>
      <c r="DU102" s="228">
        <v>140</v>
      </c>
      <c r="DV102" s="228">
        <v>0.39</v>
      </c>
      <c r="DW102" s="228">
        <v>0.6</v>
      </c>
      <c r="DX102" s="228">
        <v>-0.21</v>
      </c>
      <c r="DY102" s="229">
        <v>-0.35</v>
      </c>
      <c r="DZ102" s="229">
        <v>7.8299999999999995E-2</v>
      </c>
      <c r="EA102" s="230">
        <v>8575125</v>
      </c>
      <c r="EB102" s="229">
        <v>6.7000000000000002E-3</v>
      </c>
      <c r="EC102" s="229">
        <v>7.8299999999999995E-2</v>
      </c>
      <c r="ED102" s="228">
        <v>0.61</v>
      </c>
      <c r="EE102" s="229">
        <v>4.1000000000000003E-3</v>
      </c>
      <c r="EF102" s="230">
        <v>8279948</v>
      </c>
      <c r="EG102" s="230">
        <v>3687988</v>
      </c>
      <c r="EH102" s="229">
        <v>1.2451000000000001</v>
      </c>
      <c r="EI102" s="229">
        <v>0.4451</v>
      </c>
      <c r="EJ102" s="231">
        <v>181664.57</v>
      </c>
      <c r="EK102" s="231">
        <v>66032.72</v>
      </c>
      <c r="EL102" s="231">
        <v>43719.03</v>
      </c>
      <c r="EM102" s="231">
        <v>2646</v>
      </c>
      <c r="EN102" s="231">
        <v>291416.32000000001</v>
      </c>
      <c r="EO102" s="231">
        <v>66948.679999999993</v>
      </c>
      <c r="EP102" s="231">
        <v>224467.64</v>
      </c>
      <c r="EQ102" s="229">
        <v>3.3527999999999998</v>
      </c>
      <c r="ER102" s="231">
        <v>73717</v>
      </c>
      <c r="ES102" s="231">
        <v>47399</v>
      </c>
      <c r="ET102" s="231">
        <v>168376</v>
      </c>
      <c r="EU102" s="231">
        <v>684903861</v>
      </c>
      <c r="EV102" s="231">
        <v>289492</v>
      </c>
      <c r="EW102" s="231">
        <v>271113</v>
      </c>
      <c r="EX102" s="231">
        <v>18379</v>
      </c>
      <c r="EY102" s="229">
        <v>6.7799999999999999E-2</v>
      </c>
      <c r="EZ102" s="229">
        <v>0.28249999999999997</v>
      </c>
      <c r="FA102" s="227" t="s">
        <v>691</v>
      </c>
      <c r="FB102" s="161">
        <f t="shared" si="1"/>
        <v>8828625</v>
      </c>
    </row>
    <row r="103" spans="1:158" ht="17.25" thickBot="1" x14ac:dyDescent="0.3">
      <c r="A103" s="226">
        <v>46148</v>
      </c>
      <c r="B103" s="227" t="s">
        <v>175</v>
      </c>
      <c r="C103" s="227" t="s">
        <v>662</v>
      </c>
      <c r="D103" s="228">
        <v>3450</v>
      </c>
      <c r="E103" s="228">
        <v>136.97999999999999</v>
      </c>
      <c r="F103" s="228">
        <v>135.75</v>
      </c>
      <c r="G103" s="228">
        <v>1.23</v>
      </c>
      <c r="H103" s="229">
        <v>9.1000000000000004E-3</v>
      </c>
      <c r="I103" s="228">
        <v>136.41</v>
      </c>
      <c r="J103" s="228">
        <v>135.27000000000001</v>
      </c>
      <c r="K103" s="228">
        <v>1.1399999999999999</v>
      </c>
      <c r="L103" s="229">
        <v>8.3999999999999995E-3</v>
      </c>
      <c r="M103" s="228">
        <v>136.97999999999999</v>
      </c>
      <c r="N103" s="228">
        <v>135.75</v>
      </c>
      <c r="O103" s="228">
        <v>1.23</v>
      </c>
      <c r="P103" s="229">
        <v>9.1000000000000004E-3</v>
      </c>
      <c r="Q103" s="228">
        <v>136.33000000000001</v>
      </c>
      <c r="R103" s="228">
        <v>134.84</v>
      </c>
      <c r="S103" s="228">
        <v>1.49</v>
      </c>
      <c r="T103" s="229">
        <v>1.11E-2</v>
      </c>
      <c r="U103" s="228">
        <v>135.99</v>
      </c>
      <c r="V103" s="228">
        <v>134.88999999999999</v>
      </c>
      <c r="W103" s="228">
        <v>1.1000000000000001</v>
      </c>
      <c r="X103" s="229">
        <v>8.2000000000000007E-3</v>
      </c>
      <c r="Y103" s="228">
        <v>0.56999999999999995</v>
      </c>
      <c r="Z103" s="228">
        <v>0.48</v>
      </c>
      <c r="AA103" s="228">
        <v>0.09</v>
      </c>
      <c r="AB103" s="229">
        <v>4.1999999999999997E-3</v>
      </c>
      <c r="AC103" s="228">
        <v>0.56999999999999995</v>
      </c>
      <c r="AD103" s="228">
        <v>0.48</v>
      </c>
      <c r="AE103" s="228">
        <v>0.09</v>
      </c>
      <c r="AF103" s="229">
        <v>4.1999999999999997E-3</v>
      </c>
      <c r="AG103" s="228">
        <v>-0.08</v>
      </c>
      <c r="AH103" s="228">
        <v>-0.43</v>
      </c>
      <c r="AI103" s="228">
        <v>0.35</v>
      </c>
      <c r="AJ103" s="229">
        <v>-5.9999999999999995E-4</v>
      </c>
      <c r="AK103" s="228">
        <v>-0.42</v>
      </c>
      <c r="AL103" s="228">
        <v>-0.38</v>
      </c>
      <c r="AM103" s="228">
        <v>-0.04</v>
      </c>
      <c r="AN103" s="229">
        <v>-3.0999999999999999E-3</v>
      </c>
      <c r="AO103" s="228">
        <v>136.19</v>
      </c>
      <c r="AP103" s="228">
        <v>135.54</v>
      </c>
      <c r="AQ103" s="228">
        <v>0</v>
      </c>
      <c r="AR103" s="230">
        <v>6351450</v>
      </c>
      <c r="AS103" s="230">
        <v>3988200</v>
      </c>
      <c r="AT103" s="230">
        <v>2363250</v>
      </c>
      <c r="AU103" s="229">
        <v>0.59260000000000002</v>
      </c>
      <c r="AV103" s="230">
        <v>4771350</v>
      </c>
      <c r="AW103" s="230">
        <v>3163650</v>
      </c>
      <c r="AX103" s="230">
        <v>1607700</v>
      </c>
      <c r="AY103" s="229">
        <v>0.50819999999999999</v>
      </c>
      <c r="AZ103" s="230">
        <v>1442100</v>
      </c>
      <c r="BA103" s="230">
        <v>703800</v>
      </c>
      <c r="BB103" s="230">
        <v>738300</v>
      </c>
      <c r="BC103" s="229">
        <v>1.0489999999999999</v>
      </c>
      <c r="BD103" s="230">
        <v>138000</v>
      </c>
      <c r="BE103" s="230">
        <v>120750</v>
      </c>
      <c r="BF103" s="230">
        <v>17250</v>
      </c>
      <c r="BG103" s="229">
        <v>0.1429</v>
      </c>
      <c r="BH103" s="230">
        <v>8711250</v>
      </c>
      <c r="BI103" s="230">
        <v>7386450</v>
      </c>
      <c r="BJ103" s="230">
        <v>1324800</v>
      </c>
      <c r="BK103" s="229">
        <v>0.1794</v>
      </c>
      <c r="BL103" s="230">
        <v>3446550</v>
      </c>
      <c r="BM103" s="230">
        <v>2953200</v>
      </c>
      <c r="BN103" s="230">
        <v>493350</v>
      </c>
      <c r="BO103" s="229">
        <v>0.1671</v>
      </c>
      <c r="BP103" s="230">
        <v>18509250</v>
      </c>
      <c r="BQ103" s="230">
        <v>14327850</v>
      </c>
      <c r="BR103" s="230">
        <v>4181400</v>
      </c>
      <c r="BS103" s="229">
        <v>0.2918</v>
      </c>
      <c r="BT103" s="230">
        <v>6060740</v>
      </c>
      <c r="BU103" s="230">
        <v>5826044</v>
      </c>
      <c r="BV103" s="230">
        <v>234696</v>
      </c>
      <c r="BW103" s="229">
        <v>4.0300000000000002E-2</v>
      </c>
      <c r="BX103" s="230">
        <v>48300925</v>
      </c>
      <c r="BY103" s="230">
        <v>47517425</v>
      </c>
      <c r="BZ103" s="230">
        <v>783500</v>
      </c>
      <c r="CA103" s="229">
        <v>1.6500000000000001E-2</v>
      </c>
      <c r="CB103" s="230">
        <v>41358600</v>
      </c>
      <c r="CC103" s="230">
        <v>40975650</v>
      </c>
      <c r="CD103" s="230">
        <v>382950</v>
      </c>
      <c r="CE103" s="229">
        <v>9.2999999999999992E-3</v>
      </c>
      <c r="CF103" s="230">
        <v>6096150</v>
      </c>
      <c r="CG103" s="230">
        <v>5813250</v>
      </c>
      <c r="CH103" s="230">
        <v>282900</v>
      </c>
      <c r="CI103" s="229">
        <v>4.87E-2</v>
      </c>
      <c r="CJ103" s="230">
        <v>846175</v>
      </c>
      <c r="CK103" s="230">
        <v>728525</v>
      </c>
      <c r="CL103" s="230">
        <v>117650</v>
      </c>
      <c r="CM103" s="229">
        <v>0.1615</v>
      </c>
      <c r="CN103" s="230">
        <v>17450100</v>
      </c>
      <c r="CO103" s="230">
        <v>16770450</v>
      </c>
      <c r="CP103" s="230">
        <v>679650</v>
      </c>
      <c r="CQ103" s="229">
        <v>4.0500000000000001E-2</v>
      </c>
      <c r="CR103" s="230">
        <v>12050850</v>
      </c>
      <c r="CS103" s="230">
        <v>11654100</v>
      </c>
      <c r="CT103" s="230">
        <v>396750</v>
      </c>
      <c r="CU103" s="229">
        <v>3.4000000000000002E-2</v>
      </c>
      <c r="CV103" s="230">
        <v>77801875</v>
      </c>
      <c r="CW103" s="230">
        <v>75941975</v>
      </c>
      <c r="CX103" s="230">
        <v>1859900</v>
      </c>
      <c r="CY103" s="229">
        <v>2.4500000000000001E-2</v>
      </c>
      <c r="CZ103" s="228">
        <v>39.46</v>
      </c>
      <c r="DA103" s="228">
        <v>41.82</v>
      </c>
      <c r="DB103" s="228">
        <v>-2.36</v>
      </c>
      <c r="DC103" s="228">
        <v>-2.36</v>
      </c>
      <c r="DD103" s="228">
        <v>48.96</v>
      </c>
      <c r="DE103" s="228">
        <v>49.07</v>
      </c>
      <c r="DF103" s="228">
        <v>-9.5</v>
      </c>
      <c r="DG103" s="228">
        <v>-0.11</v>
      </c>
      <c r="DH103" s="228">
        <v>39.15</v>
      </c>
      <c r="DI103" s="228">
        <v>41.29</v>
      </c>
      <c r="DJ103" s="228">
        <v>-2.14</v>
      </c>
      <c r="DK103" s="228">
        <v>-2.14</v>
      </c>
      <c r="DL103" s="228">
        <v>40.22</v>
      </c>
      <c r="DM103" s="228">
        <v>43.16</v>
      </c>
      <c r="DN103" s="228">
        <v>-2.94</v>
      </c>
      <c r="DO103" s="228">
        <v>-2.94</v>
      </c>
      <c r="DP103" s="228">
        <v>0.69</v>
      </c>
      <c r="DQ103" s="228">
        <v>0.69</v>
      </c>
      <c r="DR103" s="228">
        <v>0</v>
      </c>
      <c r="DS103" s="229">
        <v>0</v>
      </c>
      <c r="DT103" s="228">
        <v>140</v>
      </c>
      <c r="DU103" s="228">
        <v>130</v>
      </c>
      <c r="DV103" s="228">
        <v>0.4</v>
      </c>
      <c r="DW103" s="228">
        <v>0.4</v>
      </c>
      <c r="DX103" s="228">
        <v>0</v>
      </c>
      <c r="DY103" s="229">
        <v>0</v>
      </c>
      <c r="DZ103" s="229">
        <v>0.14369999999999999</v>
      </c>
      <c r="EA103" s="230">
        <v>6541775</v>
      </c>
      <c r="EB103" s="229">
        <v>-4.7000000000000002E-3</v>
      </c>
      <c r="EC103" s="229">
        <v>0.14369999999999999</v>
      </c>
      <c r="ED103" s="228">
        <v>-0.65</v>
      </c>
      <c r="EE103" s="229">
        <v>-4.7999999999999996E-3</v>
      </c>
      <c r="EF103" s="230">
        <v>1728420</v>
      </c>
      <c r="EG103" s="230">
        <v>1655101</v>
      </c>
      <c r="EH103" s="229">
        <v>4.4299999999999999E-2</v>
      </c>
      <c r="EI103" s="229">
        <v>0.28520000000000001</v>
      </c>
      <c r="EJ103" s="231">
        <v>12698.06</v>
      </c>
      <c r="EK103" s="231">
        <v>4575.08</v>
      </c>
      <c r="EL103" s="231">
        <v>8698.0400000000009</v>
      </c>
      <c r="EM103" s="231">
        <v>1665</v>
      </c>
      <c r="EN103" s="231">
        <v>25971.18</v>
      </c>
      <c r="EO103" s="231">
        <v>20176.689999999999</v>
      </c>
      <c r="EP103" s="231">
        <v>5794.49</v>
      </c>
      <c r="EQ103" s="229">
        <v>0.28720000000000001</v>
      </c>
      <c r="ER103" s="231">
        <v>24988</v>
      </c>
      <c r="ES103" s="231">
        <v>15947</v>
      </c>
      <c r="ET103" s="231">
        <v>66115</v>
      </c>
      <c r="EU103" s="231">
        <v>119011160</v>
      </c>
      <c r="EV103" s="231">
        <v>107050</v>
      </c>
      <c r="EW103" s="231">
        <v>103907</v>
      </c>
      <c r="EX103" s="231">
        <v>3143</v>
      </c>
      <c r="EY103" s="229">
        <v>3.0200000000000001E-2</v>
      </c>
      <c r="EZ103" s="229">
        <v>0.65369999999999995</v>
      </c>
      <c r="FA103" s="227" t="s">
        <v>555</v>
      </c>
      <c r="FB103" s="161">
        <f t="shared" si="1"/>
        <v>6942325</v>
      </c>
    </row>
    <row r="104" spans="1:158" ht="17.25" thickBot="1" x14ac:dyDescent="0.3">
      <c r="A104" s="226">
        <v>46148</v>
      </c>
      <c r="B104" s="227" t="s">
        <v>215</v>
      </c>
      <c r="C104" s="227" t="s">
        <v>591</v>
      </c>
      <c r="D104" s="228">
        <v>4250</v>
      </c>
      <c r="E104" s="228">
        <v>107.42</v>
      </c>
      <c r="F104" s="228">
        <v>106.35</v>
      </c>
      <c r="G104" s="228">
        <v>1.07</v>
      </c>
      <c r="H104" s="229">
        <v>1.01E-2</v>
      </c>
      <c r="I104" s="228">
        <v>106.74</v>
      </c>
      <c r="J104" s="228">
        <v>105.82</v>
      </c>
      <c r="K104" s="228">
        <v>0.92</v>
      </c>
      <c r="L104" s="229">
        <v>8.6999999999999994E-3</v>
      </c>
      <c r="M104" s="228">
        <v>107.42</v>
      </c>
      <c r="N104" s="228">
        <v>106.35</v>
      </c>
      <c r="O104" s="228">
        <v>1.07</v>
      </c>
      <c r="P104" s="229">
        <v>1.01E-2</v>
      </c>
      <c r="Q104" s="228">
        <v>106.86</v>
      </c>
      <c r="R104" s="228">
        <v>105.75</v>
      </c>
      <c r="S104" s="228">
        <v>1.1100000000000001</v>
      </c>
      <c r="T104" s="229">
        <v>1.0500000000000001E-2</v>
      </c>
      <c r="U104" s="228">
        <v>106.76</v>
      </c>
      <c r="V104" s="228">
        <v>105.55</v>
      </c>
      <c r="W104" s="228">
        <v>1.21</v>
      </c>
      <c r="X104" s="229">
        <v>1.15E-2</v>
      </c>
      <c r="Y104" s="228">
        <v>0.68</v>
      </c>
      <c r="Z104" s="228">
        <v>0.53</v>
      </c>
      <c r="AA104" s="228">
        <v>0.15</v>
      </c>
      <c r="AB104" s="229">
        <v>6.4000000000000003E-3</v>
      </c>
      <c r="AC104" s="228">
        <v>0.68</v>
      </c>
      <c r="AD104" s="228">
        <v>0.53</v>
      </c>
      <c r="AE104" s="228">
        <v>0.15</v>
      </c>
      <c r="AF104" s="229">
        <v>6.4000000000000003E-3</v>
      </c>
      <c r="AG104" s="228">
        <v>0.12</v>
      </c>
      <c r="AH104" s="228">
        <v>-7.0000000000000007E-2</v>
      </c>
      <c r="AI104" s="228">
        <v>0.19</v>
      </c>
      <c r="AJ104" s="229">
        <v>1.1000000000000001E-3</v>
      </c>
      <c r="AK104" s="228">
        <v>0.02</v>
      </c>
      <c r="AL104" s="228">
        <v>-0.27</v>
      </c>
      <c r="AM104" s="228">
        <v>0.28999999999999998</v>
      </c>
      <c r="AN104" s="229">
        <v>2.0000000000000001E-4</v>
      </c>
      <c r="AO104" s="228">
        <v>106.82</v>
      </c>
      <c r="AP104" s="228">
        <v>106.18</v>
      </c>
      <c r="AQ104" s="228">
        <v>0</v>
      </c>
      <c r="AR104" s="230">
        <v>7917750</v>
      </c>
      <c r="AS104" s="230">
        <v>14241750</v>
      </c>
      <c r="AT104" s="230">
        <v>-6324000</v>
      </c>
      <c r="AU104" s="229">
        <v>-0.44400000000000001</v>
      </c>
      <c r="AV104" s="230">
        <v>6634250</v>
      </c>
      <c r="AW104" s="230">
        <v>12881750</v>
      </c>
      <c r="AX104" s="230">
        <v>-6247500</v>
      </c>
      <c r="AY104" s="229">
        <v>-0.48499999999999999</v>
      </c>
      <c r="AZ104" s="230">
        <v>1113500</v>
      </c>
      <c r="BA104" s="230">
        <v>1185750</v>
      </c>
      <c r="BB104" s="230">
        <v>-72250</v>
      </c>
      <c r="BC104" s="229">
        <v>-6.0900000000000003E-2</v>
      </c>
      <c r="BD104" s="230">
        <v>170000</v>
      </c>
      <c r="BE104" s="230">
        <v>174250</v>
      </c>
      <c r="BF104" s="230">
        <v>-4250</v>
      </c>
      <c r="BG104" s="229">
        <v>-2.4400000000000002E-2</v>
      </c>
      <c r="BH104" s="230">
        <v>37021750</v>
      </c>
      <c r="BI104" s="230">
        <v>70647750</v>
      </c>
      <c r="BJ104" s="230">
        <v>-33626000</v>
      </c>
      <c r="BK104" s="229">
        <v>-0.47599999999999998</v>
      </c>
      <c r="BL104" s="230">
        <v>11976500</v>
      </c>
      <c r="BM104" s="230">
        <v>15640000</v>
      </c>
      <c r="BN104" s="230">
        <v>-3663500</v>
      </c>
      <c r="BO104" s="229">
        <v>-0.23419999999999999</v>
      </c>
      <c r="BP104" s="230">
        <v>56916000</v>
      </c>
      <c r="BQ104" s="230">
        <v>100529500</v>
      </c>
      <c r="BR104" s="230">
        <v>-43613500</v>
      </c>
      <c r="BS104" s="229">
        <v>-0.43380000000000002</v>
      </c>
      <c r="BT104" s="230">
        <v>12802228</v>
      </c>
      <c r="BU104" s="230">
        <v>21292577</v>
      </c>
      <c r="BV104" s="230">
        <v>-8490349</v>
      </c>
      <c r="BW104" s="229">
        <v>-0.3987</v>
      </c>
      <c r="BX104" s="230">
        <v>54800625</v>
      </c>
      <c r="BY104" s="230">
        <v>54646825</v>
      </c>
      <c r="BZ104" s="230">
        <v>153800</v>
      </c>
      <c r="CA104" s="229">
        <v>2.8E-3</v>
      </c>
      <c r="CB104" s="230">
        <v>48900500</v>
      </c>
      <c r="CC104" s="230">
        <v>48930250</v>
      </c>
      <c r="CD104" s="230">
        <v>-29750</v>
      </c>
      <c r="CE104" s="229">
        <v>-5.9999999999999995E-4</v>
      </c>
      <c r="CF104" s="230">
        <v>5384750</v>
      </c>
      <c r="CG104" s="230">
        <v>5342250</v>
      </c>
      <c r="CH104" s="230">
        <v>42500</v>
      </c>
      <c r="CI104" s="229">
        <v>8.0000000000000002E-3</v>
      </c>
      <c r="CJ104" s="230">
        <v>515375</v>
      </c>
      <c r="CK104" s="230">
        <v>374325</v>
      </c>
      <c r="CL104" s="230">
        <v>141050</v>
      </c>
      <c r="CM104" s="229">
        <v>0.37680000000000002</v>
      </c>
      <c r="CN104" s="230">
        <v>34637500</v>
      </c>
      <c r="CO104" s="230">
        <v>34850000</v>
      </c>
      <c r="CP104" s="230">
        <v>-212500</v>
      </c>
      <c r="CQ104" s="229">
        <v>-6.1000000000000004E-3</v>
      </c>
      <c r="CR104" s="230">
        <v>26172675</v>
      </c>
      <c r="CS104" s="230">
        <v>23893500</v>
      </c>
      <c r="CT104" s="230">
        <v>2279175</v>
      </c>
      <c r="CU104" s="229">
        <v>9.5399999999999999E-2</v>
      </c>
      <c r="CV104" s="230">
        <v>115610800</v>
      </c>
      <c r="CW104" s="230">
        <v>113390325</v>
      </c>
      <c r="CX104" s="230">
        <v>2220475</v>
      </c>
      <c r="CY104" s="229">
        <v>1.9599999999999999E-2</v>
      </c>
      <c r="CZ104" s="228">
        <v>37.270000000000003</v>
      </c>
      <c r="DA104" s="228">
        <v>40.590000000000003</v>
      </c>
      <c r="DB104" s="228">
        <v>-3.32</v>
      </c>
      <c r="DC104" s="228">
        <v>-3.32</v>
      </c>
      <c r="DD104" s="228">
        <v>44.78</v>
      </c>
      <c r="DE104" s="228">
        <v>44.87</v>
      </c>
      <c r="DF104" s="228">
        <v>-7.51</v>
      </c>
      <c r="DG104" s="228">
        <v>-0.09</v>
      </c>
      <c r="DH104" s="228">
        <v>37.020000000000003</v>
      </c>
      <c r="DI104" s="228">
        <v>40.590000000000003</v>
      </c>
      <c r="DJ104" s="228">
        <v>-3.57</v>
      </c>
      <c r="DK104" s="228">
        <v>-3.57</v>
      </c>
      <c r="DL104" s="228">
        <v>38.049999999999997</v>
      </c>
      <c r="DM104" s="228">
        <v>40.6</v>
      </c>
      <c r="DN104" s="228">
        <v>-2.5499999999999998</v>
      </c>
      <c r="DO104" s="228">
        <v>-2.5499999999999998</v>
      </c>
      <c r="DP104" s="228">
        <v>0.76</v>
      </c>
      <c r="DQ104" s="228">
        <v>0.69</v>
      </c>
      <c r="DR104" s="228">
        <v>7.0000000000000007E-2</v>
      </c>
      <c r="DS104" s="229">
        <v>0.1014</v>
      </c>
      <c r="DT104" s="228">
        <v>110</v>
      </c>
      <c r="DU104" s="228">
        <v>105</v>
      </c>
      <c r="DV104" s="228">
        <v>0.32</v>
      </c>
      <c r="DW104" s="228">
        <v>0.22</v>
      </c>
      <c r="DX104" s="228">
        <v>0.1</v>
      </c>
      <c r="DY104" s="229">
        <v>0.45450000000000002</v>
      </c>
      <c r="DZ104" s="229">
        <v>0.1077</v>
      </c>
      <c r="EA104" s="230">
        <v>5716575</v>
      </c>
      <c r="EB104" s="229">
        <v>-5.1999999999999998E-3</v>
      </c>
      <c r="EC104" s="229">
        <v>0.1077</v>
      </c>
      <c r="ED104" s="228">
        <v>-0.64</v>
      </c>
      <c r="EE104" s="229">
        <v>-6.0000000000000001E-3</v>
      </c>
      <c r="EF104" s="230">
        <v>4497214</v>
      </c>
      <c r="EG104" s="230">
        <v>4858111</v>
      </c>
      <c r="EH104" s="229">
        <v>-7.4300000000000005E-2</v>
      </c>
      <c r="EI104" s="229">
        <v>0.3513</v>
      </c>
      <c r="EJ104" s="231">
        <v>41607.769999999997</v>
      </c>
      <c r="EK104" s="231">
        <v>12569.29</v>
      </c>
      <c r="EL104" s="231">
        <v>8499.7199999999993</v>
      </c>
      <c r="EM104" s="231">
        <v>1990</v>
      </c>
      <c r="EN104" s="231">
        <v>62676.78</v>
      </c>
      <c r="EO104" s="231">
        <v>110808.07</v>
      </c>
      <c r="EP104" s="231">
        <v>-48131.29</v>
      </c>
      <c r="EQ104" s="229">
        <v>-0.43440000000000001</v>
      </c>
      <c r="ER104" s="231">
        <v>38089</v>
      </c>
      <c r="ES104" s="231">
        <v>26856</v>
      </c>
      <c r="ET104" s="231">
        <v>58833</v>
      </c>
      <c r="EU104" s="231">
        <v>267310350</v>
      </c>
      <c r="EV104" s="231">
        <v>123778</v>
      </c>
      <c r="EW104" s="231">
        <v>120736</v>
      </c>
      <c r="EX104" s="231">
        <v>3042</v>
      </c>
      <c r="EY104" s="229">
        <v>2.52E-2</v>
      </c>
      <c r="EZ104" s="229">
        <v>0.4325</v>
      </c>
      <c r="FA104" s="227" t="s">
        <v>555</v>
      </c>
      <c r="FB104" s="161">
        <f t="shared" si="1"/>
        <v>5900125</v>
      </c>
    </row>
    <row r="105" spans="1:158" ht="17.25" thickBot="1" x14ac:dyDescent="0.3">
      <c r="A105" s="226">
        <v>46148</v>
      </c>
      <c r="B105" s="227" t="s">
        <v>168</v>
      </c>
      <c r="C105" s="227" t="s">
        <v>242</v>
      </c>
      <c r="D105" s="228">
        <v>1600</v>
      </c>
      <c r="E105" s="228">
        <v>312.35000000000002</v>
      </c>
      <c r="F105" s="228">
        <v>312.75</v>
      </c>
      <c r="G105" s="228">
        <v>-0.4</v>
      </c>
      <c r="H105" s="229">
        <v>-1.2999999999999999E-3</v>
      </c>
      <c r="I105" s="228">
        <v>310.7</v>
      </c>
      <c r="J105" s="228">
        <v>311.45</v>
      </c>
      <c r="K105" s="228">
        <v>-0.75</v>
      </c>
      <c r="L105" s="229">
        <v>-2.3999999999999998E-3</v>
      </c>
      <c r="M105" s="228">
        <v>312.35000000000002</v>
      </c>
      <c r="N105" s="228">
        <v>312.75</v>
      </c>
      <c r="O105" s="228">
        <v>-0.4</v>
      </c>
      <c r="P105" s="229">
        <v>-1.2999999999999999E-3</v>
      </c>
      <c r="Q105" s="228">
        <v>314.35000000000002</v>
      </c>
      <c r="R105" s="228">
        <v>314.89999999999998</v>
      </c>
      <c r="S105" s="228">
        <v>-0.55000000000000004</v>
      </c>
      <c r="T105" s="229">
        <v>-1.6999999999999999E-3</v>
      </c>
      <c r="U105" s="228">
        <v>316.10000000000002</v>
      </c>
      <c r="V105" s="228">
        <v>316.7</v>
      </c>
      <c r="W105" s="228">
        <v>-0.6</v>
      </c>
      <c r="X105" s="229">
        <v>-1.9E-3</v>
      </c>
      <c r="Y105" s="228">
        <v>1.65</v>
      </c>
      <c r="Z105" s="228">
        <v>1.3</v>
      </c>
      <c r="AA105" s="228">
        <v>0.35</v>
      </c>
      <c r="AB105" s="229">
        <v>5.3E-3</v>
      </c>
      <c r="AC105" s="228">
        <v>1.65</v>
      </c>
      <c r="AD105" s="228">
        <v>1.3</v>
      </c>
      <c r="AE105" s="228">
        <v>0.35</v>
      </c>
      <c r="AF105" s="229">
        <v>5.3E-3</v>
      </c>
      <c r="AG105" s="228">
        <v>3.65</v>
      </c>
      <c r="AH105" s="228">
        <v>3.45</v>
      </c>
      <c r="AI105" s="228">
        <v>0.2</v>
      </c>
      <c r="AJ105" s="229">
        <v>1.17E-2</v>
      </c>
      <c r="AK105" s="228">
        <v>5.4</v>
      </c>
      <c r="AL105" s="228">
        <v>5.25</v>
      </c>
      <c r="AM105" s="228">
        <v>0.15</v>
      </c>
      <c r="AN105" s="229">
        <v>1.7399999999999999E-2</v>
      </c>
      <c r="AO105" s="228">
        <v>312.25</v>
      </c>
      <c r="AP105" s="228">
        <v>314.29000000000002</v>
      </c>
      <c r="AQ105" s="228">
        <v>0</v>
      </c>
      <c r="AR105" s="230">
        <v>14294400</v>
      </c>
      <c r="AS105" s="230">
        <v>13651200</v>
      </c>
      <c r="AT105" s="230">
        <v>643200</v>
      </c>
      <c r="AU105" s="229">
        <v>4.7100000000000003E-2</v>
      </c>
      <c r="AV105" s="230">
        <v>12390400</v>
      </c>
      <c r="AW105" s="230">
        <v>12211200</v>
      </c>
      <c r="AX105" s="230">
        <v>179200</v>
      </c>
      <c r="AY105" s="229">
        <v>1.47E-2</v>
      </c>
      <c r="AZ105" s="230">
        <v>1656000</v>
      </c>
      <c r="BA105" s="230">
        <v>1323200</v>
      </c>
      <c r="BB105" s="230">
        <v>332800</v>
      </c>
      <c r="BC105" s="229">
        <v>0.2515</v>
      </c>
      <c r="BD105" s="230">
        <v>248000</v>
      </c>
      <c r="BE105" s="230">
        <v>116800</v>
      </c>
      <c r="BF105" s="230">
        <v>131200</v>
      </c>
      <c r="BG105" s="229">
        <v>1.1233</v>
      </c>
      <c r="BH105" s="230">
        <v>93803200</v>
      </c>
      <c r="BI105" s="230">
        <v>109184000</v>
      </c>
      <c r="BJ105" s="230">
        <v>-15380800</v>
      </c>
      <c r="BK105" s="229">
        <v>-0.1409</v>
      </c>
      <c r="BL105" s="230">
        <v>28916800</v>
      </c>
      <c r="BM105" s="230">
        <v>35913600</v>
      </c>
      <c r="BN105" s="230">
        <v>-6996800</v>
      </c>
      <c r="BO105" s="229">
        <v>-0.1948</v>
      </c>
      <c r="BP105" s="230">
        <v>137014400</v>
      </c>
      <c r="BQ105" s="230">
        <v>158748800</v>
      </c>
      <c r="BR105" s="230">
        <v>-21734400</v>
      </c>
      <c r="BS105" s="229">
        <v>-0.13689999999999999</v>
      </c>
      <c r="BT105" s="230">
        <v>21095336</v>
      </c>
      <c r="BU105" s="230">
        <v>27120543</v>
      </c>
      <c r="BV105" s="230">
        <v>-6025207</v>
      </c>
      <c r="BW105" s="229">
        <v>-0.22220000000000001</v>
      </c>
      <c r="BX105" s="230">
        <v>179013725</v>
      </c>
      <c r="BY105" s="230">
        <v>176579650</v>
      </c>
      <c r="BZ105" s="230">
        <v>2434075</v>
      </c>
      <c r="CA105" s="229">
        <v>1.38E-2</v>
      </c>
      <c r="CB105" s="230">
        <v>156224000</v>
      </c>
      <c r="CC105" s="230">
        <v>154763200</v>
      </c>
      <c r="CD105" s="230">
        <v>1460800</v>
      </c>
      <c r="CE105" s="229">
        <v>9.4000000000000004E-3</v>
      </c>
      <c r="CF105" s="230">
        <v>21960000</v>
      </c>
      <c r="CG105" s="230">
        <v>21192000</v>
      </c>
      <c r="CH105" s="230">
        <v>768000</v>
      </c>
      <c r="CI105" s="229">
        <v>3.6200000000000003E-2</v>
      </c>
      <c r="CJ105" s="230">
        <v>829725</v>
      </c>
      <c r="CK105" s="230">
        <v>624450</v>
      </c>
      <c r="CL105" s="230">
        <v>205275</v>
      </c>
      <c r="CM105" s="229">
        <v>0.32869999999999999</v>
      </c>
      <c r="CN105" s="230">
        <v>109599400</v>
      </c>
      <c r="CO105" s="230">
        <v>101975025</v>
      </c>
      <c r="CP105" s="230">
        <v>7624375</v>
      </c>
      <c r="CQ105" s="229">
        <v>7.4800000000000005E-2</v>
      </c>
      <c r="CR105" s="230">
        <v>38868800</v>
      </c>
      <c r="CS105" s="230">
        <v>38860800</v>
      </c>
      <c r="CT105" s="230">
        <v>8000</v>
      </c>
      <c r="CU105" s="229">
        <v>2.0000000000000001E-4</v>
      </c>
      <c r="CV105" s="230">
        <v>327481925</v>
      </c>
      <c r="CW105" s="230">
        <v>317415475</v>
      </c>
      <c r="CX105" s="230">
        <v>10066450</v>
      </c>
      <c r="CY105" s="229">
        <v>3.1699999999999999E-2</v>
      </c>
      <c r="CZ105" s="228">
        <v>20.02</v>
      </c>
      <c r="DA105" s="228">
        <v>20.45</v>
      </c>
      <c r="DB105" s="228">
        <v>-0.43</v>
      </c>
      <c r="DC105" s="228">
        <v>-0.43</v>
      </c>
      <c r="DD105" s="228">
        <v>24.58</v>
      </c>
      <c r="DE105" s="228">
        <v>24.64</v>
      </c>
      <c r="DF105" s="228">
        <v>-4.5599999999999996</v>
      </c>
      <c r="DG105" s="228">
        <v>-0.06</v>
      </c>
      <c r="DH105" s="228">
        <v>20.010000000000002</v>
      </c>
      <c r="DI105" s="228">
        <v>20.399999999999999</v>
      </c>
      <c r="DJ105" s="228">
        <v>-0.39</v>
      </c>
      <c r="DK105" s="228">
        <v>-0.39</v>
      </c>
      <c r="DL105" s="228">
        <v>20.04</v>
      </c>
      <c r="DM105" s="228">
        <v>20.63</v>
      </c>
      <c r="DN105" s="228">
        <v>-0.59</v>
      </c>
      <c r="DO105" s="228">
        <v>-0.59</v>
      </c>
      <c r="DP105" s="228">
        <v>0.35</v>
      </c>
      <c r="DQ105" s="228">
        <v>0.38</v>
      </c>
      <c r="DR105" s="228">
        <v>-0.03</v>
      </c>
      <c r="DS105" s="229">
        <v>-7.8899999999999998E-2</v>
      </c>
      <c r="DT105" s="228">
        <v>320</v>
      </c>
      <c r="DU105" s="228">
        <v>290</v>
      </c>
      <c r="DV105" s="228">
        <v>0.31</v>
      </c>
      <c r="DW105" s="228">
        <v>0.33</v>
      </c>
      <c r="DX105" s="228">
        <v>-0.02</v>
      </c>
      <c r="DY105" s="229">
        <v>-6.0600000000000001E-2</v>
      </c>
      <c r="DZ105" s="229">
        <v>0.1273</v>
      </c>
      <c r="EA105" s="230">
        <v>21816450</v>
      </c>
      <c r="EB105" s="229">
        <v>6.4000000000000003E-3</v>
      </c>
      <c r="EC105" s="229">
        <v>0.1273</v>
      </c>
      <c r="ED105" s="228">
        <v>2.04</v>
      </c>
      <c r="EE105" s="229">
        <v>6.4999999999999997E-3</v>
      </c>
      <c r="EF105" s="230">
        <v>12758006</v>
      </c>
      <c r="EG105" s="230">
        <v>14761351</v>
      </c>
      <c r="EH105" s="229">
        <v>-0.13569999999999999</v>
      </c>
      <c r="EI105" s="229">
        <v>0.6048</v>
      </c>
      <c r="EJ105" s="231">
        <v>304102.58</v>
      </c>
      <c r="EK105" s="231">
        <v>90024.56</v>
      </c>
      <c r="EL105" s="231">
        <v>44738.7</v>
      </c>
      <c r="EM105" s="231">
        <v>15388</v>
      </c>
      <c r="EN105" s="231">
        <v>438865.84</v>
      </c>
      <c r="EO105" s="231">
        <v>510926.12</v>
      </c>
      <c r="EP105" s="231">
        <v>-72060.28</v>
      </c>
      <c r="EQ105" s="229">
        <v>-0.14099999999999999</v>
      </c>
      <c r="ER105" s="231">
        <v>355492</v>
      </c>
      <c r="ES105" s="231">
        <v>119854</v>
      </c>
      <c r="ET105" s="231">
        <v>559620</v>
      </c>
      <c r="EU105" s="231">
        <v>1317896781</v>
      </c>
      <c r="EV105" s="231">
        <v>1034966</v>
      </c>
      <c r="EW105" s="231">
        <v>1003951</v>
      </c>
      <c r="EX105" s="231">
        <v>31015</v>
      </c>
      <c r="EY105" s="229">
        <v>3.09E-2</v>
      </c>
      <c r="EZ105" s="229">
        <v>0.2485</v>
      </c>
      <c r="FA105" s="227" t="s">
        <v>566</v>
      </c>
      <c r="FB105" s="161">
        <f t="shared" si="1"/>
        <v>22789725</v>
      </c>
    </row>
    <row r="106" spans="1:158" ht="17.25" thickBot="1" x14ac:dyDescent="0.3">
      <c r="A106" s="226">
        <v>46148</v>
      </c>
      <c r="B106" s="227" t="s">
        <v>227</v>
      </c>
      <c r="C106" s="227" t="s">
        <v>243</v>
      </c>
      <c r="D106" s="228">
        <v>625</v>
      </c>
      <c r="E106" s="231">
        <v>1272.5999999999999</v>
      </c>
      <c r="F106" s="231">
        <v>1268</v>
      </c>
      <c r="G106" s="228">
        <v>4.5999999999999996</v>
      </c>
      <c r="H106" s="229">
        <v>3.5999999999999999E-3</v>
      </c>
      <c r="I106" s="231">
        <v>1264.3</v>
      </c>
      <c r="J106" s="231">
        <v>1261.2</v>
      </c>
      <c r="K106" s="228">
        <v>3.1</v>
      </c>
      <c r="L106" s="229">
        <v>2.5000000000000001E-3</v>
      </c>
      <c r="M106" s="231">
        <v>1272.5999999999999</v>
      </c>
      <c r="N106" s="231">
        <v>1268</v>
      </c>
      <c r="O106" s="228">
        <v>4.5999999999999996</v>
      </c>
      <c r="P106" s="229">
        <v>3.5999999999999999E-3</v>
      </c>
      <c r="Q106" s="231">
        <v>1278.7</v>
      </c>
      <c r="R106" s="231">
        <v>1277.5</v>
      </c>
      <c r="S106" s="228">
        <v>1.2</v>
      </c>
      <c r="T106" s="229">
        <v>8.9999999999999998E-4</v>
      </c>
      <c r="U106" s="231">
        <v>1277</v>
      </c>
      <c r="V106" s="231">
        <v>1280</v>
      </c>
      <c r="W106" s="228">
        <v>-3</v>
      </c>
      <c r="X106" s="229">
        <v>-2.3E-3</v>
      </c>
      <c r="Y106" s="228">
        <v>8.3000000000000007</v>
      </c>
      <c r="Z106" s="228">
        <v>6.8</v>
      </c>
      <c r="AA106" s="228">
        <v>1.5</v>
      </c>
      <c r="AB106" s="229">
        <v>6.6E-3</v>
      </c>
      <c r="AC106" s="228">
        <v>8.3000000000000007</v>
      </c>
      <c r="AD106" s="228">
        <v>6.8</v>
      </c>
      <c r="AE106" s="228">
        <v>1.5</v>
      </c>
      <c r="AF106" s="229">
        <v>6.6E-3</v>
      </c>
      <c r="AG106" s="228">
        <v>14.4</v>
      </c>
      <c r="AH106" s="228">
        <v>16.3</v>
      </c>
      <c r="AI106" s="228">
        <v>-1.9</v>
      </c>
      <c r="AJ106" s="229">
        <v>1.14E-2</v>
      </c>
      <c r="AK106" s="228">
        <v>12.7</v>
      </c>
      <c r="AL106" s="228">
        <v>18.8</v>
      </c>
      <c r="AM106" s="228">
        <v>-6.1</v>
      </c>
      <c r="AN106" s="229">
        <v>0.01</v>
      </c>
      <c r="AO106" s="231">
        <v>1269.04</v>
      </c>
      <c r="AP106" s="231">
        <v>1275.53</v>
      </c>
      <c r="AQ106" s="228">
        <v>0</v>
      </c>
      <c r="AR106" s="230">
        <v>1800000</v>
      </c>
      <c r="AS106" s="230">
        <v>2366250</v>
      </c>
      <c r="AT106" s="230">
        <v>-566250</v>
      </c>
      <c r="AU106" s="229">
        <v>-0.23930000000000001</v>
      </c>
      <c r="AV106" s="230">
        <v>1768750</v>
      </c>
      <c r="AW106" s="230">
        <v>2305625</v>
      </c>
      <c r="AX106" s="230">
        <v>-536875</v>
      </c>
      <c r="AY106" s="229">
        <v>-0.2329</v>
      </c>
      <c r="AZ106" s="230">
        <v>30625</v>
      </c>
      <c r="BA106" s="230">
        <v>55625</v>
      </c>
      <c r="BB106" s="230">
        <v>-25000</v>
      </c>
      <c r="BC106" s="229">
        <v>-0.44940000000000002</v>
      </c>
      <c r="BD106" s="228">
        <v>625</v>
      </c>
      <c r="BE106" s="230">
        <v>5000</v>
      </c>
      <c r="BF106" s="230">
        <v>-4375</v>
      </c>
      <c r="BG106" s="229">
        <v>-0.875</v>
      </c>
      <c r="BH106" s="230">
        <v>5563750</v>
      </c>
      <c r="BI106" s="230">
        <v>12453125</v>
      </c>
      <c r="BJ106" s="230">
        <v>-6889375</v>
      </c>
      <c r="BK106" s="229">
        <v>-0.55320000000000003</v>
      </c>
      <c r="BL106" s="230">
        <v>2991250</v>
      </c>
      <c r="BM106" s="230">
        <v>4977500</v>
      </c>
      <c r="BN106" s="230">
        <v>-1986250</v>
      </c>
      <c r="BO106" s="229">
        <v>-0.39900000000000002</v>
      </c>
      <c r="BP106" s="230">
        <v>10355000</v>
      </c>
      <c r="BQ106" s="230">
        <v>19796875</v>
      </c>
      <c r="BR106" s="230">
        <v>-9441875</v>
      </c>
      <c r="BS106" s="229">
        <v>-0.47689999999999999</v>
      </c>
      <c r="BT106" s="230">
        <v>2065770</v>
      </c>
      <c r="BU106" s="230">
        <v>2587235</v>
      </c>
      <c r="BV106" s="230">
        <v>-521465</v>
      </c>
      <c r="BW106" s="229">
        <v>-0.2016</v>
      </c>
      <c r="BX106" s="230">
        <v>12706875</v>
      </c>
      <c r="BY106" s="230">
        <v>12938125</v>
      </c>
      <c r="BZ106" s="230">
        <v>-231250</v>
      </c>
      <c r="CA106" s="229">
        <v>-1.7899999999999999E-2</v>
      </c>
      <c r="CB106" s="230">
        <v>12606875</v>
      </c>
      <c r="CC106" s="230">
        <v>12846250</v>
      </c>
      <c r="CD106" s="230">
        <v>-239375</v>
      </c>
      <c r="CE106" s="229">
        <v>-1.8599999999999998E-2</v>
      </c>
      <c r="CF106" s="230">
        <v>90625</v>
      </c>
      <c r="CG106" s="230">
        <v>83125</v>
      </c>
      <c r="CH106" s="230">
        <v>7500</v>
      </c>
      <c r="CI106" s="229">
        <v>9.0200000000000002E-2</v>
      </c>
      <c r="CJ106" s="230">
        <v>9375</v>
      </c>
      <c r="CK106" s="230">
        <v>8750</v>
      </c>
      <c r="CL106" s="228">
        <v>625</v>
      </c>
      <c r="CM106" s="229">
        <v>7.1400000000000005E-2</v>
      </c>
      <c r="CN106" s="230">
        <v>3606250</v>
      </c>
      <c r="CO106" s="230">
        <v>3494375</v>
      </c>
      <c r="CP106" s="230">
        <v>111875</v>
      </c>
      <c r="CQ106" s="229">
        <v>3.2000000000000001E-2</v>
      </c>
      <c r="CR106" s="230">
        <v>2601875</v>
      </c>
      <c r="CS106" s="230">
        <v>2479375</v>
      </c>
      <c r="CT106" s="230">
        <v>122500</v>
      </c>
      <c r="CU106" s="229">
        <v>4.9399999999999999E-2</v>
      </c>
      <c r="CV106" s="230">
        <v>18915000</v>
      </c>
      <c r="CW106" s="230">
        <v>18911875</v>
      </c>
      <c r="CX106" s="230">
        <v>3125</v>
      </c>
      <c r="CY106" s="229">
        <v>2.0000000000000001E-4</v>
      </c>
      <c r="CZ106" s="228">
        <v>28.75</v>
      </c>
      <c r="DA106" s="228">
        <v>29.18</v>
      </c>
      <c r="DB106" s="228">
        <v>-0.43</v>
      </c>
      <c r="DC106" s="228">
        <v>-0.43</v>
      </c>
      <c r="DD106" s="228">
        <v>37.64</v>
      </c>
      <c r="DE106" s="228">
        <v>37.729999999999997</v>
      </c>
      <c r="DF106" s="228">
        <v>-8.89</v>
      </c>
      <c r="DG106" s="228">
        <v>-0.09</v>
      </c>
      <c r="DH106" s="228">
        <v>28.48</v>
      </c>
      <c r="DI106" s="228">
        <v>28.96</v>
      </c>
      <c r="DJ106" s="228">
        <v>-0.48</v>
      </c>
      <c r="DK106" s="228">
        <v>-0.48</v>
      </c>
      <c r="DL106" s="228">
        <v>29.26</v>
      </c>
      <c r="DM106" s="228">
        <v>29.71</v>
      </c>
      <c r="DN106" s="228">
        <v>-0.45</v>
      </c>
      <c r="DO106" s="228">
        <v>-0.45</v>
      </c>
      <c r="DP106" s="228">
        <v>0.72</v>
      </c>
      <c r="DQ106" s="228">
        <v>0.71</v>
      </c>
      <c r="DR106" s="228">
        <v>0.01</v>
      </c>
      <c r="DS106" s="229">
        <v>1.41E-2</v>
      </c>
      <c r="DT106" s="231">
        <v>1300</v>
      </c>
      <c r="DU106" s="231">
        <v>1200</v>
      </c>
      <c r="DV106" s="228">
        <v>0.54</v>
      </c>
      <c r="DW106" s="228">
        <v>0.4</v>
      </c>
      <c r="DX106" s="228">
        <v>0.14000000000000001</v>
      </c>
      <c r="DY106" s="229">
        <v>0.35</v>
      </c>
      <c r="DZ106" s="229">
        <v>7.9000000000000008E-3</v>
      </c>
      <c r="EA106" s="230">
        <v>91875</v>
      </c>
      <c r="EB106" s="229">
        <v>4.7999999999999996E-3</v>
      </c>
      <c r="EC106" s="229">
        <v>7.9000000000000008E-3</v>
      </c>
      <c r="ED106" s="228">
        <v>6.49</v>
      </c>
      <c r="EE106" s="229">
        <v>5.1000000000000004E-3</v>
      </c>
      <c r="EF106" s="230">
        <v>1200131</v>
      </c>
      <c r="EG106" s="230">
        <v>1274122</v>
      </c>
      <c r="EH106" s="229">
        <v>-5.8099999999999999E-2</v>
      </c>
      <c r="EI106" s="229">
        <v>0.58099999999999996</v>
      </c>
      <c r="EJ106" s="231">
        <v>73421.34</v>
      </c>
      <c r="EK106" s="231">
        <v>37968.82</v>
      </c>
      <c r="EL106" s="231">
        <v>22844.84</v>
      </c>
      <c r="EM106" s="231">
        <v>5356</v>
      </c>
      <c r="EN106" s="231">
        <v>134235</v>
      </c>
      <c r="EO106" s="231">
        <v>258696.49</v>
      </c>
      <c r="EP106" s="231">
        <v>-124461.49</v>
      </c>
      <c r="EQ106" s="229">
        <v>-0.48110000000000003</v>
      </c>
      <c r="ER106" s="231">
        <v>47531</v>
      </c>
      <c r="ES106" s="231">
        <v>31626</v>
      </c>
      <c r="ET106" s="231">
        <v>161714</v>
      </c>
      <c r="EU106" s="231">
        <v>45844541</v>
      </c>
      <c r="EV106" s="231">
        <v>240871</v>
      </c>
      <c r="EW106" s="231">
        <v>240143</v>
      </c>
      <c r="EX106" s="228">
        <v>728</v>
      </c>
      <c r="EY106" s="229">
        <v>3.0000000000000001E-3</v>
      </c>
      <c r="EZ106" s="229">
        <v>0.41260000000000002</v>
      </c>
      <c r="FA106" s="227" t="s">
        <v>691</v>
      </c>
      <c r="FB106" s="161">
        <f t="shared" si="1"/>
        <v>100000</v>
      </c>
    </row>
    <row r="107" spans="1:158" ht="17.25" thickBot="1" x14ac:dyDescent="0.3">
      <c r="A107" s="226">
        <v>46148</v>
      </c>
      <c r="B107" s="227" t="s">
        <v>175</v>
      </c>
      <c r="C107" s="227" t="s">
        <v>569</v>
      </c>
      <c r="D107" s="228">
        <v>2350</v>
      </c>
      <c r="E107" s="228">
        <v>254.02</v>
      </c>
      <c r="F107" s="228">
        <v>249.17</v>
      </c>
      <c r="G107" s="228">
        <v>4.8499999999999996</v>
      </c>
      <c r="H107" s="229">
        <v>1.95E-2</v>
      </c>
      <c r="I107" s="228">
        <v>252.44</v>
      </c>
      <c r="J107" s="228">
        <v>248.45</v>
      </c>
      <c r="K107" s="228">
        <v>3.99</v>
      </c>
      <c r="L107" s="229">
        <v>1.61E-2</v>
      </c>
      <c r="M107" s="228">
        <v>254.02</v>
      </c>
      <c r="N107" s="228">
        <v>249.17</v>
      </c>
      <c r="O107" s="228">
        <v>4.8499999999999996</v>
      </c>
      <c r="P107" s="229">
        <v>1.95E-2</v>
      </c>
      <c r="Q107" s="228">
        <v>255.67</v>
      </c>
      <c r="R107" s="228">
        <v>250.85</v>
      </c>
      <c r="S107" s="228">
        <v>4.82</v>
      </c>
      <c r="T107" s="229">
        <v>1.9199999999999998E-2</v>
      </c>
      <c r="U107" s="228">
        <v>257.17</v>
      </c>
      <c r="V107" s="228">
        <v>252.37</v>
      </c>
      <c r="W107" s="228">
        <v>4.8</v>
      </c>
      <c r="X107" s="229">
        <v>1.9E-2</v>
      </c>
      <c r="Y107" s="228">
        <v>1.58</v>
      </c>
      <c r="Z107" s="228">
        <v>0.72</v>
      </c>
      <c r="AA107" s="228">
        <v>0.86</v>
      </c>
      <c r="AB107" s="229">
        <v>6.3E-3</v>
      </c>
      <c r="AC107" s="228">
        <v>1.58</v>
      </c>
      <c r="AD107" s="228">
        <v>0.72</v>
      </c>
      <c r="AE107" s="228">
        <v>0.86</v>
      </c>
      <c r="AF107" s="229">
        <v>6.3E-3</v>
      </c>
      <c r="AG107" s="228">
        <v>3.23</v>
      </c>
      <c r="AH107" s="228">
        <v>2.4</v>
      </c>
      <c r="AI107" s="228">
        <v>0.83</v>
      </c>
      <c r="AJ107" s="229">
        <v>1.2800000000000001E-2</v>
      </c>
      <c r="AK107" s="228">
        <v>4.7300000000000004</v>
      </c>
      <c r="AL107" s="228">
        <v>3.92</v>
      </c>
      <c r="AM107" s="228">
        <v>0.81</v>
      </c>
      <c r="AN107" s="229">
        <v>1.8700000000000001E-2</v>
      </c>
      <c r="AO107" s="228">
        <v>252.66</v>
      </c>
      <c r="AP107" s="228">
        <v>254.34</v>
      </c>
      <c r="AQ107" s="228">
        <v>0</v>
      </c>
      <c r="AR107" s="230">
        <v>21873800</v>
      </c>
      <c r="AS107" s="230">
        <v>18698950</v>
      </c>
      <c r="AT107" s="230">
        <v>3174850</v>
      </c>
      <c r="AU107" s="229">
        <v>0.16980000000000001</v>
      </c>
      <c r="AV107" s="230">
        <v>20144200</v>
      </c>
      <c r="AW107" s="230">
        <v>16746100</v>
      </c>
      <c r="AX107" s="230">
        <v>3398100</v>
      </c>
      <c r="AY107" s="229">
        <v>0.2029</v>
      </c>
      <c r="AZ107" s="230">
        <v>1590950</v>
      </c>
      <c r="BA107" s="230">
        <v>1748400</v>
      </c>
      <c r="BB107" s="230">
        <v>-157450</v>
      </c>
      <c r="BC107" s="229">
        <v>-9.01E-2</v>
      </c>
      <c r="BD107" s="230">
        <v>138650</v>
      </c>
      <c r="BE107" s="230">
        <v>204450</v>
      </c>
      <c r="BF107" s="230">
        <v>-65800</v>
      </c>
      <c r="BG107" s="229">
        <v>-0.32179999999999997</v>
      </c>
      <c r="BH107" s="230">
        <v>54031200</v>
      </c>
      <c r="BI107" s="230">
        <v>43672400</v>
      </c>
      <c r="BJ107" s="230">
        <v>10358800</v>
      </c>
      <c r="BK107" s="229">
        <v>0.23719999999999999</v>
      </c>
      <c r="BL107" s="230">
        <v>24230850</v>
      </c>
      <c r="BM107" s="230">
        <v>18478050</v>
      </c>
      <c r="BN107" s="230">
        <v>5752800</v>
      </c>
      <c r="BO107" s="229">
        <v>0.31130000000000002</v>
      </c>
      <c r="BP107" s="230">
        <v>100135850</v>
      </c>
      <c r="BQ107" s="230">
        <v>80849400</v>
      </c>
      <c r="BR107" s="230">
        <v>19286450</v>
      </c>
      <c r="BS107" s="229">
        <v>0.23849999999999999</v>
      </c>
      <c r="BT107" s="230">
        <v>15584287</v>
      </c>
      <c r="BU107" s="230">
        <v>17387599</v>
      </c>
      <c r="BV107" s="230">
        <v>-1803312</v>
      </c>
      <c r="BW107" s="229">
        <v>-0.1037</v>
      </c>
      <c r="BX107" s="230">
        <v>197672600</v>
      </c>
      <c r="BY107" s="230">
        <v>200405650</v>
      </c>
      <c r="BZ107" s="230">
        <v>-2733050</v>
      </c>
      <c r="CA107" s="229">
        <v>-1.3599999999999999E-2</v>
      </c>
      <c r="CB107" s="230">
        <v>175683650</v>
      </c>
      <c r="CC107" s="230">
        <v>178912550</v>
      </c>
      <c r="CD107" s="230">
        <v>-3228900</v>
      </c>
      <c r="CE107" s="229">
        <v>-1.7999999999999999E-2</v>
      </c>
      <c r="CF107" s="230">
        <v>21387350</v>
      </c>
      <c r="CG107" s="230">
        <v>20905600</v>
      </c>
      <c r="CH107" s="230">
        <v>481750</v>
      </c>
      <c r="CI107" s="229">
        <v>2.3E-2</v>
      </c>
      <c r="CJ107" s="230">
        <v>601600</v>
      </c>
      <c r="CK107" s="230">
        <v>587500</v>
      </c>
      <c r="CL107" s="230">
        <v>14100</v>
      </c>
      <c r="CM107" s="229">
        <v>2.4E-2</v>
      </c>
      <c r="CN107" s="230">
        <v>62439500</v>
      </c>
      <c r="CO107" s="230">
        <v>60963700</v>
      </c>
      <c r="CP107" s="230">
        <v>1475800</v>
      </c>
      <c r="CQ107" s="229">
        <v>2.4199999999999999E-2</v>
      </c>
      <c r="CR107" s="230">
        <v>40119200</v>
      </c>
      <c r="CS107" s="230">
        <v>38977100</v>
      </c>
      <c r="CT107" s="230">
        <v>1142100</v>
      </c>
      <c r="CU107" s="229">
        <v>2.93E-2</v>
      </c>
      <c r="CV107" s="230">
        <v>300231300</v>
      </c>
      <c r="CW107" s="230">
        <v>300346450</v>
      </c>
      <c r="CX107" s="230">
        <v>-115150</v>
      </c>
      <c r="CY107" s="229">
        <v>-4.0000000000000002E-4</v>
      </c>
      <c r="CZ107" s="228">
        <v>35.19</v>
      </c>
      <c r="DA107" s="228">
        <v>36.630000000000003</v>
      </c>
      <c r="DB107" s="228">
        <v>-1.44</v>
      </c>
      <c r="DC107" s="228">
        <v>-1.44</v>
      </c>
      <c r="DD107" s="228">
        <v>37.83</v>
      </c>
      <c r="DE107" s="228">
        <v>37.840000000000003</v>
      </c>
      <c r="DF107" s="228">
        <v>-2.64</v>
      </c>
      <c r="DG107" s="228">
        <v>-0.01</v>
      </c>
      <c r="DH107" s="228">
        <v>35.22</v>
      </c>
      <c r="DI107" s="228">
        <v>36.82</v>
      </c>
      <c r="DJ107" s="228">
        <v>-1.6</v>
      </c>
      <c r="DK107" s="228">
        <v>-1.6</v>
      </c>
      <c r="DL107" s="228">
        <v>35.130000000000003</v>
      </c>
      <c r="DM107" s="228">
        <v>36.19</v>
      </c>
      <c r="DN107" s="228">
        <v>-1.06</v>
      </c>
      <c r="DO107" s="228">
        <v>-1.06</v>
      </c>
      <c r="DP107" s="228">
        <v>0.64</v>
      </c>
      <c r="DQ107" s="228">
        <v>0.64</v>
      </c>
      <c r="DR107" s="228">
        <v>0</v>
      </c>
      <c r="DS107" s="229">
        <v>0</v>
      </c>
      <c r="DT107" s="228">
        <v>250</v>
      </c>
      <c r="DU107" s="228">
        <v>250</v>
      </c>
      <c r="DV107" s="228">
        <v>0.45</v>
      </c>
      <c r="DW107" s="228">
        <v>0.42</v>
      </c>
      <c r="DX107" s="228">
        <v>0.03</v>
      </c>
      <c r="DY107" s="229">
        <v>7.1400000000000005E-2</v>
      </c>
      <c r="DZ107" s="229">
        <v>0.11119999999999999</v>
      </c>
      <c r="EA107" s="230">
        <v>21493100</v>
      </c>
      <c r="EB107" s="229">
        <v>6.4999999999999997E-3</v>
      </c>
      <c r="EC107" s="229">
        <v>0.11119999999999999</v>
      </c>
      <c r="ED107" s="228">
        <v>1.68</v>
      </c>
      <c r="EE107" s="229">
        <v>6.6E-3</v>
      </c>
      <c r="EF107" s="230">
        <v>6213139</v>
      </c>
      <c r="EG107" s="230">
        <v>6490407</v>
      </c>
      <c r="EH107" s="229">
        <v>-4.2700000000000002E-2</v>
      </c>
      <c r="EI107" s="229">
        <v>0.3987</v>
      </c>
      <c r="EJ107" s="231">
        <v>144927.04999999999</v>
      </c>
      <c r="EK107" s="231">
        <v>59845.07</v>
      </c>
      <c r="EL107" s="231">
        <v>55296.69</v>
      </c>
      <c r="EM107" s="231">
        <v>10535</v>
      </c>
      <c r="EN107" s="231">
        <v>260068.81</v>
      </c>
      <c r="EO107" s="231">
        <v>209353.53</v>
      </c>
      <c r="EP107" s="231">
        <v>50715.28</v>
      </c>
      <c r="EQ107" s="229">
        <v>0.2422</v>
      </c>
      <c r="ER107" s="231">
        <v>164857</v>
      </c>
      <c r="ES107" s="231">
        <v>100314</v>
      </c>
      <c r="ET107" s="231">
        <v>502500</v>
      </c>
      <c r="EU107" s="231">
        <v>490240515</v>
      </c>
      <c r="EV107" s="231">
        <v>767671</v>
      </c>
      <c r="EW107" s="231">
        <v>757669</v>
      </c>
      <c r="EX107" s="231">
        <v>10002</v>
      </c>
      <c r="EY107" s="229">
        <v>1.32E-2</v>
      </c>
      <c r="EZ107" s="229">
        <v>0.61240000000000006</v>
      </c>
      <c r="FA107" s="227" t="s">
        <v>691</v>
      </c>
      <c r="FB107" s="161">
        <f t="shared" si="1"/>
        <v>21988950</v>
      </c>
    </row>
    <row r="108" spans="1:158" ht="17.25" thickBot="1" x14ac:dyDescent="0.3">
      <c r="A108" s="226">
        <v>46148</v>
      </c>
      <c r="B108" s="227" t="s">
        <v>161</v>
      </c>
      <c r="C108" s="227" t="s">
        <v>579</v>
      </c>
      <c r="D108" s="228">
        <v>1000</v>
      </c>
      <c r="E108" s="228">
        <v>568.6</v>
      </c>
      <c r="F108" s="228">
        <v>564.29999999999995</v>
      </c>
      <c r="G108" s="228">
        <v>4.3</v>
      </c>
      <c r="H108" s="229">
        <v>7.6E-3</v>
      </c>
      <c r="I108" s="228">
        <v>567.9</v>
      </c>
      <c r="J108" s="228">
        <v>561.95000000000005</v>
      </c>
      <c r="K108" s="228">
        <v>5.95</v>
      </c>
      <c r="L108" s="229">
        <v>1.06E-2</v>
      </c>
      <c r="M108" s="228">
        <v>568.6</v>
      </c>
      <c r="N108" s="228">
        <v>564.29999999999995</v>
      </c>
      <c r="O108" s="228">
        <v>4.3</v>
      </c>
      <c r="P108" s="229">
        <v>7.6E-3</v>
      </c>
      <c r="Q108" s="228">
        <v>570.1</v>
      </c>
      <c r="R108" s="228">
        <v>567.15</v>
      </c>
      <c r="S108" s="228">
        <v>2.95</v>
      </c>
      <c r="T108" s="229">
        <v>5.1999999999999998E-3</v>
      </c>
      <c r="U108" s="228">
        <v>566</v>
      </c>
      <c r="V108" s="228">
        <v>566</v>
      </c>
      <c r="W108" s="228">
        <v>0</v>
      </c>
      <c r="X108" s="229">
        <v>0</v>
      </c>
      <c r="Y108" s="228">
        <v>0.7</v>
      </c>
      <c r="Z108" s="228">
        <v>2.35</v>
      </c>
      <c r="AA108" s="228">
        <v>-1.65</v>
      </c>
      <c r="AB108" s="229">
        <v>1.1999999999999999E-3</v>
      </c>
      <c r="AC108" s="228">
        <v>0.7</v>
      </c>
      <c r="AD108" s="228">
        <v>2.35</v>
      </c>
      <c r="AE108" s="228">
        <v>-1.65</v>
      </c>
      <c r="AF108" s="229">
        <v>1.1999999999999999E-3</v>
      </c>
      <c r="AG108" s="228">
        <v>2.2000000000000002</v>
      </c>
      <c r="AH108" s="228">
        <v>5.2</v>
      </c>
      <c r="AI108" s="228">
        <v>-3</v>
      </c>
      <c r="AJ108" s="229">
        <v>3.8999999999999998E-3</v>
      </c>
      <c r="AK108" s="228">
        <v>-1.9</v>
      </c>
      <c r="AL108" s="228">
        <v>4.05</v>
      </c>
      <c r="AM108" s="228">
        <v>-5.95</v>
      </c>
      <c r="AN108" s="229">
        <v>-3.3E-3</v>
      </c>
      <c r="AO108" s="228">
        <v>568.92999999999995</v>
      </c>
      <c r="AP108" s="228">
        <v>570.80999999999995</v>
      </c>
      <c r="AQ108" s="228">
        <v>0</v>
      </c>
      <c r="AR108" s="230">
        <v>2733000</v>
      </c>
      <c r="AS108" s="230">
        <v>1875000</v>
      </c>
      <c r="AT108" s="230">
        <v>858000</v>
      </c>
      <c r="AU108" s="229">
        <v>0.45760000000000001</v>
      </c>
      <c r="AV108" s="230">
        <v>2647000</v>
      </c>
      <c r="AW108" s="230">
        <v>1818000</v>
      </c>
      <c r="AX108" s="230">
        <v>829000</v>
      </c>
      <c r="AY108" s="229">
        <v>0.45600000000000002</v>
      </c>
      <c r="AZ108" s="230">
        <v>86000</v>
      </c>
      <c r="BA108" s="230">
        <v>54000</v>
      </c>
      <c r="BB108" s="230">
        <v>32000</v>
      </c>
      <c r="BC108" s="229">
        <v>0.59260000000000002</v>
      </c>
      <c r="BD108" s="228">
        <v>0</v>
      </c>
      <c r="BE108" s="230">
        <v>3000</v>
      </c>
      <c r="BF108" s="230">
        <v>-3000</v>
      </c>
      <c r="BG108" s="229">
        <v>-1</v>
      </c>
      <c r="BH108" s="230">
        <v>4321000</v>
      </c>
      <c r="BI108" s="230">
        <v>3758000</v>
      </c>
      <c r="BJ108" s="230">
        <v>563000</v>
      </c>
      <c r="BK108" s="229">
        <v>0.14979999999999999</v>
      </c>
      <c r="BL108" s="230">
        <v>1802000</v>
      </c>
      <c r="BM108" s="230">
        <v>1183000</v>
      </c>
      <c r="BN108" s="230">
        <v>619000</v>
      </c>
      <c r="BO108" s="229">
        <v>0.5232</v>
      </c>
      <c r="BP108" s="230">
        <v>8856000</v>
      </c>
      <c r="BQ108" s="230">
        <v>6816000</v>
      </c>
      <c r="BR108" s="230">
        <v>2040000</v>
      </c>
      <c r="BS108" s="229">
        <v>0.29930000000000001</v>
      </c>
      <c r="BT108" s="230">
        <v>2103251</v>
      </c>
      <c r="BU108" s="230">
        <v>2171936</v>
      </c>
      <c r="BV108" s="230">
        <v>-68685</v>
      </c>
      <c r="BW108" s="229">
        <v>-3.1600000000000003E-2</v>
      </c>
      <c r="BX108" s="230">
        <v>23765450</v>
      </c>
      <c r="BY108" s="230">
        <v>24336450</v>
      </c>
      <c r="BZ108" s="230">
        <v>-571000</v>
      </c>
      <c r="CA108" s="229">
        <v>-2.35E-2</v>
      </c>
      <c r="CB108" s="230">
        <v>23360000</v>
      </c>
      <c r="CC108" s="230">
        <v>23933000</v>
      </c>
      <c r="CD108" s="230">
        <v>-573000</v>
      </c>
      <c r="CE108" s="229">
        <v>-2.3900000000000001E-2</v>
      </c>
      <c r="CF108" s="230">
        <v>399000</v>
      </c>
      <c r="CG108" s="230">
        <v>397000</v>
      </c>
      <c r="CH108" s="230">
        <v>2000</v>
      </c>
      <c r="CI108" s="229">
        <v>5.0000000000000001E-3</v>
      </c>
      <c r="CJ108" s="230">
        <v>6450</v>
      </c>
      <c r="CK108" s="230">
        <v>6450</v>
      </c>
      <c r="CL108" s="228">
        <v>0</v>
      </c>
      <c r="CM108" s="229">
        <v>0</v>
      </c>
      <c r="CN108" s="230">
        <v>5867000</v>
      </c>
      <c r="CO108" s="230">
        <v>5563000</v>
      </c>
      <c r="CP108" s="230">
        <v>304000</v>
      </c>
      <c r="CQ108" s="229">
        <v>5.4600000000000003E-2</v>
      </c>
      <c r="CR108" s="230">
        <v>4036000</v>
      </c>
      <c r="CS108" s="230">
        <v>3831000</v>
      </c>
      <c r="CT108" s="230">
        <v>205000</v>
      </c>
      <c r="CU108" s="229">
        <v>5.3499999999999999E-2</v>
      </c>
      <c r="CV108" s="230">
        <v>33668450</v>
      </c>
      <c r="CW108" s="230">
        <v>33730450</v>
      </c>
      <c r="CX108" s="230">
        <v>-62000</v>
      </c>
      <c r="CY108" s="229">
        <v>-1.8E-3</v>
      </c>
      <c r="CZ108" s="228">
        <v>38.51</v>
      </c>
      <c r="DA108" s="228">
        <v>38.74</v>
      </c>
      <c r="DB108" s="228">
        <v>-0.23</v>
      </c>
      <c r="DC108" s="228">
        <v>-0.23</v>
      </c>
      <c r="DD108" s="228">
        <v>42.78</v>
      </c>
      <c r="DE108" s="228">
        <v>42.87</v>
      </c>
      <c r="DF108" s="228">
        <v>-4.2699999999999996</v>
      </c>
      <c r="DG108" s="228">
        <v>-0.09</v>
      </c>
      <c r="DH108" s="228">
        <v>38.590000000000003</v>
      </c>
      <c r="DI108" s="228">
        <v>38.67</v>
      </c>
      <c r="DJ108" s="228">
        <v>-0.08</v>
      </c>
      <c r="DK108" s="228">
        <v>-0.08</v>
      </c>
      <c r="DL108" s="228">
        <v>38.31</v>
      </c>
      <c r="DM108" s="228">
        <v>38.94</v>
      </c>
      <c r="DN108" s="228">
        <v>-0.63</v>
      </c>
      <c r="DO108" s="228">
        <v>-0.63</v>
      </c>
      <c r="DP108" s="228">
        <v>0.69</v>
      </c>
      <c r="DQ108" s="228">
        <v>0.69</v>
      </c>
      <c r="DR108" s="228">
        <v>0</v>
      </c>
      <c r="DS108" s="229">
        <v>0</v>
      </c>
      <c r="DT108" s="228">
        <v>600</v>
      </c>
      <c r="DU108" s="228">
        <v>550</v>
      </c>
      <c r="DV108" s="228">
        <v>0.42</v>
      </c>
      <c r="DW108" s="228">
        <v>0.31</v>
      </c>
      <c r="DX108" s="228">
        <v>0.11</v>
      </c>
      <c r="DY108" s="229">
        <v>0.3548</v>
      </c>
      <c r="DZ108" s="229">
        <v>1.7100000000000001E-2</v>
      </c>
      <c r="EA108" s="230">
        <v>403450</v>
      </c>
      <c r="EB108" s="229">
        <v>2.5999999999999999E-3</v>
      </c>
      <c r="EC108" s="229">
        <v>1.7100000000000001E-2</v>
      </c>
      <c r="ED108" s="228">
        <v>1.88</v>
      </c>
      <c r="EE108" s="229">
        <v>3.3E-3</v>
      </c>
      <c r="EF108" s="230">
        <v>961576</v>
      </c>
      <c r="EG108" s="230">
        <v>977675</v>
      </c>
      <c r="EH108" s="229">
        <v>-1.6500000000000001E-2</v>
      </c>
      <c r="EI108" s="229">
        <v>0.4572</v>
      </c>
      <c r="EJ108" s="231">
        <v>25940.85</v>
      </c>
      <c r="EK108" s="231">
        <v>10272.35</v>
      </c>
      <c r="EL108" s="231">
        <v>15550.38</v>
      </c>
      <c r="EM108" s="231">
        <v>3277</v>
      </c>
      <c r="EN108" s="231">
        <v>51763.58</v>
      </c>
      <c r="EO108" s="231">
        <v>39749.870000000003</v>
      </c>
      <c r="EP108" s="231">
        <v>12013.71</v>
      </c>
      <c r="EQ108" s="229">
        <v>0.30220000000000002</v>
      </c>
      <c r="ER108" s="231">
        <v>34433</v>
      </c>
      <c r="ES108" s="231">
        <v>21650</v>
      </c>
      <c r="ET108" s="231">
        <v>135136</v>
      </c>
      <c r="EU108" s="231">
        <v>75294901</v>
      </c>
      <c r="EV108" s="231">
        <v>191219</v>
      </c>
      <c r="EW108" s="231">
        <v>190306</v>
      </c>
      <c r="EX108" s="228">
        <v>913</v>
      </c>
      <c r="EY108" s="229">
        <v>4.7999999999999996E-3</v>
      </c>
      <c r="EZ108" s="229">
        <v>0.44719999999999999</v>
      </c>
      <c r="FA108" s="227" t="s">
        <v>691</v>
      </c>
      <c r="FB108" s="161">
        <f t="shared" si="1"/>
        <v>405450</v>
      </c>
    </row>
    <row r="109" spans="1:158" ht="17.25" thickBot="1" x14ac:dyDescent="0.3">
      <c r="A109" s="226">
        <v>46148</v>
      </c>
      <c r="B109" s="227" t="s">
        <v>227</v>
      </c>
      <c r="C109" s="227" t="s">
        <v>244</v>
      </c>
      <c r="D109" s="228">
        <v>675</v>
      </c>
      <c r="E109" s="231">
        <v>1280.5999999999999</v>
      </c>
      <c r="F109" s="231">
        <v>1259.2</v>
      </c>
      <c r="G109" s="228">
        <v>21.4</v>
      </c>
      <c r="H109" s="229">
        <v>1.7000000000000001E-2</v>
      </c>
      <c r="I109" s="231">
        <v>1273.3</v>
      </c>
      <c r="J109" s="231">
        <v>1252.4000000000001</v>
      </c>
      <c r="K109" s="228">
        <v>20.9</v>
      </c>
      <c r="L109" s="229">
        <v>1.67E-2</v>
      </c>
      <c r="M109" s="231">
        <v>1280.5999999999999</v>
      </c>
      <c r="N109" s="231">
        <v>1259.2</v>
      </c>
      <c r="O109" s="228">
        <v>21.4</v>
      </c>
      <c r="P109" s="229">
        <v>1.7000000000000001E-2</v>
      </c>
      <c r="Q109" s="231">
        <v>1287.9000000000001</v>
      </c>
      <c r="R109" s="231">
        <v>1268.4000000000001</v>
      </c>
      <c r="S109" s="228">
        <v>19.5</v>
      </c>
      <c r="T109" s="229">
        <v>1.54E-2</v>
      </c>
      <c r="U109" s="231">
        <v>1290.8</v>
      </c>
      <c r="V109" s="231">
        <v>1270.4000000000001</v>
      </c>
      <c r="W109" s="228">
        <v>20.399999999999999</v>
      </c>
      <c r="X109" s="229">
        <v>1.61E-2</v>
      </c>
      <c r="Y109" s="228">
        <v>7.3</v>
      </c>
      <c r="Z109" s="228">
        <v>6.8</v>
      </c>
      <c r="AA109" s="228">
        <v>0.5</v>
      </c>
      <c r="AB109" s="229">
        <v>5.7000000000000002E-3</v>
      </c>
      <c r="AC109" s="228">
        <v>7.3</v>
      </c>
      <c r="AD109" s="228">
        <v>6.8</v>
      </c>
      <c r="AE109" s="228">
        <v>0.5</v>
      </c>
      <c r="AF109" s="229">
        <v>5.7000000000000002E-3</v>
      </c>
      <c r="AG109" s="228">
        <v>14.6</v>
      </c>
      <c r="AH109" s="228">
        <v>16</v>
      </c>
      <c r="AI109" s="228">
        <v>-1.4</v>
      </c>
      <c r="AJ109" s="229">
        <v>1.15E-2</v>
      </c>
      <c r="AK109" s="228">
        <v>17.5</v>
      </c>
      <c r="AL109" s="228">
        <v>18</v>
      </c>
      <c r="AM109" s="228">
        <v>-0.5</v>
      </c>
      <c r="AN109" s="229">
        <v>1.37E-2</v>
      </c>
      <c r="AO109" s="231">
        <v>1272.8900000000001</v>
      </c>
      <c r="AP109" s="231">
        <v>1281.6099999999999</v>
      </c>
      <c r="AQ109" s="228">
        <v>0</v>
      </c>
      <c r="AR109" s="230">
        <v>1944675</v>
      </c>
      <c r="AS109" s="230">
        <v>1689525</v>
      </c>
      <c r="AT109" s="230">
        <v>255150</v>
      </c>
      <c r="AU109" s="229">
        <v>0.151</v>
      </c>
      <c r="AV109" s="230">
        <v>1852875</v>
      </c>
      <c r="AW109" s="230">
        <v>1600425</v>
      </c>
      <c r="AX109" s="230">
        <v>252450</v>
      </c>
      <c r="AY109" s="229">
        <v>0.15770000000000001</v>
      </c>
      <c r="AZ109" s="230">
        <v>83700</v>
      </c>
      <c r="BA109" s="230">
        <v>86400</v>
      </c>
      <c r="BB109" s="230">
        <v>-2700</v>
      </c>
      <c r="BC109" s="229">
        <v>-3.1300000000000001E-2</v>
      </c>
      <c r="BD109" s="230">
        <v>8100</v>
      </c>
      <c r="BE109" s="230">
        <v>2700</v>
      </c>
      <c r="BF109" s="230">
        <v>5400</v>
      </c>
      <c r="BG109" s="229">
        <v>2</v>
      </c>
      <c r="BH109" s="230">
        <v>3725325</v>
      </c>
      <c r="BI109" s="230">
        <v>3203550</v>
      </c>
      <c r="BJ109" s="230">
        <v>521775</v>
      </c>
      <c r="BK109" s="229">
        <v>0.16289999999999999</v>
      </c>
      <c r="BL109" s="230">
        <v>2106000</v>
      </c>
      <c r="BM109" s="230">
        <v>2789100</v>
      </c>
      <c r="BN109" s="230">
        <v>-683100</v>
      </c>
      <c r="BO109" s="229">
        <v>-0.24490000000000001</v>
      </c>
      <c r="BP109" s="230">
        <v>7776000</v>
      </c>
      <c r="BQ109" s="230">
        <v>7682175</v>
      </c>
      <c r="BR109" s="230">
        <v>93825</v>
      </c>
      <c r="BS109" s="229">
        <v>1.2200000000000001E-2</v>
      </c>
      <c r="BT109" s="230">
        <v>1050744</v>
      </c>
      <c r="BU109" s="230">
        <v>1582943</v>
      </c>
      <c r="BV109" s="230">
        <v>-532199</v>
      </c>
      <c r="BW109" s="229">
        <v>-0.3362</v>
      </c>
      <c r="BX109" s="230">
        <v>49826475</v>
      </c>
      <c r="BY109" s="230">
        <v>49765050</v>
      </c>
      <c r="BZ109" s="230">
        <v>61425</v>
      </c>
      <c r="CA109" s="229">
        <v>1.1999999999999999E-3</v>
      </c>
      <c r="CB109" s="230">
        <v>48703950</v>
      </c>
      <c r="CC109" s="230">
        <v>48670875</v>
      </c>
      <c r="CD109" s="230">
        <v>33075</v>
      </c>
      <c r="CE109" s="229">
        <v>6.9999999999999999E-4</v>
      </c>
      <c r="CF109" s="230">
        <v>1107000</v>
      </c>
      <c r="CG109" s="230">
        <v>1080000</v>
      </c>
      <c r="CH109" s="230">
        <v>27000</v>
      </c>
      <c r="CI109" s="229">
        <v>2.5000000000000001E-2</v>
      </c>
      <c r="CJ109" s="230">
        <v>15525</v>
      </c>
      <c r="CK109" s="230">
        <v>14175</v>
      </c>
      <c r="CL109" s="230">
        <v>1350</v>
      </c>
      <c r="CM109" s="229">
        <v>9.5200000000000007E-2</v>
      </c>
      <c r="CN109" s="230">
        <v>4544775</v>
      </c>
      <c r="CO109" s="230">
        <v>4808025</v>
      </c>
      <c r="CP109" s="230">
        <v>-263250</v>
      </c>
      <c r="CQ109" s="229">
        <v>-5.4800000000000001E-2</v>
      </c>
      <c r="CR109" s="230">
        <v>3290625</v>
      </c>
      <c r="CS109" s="230">
        <v>3356100</v>
      </c>
      <c r="CT109" s="230">
        <v>-65475</v>
      </c>
      <c r="CU109" s="229">
        <v>-1.95E-2</v>
      </c>
      <c r="CV109" s="230">
        <v>57661875</v>
      </c>
      <c r="CW109" s="230">
        <v>57929175</v>
      </c>
      <c r="CX109" s="230">
        <v>-267300</v>
      </c>
      <c r="CY109" s="229">
        <v>-4.5999999999999999E-3</v>
      </c>
      <c r="CZ109" s="228">
        <v>28.25</v>
      </c>
      <c r="DA109" s="228">
        <v>29.18</v>
      </c>
      <c r="DB109" s="228">
        <v>-0.93</v>
      </c>
      <c r="DC109" s="228">
        <v>-0.93</v>
      </c>
      <c r="DD109" s="228">
        <v>31.68</v>
      </c>
      <c r="DE109" s="228">
        <v>31.67</v>
      </c>
      <c r="DF109" s="228">
        <v>-3.43</v>
      </c>
      <c r="DG109" s="228">
        <v>0.01</v>
      </c>
      <c r="DH109" s="228">
        <v>28.09</v>
      </c>
      <c r="DI109" s="228">
        <v>29.3</v>
      </c>
      <c r="DJ109" s="228">
        <v>-1.21</v>
      </c>
      <c r="DK109" s="228">
        <v>-1.21</v>
      </c>
      <c r="DL109" s="228">
        <v>28.52</v>
      </c>
      <c r="DM109" s="228">
        <v>29.05</v>
      </c>
      <c r="DN109" s="228">
        <v>-0.53</v>
      </c>
      <c r="DO109" s="228">
        <v>-0.53</v>
      </c>
      <c r="DP109" s="228">
        <v>0.72</v>
      </c>
      <c r="DQ109" s="228">
        <v>0.7</v>
      </c>
      <c r="DR109" s="228">
        <v>0.02</v>
      </c>
      <c r="DS109" s="229">
        <v>2.86E-2</v>
      </c>
      <c r="DT109" s="231">
        <v>1300</v>
      </c>
      <c r="DU109" s="231">
        <v>1240</v>
      </c>
      <c r="DV109" s="228">
        <v>0.56999999999999995</v>
      </c>
      <c r="DW109" s="228">
        <v>0.87</v>
      </c>
      <c r="DX109" s="228">
        <v>-0.3</v>
      </c>
      <c r="DY109" s="229">
        <v>-0.3448</v>
      </c>
      <c r="DZ109" s="229">
        <v>2.2499999999999999E-2</v>
      </c>
      <c r="EA109" s="230">
        <v>1094175</v>
      </c>
      <c r="EB109" s="229">
        <v>5.7000000000000002E-3</v>
      </c>
      <c r="EC109" s="229">
        <v>2.2499999999999999E-2</v>
      </c>
      <c r="ED109" s="228">
        <v>8.7200000000000006</v>
      </c>
      <c r="EE109" s="229">
        <v>6.8999999999999999E-3</v>
      </c>
      <c r="EF109" s="230">
        <v>423730</v>
      </c>
      <c r="EG109" s="230">
        <v>701857</v>
      </c>
      <c r="EH109" s="229">
        <v>-0.39629999999999999</v>
      </c>
      <c r="EI109" s="229">
        <v>0.40329999999999999</v>
      </c>
      <c r="EJ109" s="231">
        <v>49659.61</v>
      </c>
      <c r="EK109" s="231">
        <v>26471.41</v>
      </c>
      <c r="EL109" s="231">
        <v>24761.58</v>
      </c>
      <c r="EM109" s="231">
        <v>3610</v>
      </c>
      <c r="EN109" s="231">
        <v>100892.6</v>
      </c>
      <c r="EO109" s="231">
        <v>99483.99</v>
      </c>
      <c r="EP109" s="231">
        <v>1408.61</v>
      </c>
      <c r="EQ109" s="229">
        <v>1.4200000000000001E-2</v>
      </c>
      <c r="ER109" s="231">
        <v>60006</v>
      </c>
      <c r="ES109" s="231">
        <v>39980</v>
      </c>
      <c r="ET109" s="231">
        <v>638160</v>
      </c>
      <c r="EU109" s="231">
        <v>133242960</v>
      </c>
      <c r="EV109" s="231">
        <v>738146</v>
      </c>
      <c r="EW109" s="231">
        <v>730811</v>
      </c>
      <c r="EX109" s="231">
        <v>7335</v>
      </c>
      <c r="EY109" s="229">
        <v>0.01</v>
      </c>
      <c r="EZ109" s="229">
        <v>0.43280000000000002</v>
      </c>
      <c r="FA109" s="227" t="s">
        <v>555</v>
      </c>
      <c r="FB109" s="161">
        <f t="shared" si="1"/>
        <v>1122525</v>
      </c>
    </row>
    <row r="110" spans="1:158" ht="17.25" thickBot="1" x14ac:dyDescent="0.3">
      <c r="A110" s="226">
        <v>46148</v>
      </c>
      <c r="B110" s="227" t="s">
        <v>168</v>
      </c>
      <c r="C110" s="227" t="s">
        <v>245</v>
      </c>
      <c r="D110" s="228">
        <v>1250</v>
      </c>
      <c r="E110" s="228">
        <v>473.9</v>
      </c>
      <c r="F110" s="228">
        <v>465.95</v>
      </c>
      <c r="G110" s="228">
        <v>7.95</v>
      </c>
      <c r="H110" s="229">
        <v>1.7100000000000001E-2</v>
      </c>
      <c r="I110" s="228">
        <v>471.25</v>
      </c>
      <c r="J110" s="228">
        <v>465.35</v>
      </c>
      <c r="K110" s="228">
        <v>5.9</v>
      </c>
      <c r="L110" s="229">
        <v>1.2699999999999999E-2</v>
      </c>
      <c r="M110" s="228">
        <v>473.9</v>
      </c>
      <c r="N110" s="228">
        <v>465.95</v>
      </c>
      <c r="O110" s="228">
        <v>7.95</v>
      </c>
      <c r="P110" s="229">
        <v>1.7100000000000001E-2</v>
      </c>
      <c r="Q110" s="228">
        <v>466.9</v>
      </c>
      <c r="R110" s="228">
        <v>458</v>
      </c>
      <c r="S110" s="228">
        <v>8.9</v>
      </c>
      <c r="T110" s="229">
        <v>1.9400000000000001E-2</v>
      </c>
      <c r="U110" s="228">
        <v>463.15</v>
      </c>
      <c r="V110" s="228">
        <v>453.05</v>
      </c>
      <c r="W110" s="228">
        <v>10.1</v>
      </c>
      <c r="X110" s="229">
        <v>2.23E-2</v>
      </c>
      <c r="Y110" s="228">
        <v>2.65</v>
      </c>
      <c r="Z110" s="228">
        <v>0.6</v>
      </c>
      <c r="AA110" s="228">
        <v>2.0499999999999998</v>
      </c>
      <c r="AB110" s="229">
        <v>5.5999999999999999E-3</v>
      </c>
      <c r="AC110" s="228">
        <v>2.65</v>
      </c>
      <c r="AD110" s="228">
        <v>0.6</v>
      </c>
      <c r="AE110" s="228">
        <v>2.0499999999999998</v>
      </c>
      <c r="AF110" s="229">
        <v>5.5999999999999999E-3</v>
      </c>
      <c r="AG110" s="228">
        <v>-4.3499999999999996</v>
      </c>
      <c r="AH110" s="228">
        <v>-7.35</v>
      </c>
      <c r="AI110" s="228">
        <v>3</v>
      </c>
      <c r="AJ110" s="229">
        <v>-9.1999999999999998E-3</v>
      </c>
      <c r="AK110" s="228">
        <v>-8.1</v>
      </c>
      <c r="AL110" s="228">
        <v>-12.3</v>
      </c>
      <c r="AM110" s="228">
        <v>4.2</v>
      </c>
      <c r="AN110" s="229">
        <v>-1.72E-2</v>
      </c>
      <c r="AO110" s="228">
        <v>468.89</v>
      </c>
      <c r="AP110" s="228">
        <v>460.66</v>
      </c>
      <c r="AQ110" s="228">
        <v>0</v>
      </c>
      <c r="AR110" s="230">
        <v>4925000</v>
      </c>
      <c r="AS110" s="230">
        <v>2000000</v>
      </c>
      <c r="AT110" s="230">
        <v>2925000</v>
      </c>
      <c r="AU110" s="229">
        <v>1.4624999999999999</v>
      </c>
      <c r="AV110" s="230">
        <v>4140000</v>
      </c>
      <c r="AW110" s="230">
        <v>1631250</v>
      </c>
      <c r="AX110" s="230">
        <v>2508750</v>
      </c>
      <c r="AY110" s="229">
        <v>1.5379</v>
      </c>
      <c r="AZ110" s="230">
        <v>747500</v>
      </c>
      <c r="BA110" s="230">
        <v>321250</v>
      </c>
      <c r="BB110" s="230">
        <v>426250</v>
      </c>
      <c r="BC110" s="229">
        <v>1.3268</v>
      </c>
      <c r="BD110" s="230">
        <v>37500</v>
      </c>
      <c r="BE110" s="230">
        <v>47500</v>
      </c>
      <c r="BF110" s="230">
        <v>-10000</v>
      </c>
      <c r="BG110" s="229">
        <v>-0.21049999999999999</v>
      </c>
      <c r="BH110" s="230">
        <v>7658750</v>
      </c>
      <c r="BI110" s="230">
        <v>4445000</v>
      </c>
      <c r="BJ110" s="230">
        <v>3213750</v>
      </c>
      <c r="BK110" s="229">
        <v>0.72299999999999998</v>
      </c>
      <c r="BL110" s="230">
        <v>2201250</v>
      </c>
      <c r="BM110" s="230">
        <v>1570000</v>
      </c>
      <c r="BN110" s="230">
        <v>631250</v>
      </c>
      <c r="BO110" s="229">
        <v>0.40210000000000001</v>
      </c>
      <c r="BP110" s="230">
        <v>14785000</v>
      </c>
      <c r="BQ110" s="230">
        <v>8015000</v>
      </c>
      <c r="BR110" s="230">
        <v>6770000</v>
      </c>
      <c r="BS110" s="229">
        <v>0.84470000000000001</v>
      </c>
      <c r="BT110" s="230">
        <v>1662631</v>
      </c>
      <c r="BU110" s="230">
        <v>943037</v>
      </c>
      <c r="BV110" s="230">
        <v>719594</v>
      </c>
      <c r="BW110" s="229">
        <v>0.7631</v>
      </c>
      <c r="BX110" s="230">
        <v>39177500</v>
      </c>
      <c r="BY110" s="230">
        <v>40013750</v>
      </c>
      <c r="BZ110" s="230">
        <v>-836250</v>
      </c>
      <c r="CA110" s="229">
        <v>-2.0899999999999998E-2</v>
      </c>
      <c r="CB110" s="230">
        <v>37243750</v>
      </c>
      <c r="CC110" s="230">
        <v>38193750</v>
      </c>
      <c r="CD110" s="230">
        <v>-950000</v>
      </c>
      <c r="CE110" s="229">
        <v>-2.4899999999999999E-2</v>
      </c>
      <c r="CF110" s="230">
        <v>1473750</v>
      </c>
      <c r="CG110" s="230">
        <v>1362500</v>
      </c>
      <c r="CH110" s="230">
        <v>111250</v>
      </c>
      <c r="CI110" s="229">
        <v>8.1699999999999995E-2</v>
      </c>
      <c r="CJ110" s="230">
        <v>460000</v>
      </c>
      <c r="CK110" s="230">
        <v>457500</v>
      </c>
      <c r="CL110" s="230">
        <v>2500</v>
      </c>
      <c r="CM110" s="229">
        <v>5.4999999999999997E-3</v>
      </c>
      <c r="CN110" s="230">
        <v>7053750</v>
      </c>
      <c r="CO110" s="230">
        <v>6695000</v>
      </c>
      <c r="CP110" s="230">
        <v>358750</v>
      </c>
      <c r="CQ110" s="229">
        <v>5.3600000000000002E-2</v>
      </c>
      <c r="CR110" s="230">
        <v>4433750</v>
      </c>
      <c r="CS110" s="230">
        <v>4201250</v>
      </c>
      <c r="CT110" s="230">
        <v>232500</v>
      </c>
      <c r="CU110" s="229">
        <v>5.5300000000000002E-2</v>
      </c>
      <c r="CV110" s="230">
        <v>50665000</v>
      </c>
      <c r="CW110" s="230">
        <v>50910000</v>
      </c>
      <c r="CX110" s="230">
        <v>-245000</v>
      </c>
      <c r="CY110" s="229">
        <v>-4.7999999999999996E-3</v>
      </c>
      <c r="CZ110" s="228">
        <v>37.729999999999997</v>
      </c>
      <c r="DA110" s="228">
        <v>39.08</v>
      </c>
      <c r="DB110" s="228">
        <v>-1.35</v>
      </c>
      <c r="DC110" s="228">
        <v>-1.35</v>
      </c>
      <c r="DD110" s="228">
        <v>38</v>
      </c>
      <c r="DE110" s="228">
        <v>38.06</v>
      </c>
      <c r="DF110" s="228">
        <v>-0.27</v>
      </c>
      <c r="DG110" s="228">
        <v>-0.06</v>
      </c>
      <c r="DH110" s="228">
        <v>37.020000000000003</v>
      </c>
      <c r="DI110" s="228">
        <v>38.97</v>
      </c>
      <c r="DJ110" s="228">
        <v>-1.95</v>
      </c>
      <c r="DK110" s="228">
        <v>-1.95</v>
      </c>
      <c r="DL110" s="228">
        <v>40.19</v>
      </c>
      <c r="DM110" s="228">
        <v>39.39</v>
      </c>
      <c r="DN110" s="228">
        <v>0.8</v>
      </c>
      <c r="DO110" s="228">
        <v>0.8</v>
      </c>
      <c r="DP110" s="228">
        <v>0.63</v>
      </c>
      <c r="DQ110" s="228">
        <v>0.63</v>
      </c>
      <c r="DR110" s="228">
        <v>0</v>
      </c>
      <c r="DS110" s="229">
        <v>0</v>
      </c>
      <c r="DT110" s="228">
        <v>500</v>
      </c>
      <c r="DU110" s="228">
        <v>500</v>
      </c>
      <c r="DV110" s="228">
        <v>0.28999999999999998</v>
      </c>
      <c r="DW110" s="228">
        <v>0.35</v>
      </c>
      <c r="DX110" s="228">
        <v>-0.06</v>
      </c>
      <c r="DY110" s="229">
        <v>-0.1714</v>
      </c>
      <c r="DZ110" s="229">
        <v>4.9399999999999999E-2</v>
      </c>
      <c r="EA110" s="230">
        <v>1820000</v>
      </c>
      <c r="EB110" s="229">
        <v>-1.4800000000000001E-2</v>
      </c>
      <c r="EC110" s="229">
        <v>4.9399999999999999E-2</v>
      </c>
      <c r="ED110" s="228">
        <v>-8.23</v>
      </c>
      <c r="EE110" s="229">
        <v>-1.7600000000000001E-2</v>
      </c>
      <c r="EF110" s="230">
        <v>714989</v>
      </c>
      <c r="EG110" s="230">
        <v>429959</v>
      </c>
      <c r="EH110" s="229">
        <v>0.66290000000000004</v>
      </c>
      <c r="EI110" s="229">
        <v>0.43</v>
      </c>
      <c r="EJ110" s="231">
        <v>38280.58</v>
      </c>
      <c r="EK110" s="231">
        <v>9971.43</v>
      </c>
      <c r="EL110" s="231">
        <v>23027.26</v>
      </c>
      <c r="EM110" s="231">
        <v>2246</v>
      </c>
      <c r="EN110" s="231">
        <v>71279.27</v>
      </c>
      <c r="EO110" s="231">
        <v>39097.43</v>
      </c>
      <c r="EP110" s="231">
        <v>32181.84</v>
      </c>
      <c r="EQ110" s="229">
        <v>0.82310000000000005</v>
      </c>
      <c r="ER110" s="231">
        <v>34802</v>
      </c>
      <c r="ES110" s="231">
        <v>20541</v>
      </c>
      <c r="ET110" s="231">
        <v>185510</v>
      </c>
      <c r="EU110" s="231">
        <v>58777851</v>
      </c>
      <c r="EV110" s="231">
        <v>240852</v>
      </c>
      <c r="EW110" s="231">
        <v>238741</v>
      </c>
      <c r="EX110" s="231">
        <v>2111</v>
      </c>
      <c r="EY110" s="229">
        <v>8.8000000000000005E-3</v>
      </c>
      <c r="EZ110" s="229">
        <v>0.86199999999999999</v>
      </c>
      <c r="FA110" s="227" t="s">
        <v>691</v>
      </c>
      <c r="FB110" s="161">
        <f t="shared" si="1"/>
        <v>1933750</v>
      </c>
    </row>
    <row r="111" spans="1:158" ht="17.25" thickBot="1" x14ac:dyDescent="0.3">
      <c r="A111" s="226">
        <v>46148</v>
      </c>
      <c r="B111" s="227" t="s">
        <v>168</v>
      </c>
      <c r="C111" s="227" t="s">
        <v>581</v>
      </c>
      <c r="D111" s="228">
        <v>1175</v>
      </c>
      <c r="E111" s="228">
        <v>418.7</v>
      </c>
      <c r="F111" s="228">
        <v>409.05</v>
      </c>
      <c r="G111" s="228">
        <v>9.65</v>
      </c>
      <c r="H111" s="229">
        <v>2.3599999999999999E-2</v>
      </c>
      <c r="I111" s="228">
        <v>415.65</v>
      </c>
      <c r="J111" s="228">
        <v>406.6</v>
      </c>
      <c r="K111" s="228">
        <v>9.0500000000000007</v>
      </c>
      <c r="L111" s="229">
        <v>2.23E-2</v>
      </c>
      <c r="M111" s="228">
        <v>418.7</v>
      </c>
      <c r="N111" s="228">
        <v>409.05</v>
      </c>
      <c r="O111" s="228">
        <v>9.65</v>
      </c>
      <c r="P111" s="229">
        <v>2.3599999999999999E-2</v>
      </c>
      <c r="Q111" s="228">
        <v>420.85</v>
      </c>
      <c r="R111" s="228">
        <v>411.45</v>
      </c>
      <c r="S111" s="228">
        <v>9.4</v>
      </c>
      <c r="T111" s="229">
        <v>2.2800000000000001E-2</v>
      </c>
      <c r="U111" s="228">
        <v>422.5</v>
      </c>
      <c r="V111" s="228">
        <v>413.1</v>
      </c>
      <c r="W111" s="228">
        <v>9.4</v>
      </c>
      <c r="X111" s="229">
        <v>2.2800000000000001E-2</v>
      </c>
      <c r="Y111" s="228">
        <v>3.05</v>
      </c>
      <c r="Z111" s="228">
        <v>2.4500000000000002</v>
      </c>
      <c r="AA111" s="228">
        <v>0.6</v>
      </c>
      <c r="AB111" s="229">
        <v>7.3000000000000001E-3</v>
      </c>
      <c r="AC111" s="228">
        <v>3.05</v>
      </c>
      <c r="AD111" s="228">
        <v>2.4500000000000002</v>
      </c>
      <c r="AE111" s="228">
        <v>0.6</v>
      </c>
      <c r="AF111" s="229">
        <v>7.3000000000000001E-3</v>
      </c>
      <c r="AG111" s="228">
        <v>5.2</v>
      </c>
      <c r="AH111" s="228">
        <v>4.8499999999999996</v>
      </c>
      <c r="AI111" s="228">
        <v>0.35</v>
      </c>
      <c r="AJ111" s="229">
        <v>1.2500000000000001E-2</v>
      </c>
      <c r="AK111" s="228">
        <v>6.85</v>
      </c>
      <c r="AL111" s="228">
        <v>6.5</v>
      </c>
      <c r="AM111" s="228">
        <v>0.35</v>
      </c>
      <c r="AN111" s="229">
        <v>1.6500000000000001E-2</v>
      </c>
      <c r="AO111" s="228">
        <v>415.89</v>
      </c>
      <c r="AP111" s="228">
        <v>417.89</v>
      </c>
      <c r="AQ111" s="228">
        <v>0</v>
      </c>
      <c r="AR111" s="230">
        <v>2563850</v>
      </c>
      <c r="AS111" s="230">
        <v>1786000</v>
      </c>
      <c r="AT111" s="230">
        <v>777850</v>
      </c>
      <c r="AU111" s="229">
        <v>0.4355</v>
      </c>
      <c r="AV111" s="230">
        <v>2394650</v>
      </c>
      <c r="AW111" s="230">
        <v>1692000</v>
      </c>
      <c r="AX111" s="230">
        <v>702650</v>
      </c>
      <c r="AY111" s="229">
        <v>0.4153</v>
      </c>
      <c r="AZ111" s="230">
        <v>150400</v>
      </c>
      <c r="BA111" s="230">
        <v>85775</v>
      </c>
      <c r="BB111" s="230">
        <v>64625</v>
      </c>
      <c r="BC111" s="229">
        <v>0.75339999999999996</v>
      </c>
      <c r="BD111" s="230">
        <v>18800</v>
      </c>
      <c r="BE111" s="230">
        <v>8225</v>
      </c>
      <c r="BF111" s="230">
        <v>10575</v>
      </c>
      <c r="BG111" s="229">
        <v>1.2857000000000001</v>
      </c>
      <c r="BH111" s="230">
        <v>8991100</v>
      </c>
      <c r="BI111" s="230">
        <v>4489675</v>
      </c>
      <c r="BJ111" s="230">
        <v>4501425</v>
      </c>
      <c r="BK111" s="229">
        <v>1.0025999999999999</v>
      </c>
      <c r="BL111" s="230">
        <v>3031500</v>
      </c>
      <c r="BM111" s="230">
        <v>2017475</v>
      </c>
      <c r="BN111" s="230">
        <v>1014025</v>
      </c>
      <c r="BO111" s="229">
        <v>0.50260000000000005</v>
      </c>
      <c r="BP111" s="230">
        <v>14586450</v>
      </c>
      <c r="BQ111" s="230">
        <v>8293150</v>
      </c>
      <c r="BR111" s="230">
        <v>6293300</v>
      </c>
      <c r="BS111" s="229">
        <v>0.75890000000000002</v>
      </c>
      <c r="BT111" s="230">
        <v>2626635</v>
      </c>
      <c r="BU111" s="230">
        <v>3406988</v>
      </c>
      <c r="BV111" s="230">
        <v>-780353</v>
      </c>
      <c r="BW111" s="229">
        <v>-0.22900000000000001</v>
      </c>
      <c r="BX111" s="230">
        <v>27526875</v>
      </c>
      <c r="BY111" s="230">
        <v>26855200</v>
      </c>
      <c r="BZ111" s="230">
        <v>671675</v>
      </c>
      <c r="CA111" s="229">
        <v>2.5000000000000001E-2</v>
      </c>
      <c r="CB111" s="230">
        <v>26932175</v>
      </c>
      <c r="CC111" s="230">
        <v>26332925</v>
      </c>
      <c r="CD111" s="230">
        <v>599250</v>
      </c>
      <c r="CE111" s="229">
        <v>2.2800000000000001E-2</v>
      </c>
      <c r="CF111" s="230">
        <v>566350</v>
      </c>
      <c r="CG111" s="230">
        <v>508775</v>
      </c>
      <c r="CH111" s="230">
        <v>57575</v>
      </c>
      <c r="CI111" s="229">
        <v>0.1132</v>
      </c>
      <c r="CJ111" s="230">
        <v>28350</v>
      </c>
      <c r="CK111" s="230">
        <v>13500</v>
      </c>
      <c r="CL111" s="230">
        <v>14850</v>
      </c>
      <c r="CM111" s="229">
        <v>1.1000000000000001</v>
      </c>
      <c r="CN111" s="230">
        <v>7072325</v>
      </c>
      <c r="CO111" s="230">
        <v>6225150</v>
      </c>
      <c r="CP111" s="230">
        <v>847175</v>
      </c>
      <c r="CQ111" s="229">
        <v>0.1361</v>
      </c>
      <c r="CR111" s="230">
        <v>4018500</v>
      </c>
      <c r="CS111" s="230">
        <v>3526175</v>
      </c>
      <c r="CT111" s="230">
        <v>492325</v>
      </c>
      <c r="CU111" s="229">
        <v>0.1396</v>
      </c>
      <c r="CV111" s="230">
        <v>38617700</v>
      </c>
      <c r="CW111" s="230">
        <v>36606525</v>
      </c>
      <c r="CX111" s="230">
        <v>2011175</v>
      </c>
      <c r="CY111" s="229">
        <v>5.4899999999999997E-2</v>
      </c>
      <c r="CZ111" s="228">
        <v>43.34</v>
      </c>
      <c r="DA111" s="228">
        <v>43.42</v>
      </c>
      <c r="DB111" s="228">
        <v>-0.08</v>
      </c>
      <c r="DC111" s="228">
        <v>-0.08</v>
      </c>
      <c r="DD111" s="228">
        <v>51.26</v>
      </c>
      <c r="DE111" s="228">
        <v>51.3</v>
      </c>
      <c r="DF111" s="228">
        <v>-7.92</v>
      </c>
      <c r="DG111" s="228">
        <v>-0.04</v>
      </c>
      <c r="DH111" s="228">
        <v>43.34</v>
      </c>
      <c r="DI111" s="228">
        <v>43.33</v>
      </c>
      <c r="DJ111" s="228">
        <v>0.01</v>
      </c>
      <c r="DK111" s="228">
        <v>0.01</v>
      </c>
      <c r="DL111" s="228">
        <v>43.33</v>
      </c>
      <c r="DM111" s="228">
        <v>43.63</v>
      </c>
      <c r="DN111" s="228">
        <v>-0.3</v>
      </c>
      <c r="DO111" s="228">
        <v>-0.3</v>
      </c>
      <c r="DP111" s="228">
        <v>0.56999999999999995</v>
      </c>
      <c r="DQ111" s="228">
        <v>0.56999999999999995</v>
      </c>
      <c r="DR111" s="228">
        <v>0</v>
      </c>
      <c r="DS111" s="229">
        <v>0</v>
      </c>
      <c r="DT111" s="228">
        <v>450</v>
      </c>
      <c r="DU111" s="228">
        <v>415</v>
      </c>
      <c r="DV111" s="228">
        <v>0.34</v>
      </c>
      <c r="DW111" s="228">
        <v>0.45</v>
      </c>
      <c r="DX111" s="228">
        <v>-0.11</v>
      </c>
      <c r="DY111" s="229">
        <v>-0.24440000000000001</v>
      </c>
      <c r="DZ111" s="229">
        <v>2.1600000000000001E-2</v>
      </c>
      <c r="EA111" s="230">
        <v>522275</v>
      </c>
      <c r="EB111" s="229">
        <v>5.1000000000000004E-3</v>
      </c>
      <c r="EC111" s="229">
        <v>2.1600000000000001E-2</v>
      </c>
      <c r="ED111" s="228">
        <v>2</v>
      </c>
      <c r="EE111" s="229">
        <v>4.7999999999999996E-3</v>
      </c>
      <c r="EF111" s="230">
        <v>1303940</v>
      </c>
      <c r="EG111" s="230">
        <v>1653731</v>
      </c>
      <c r="EH111" s="229">
        <v>-0.21149999999999999</v>
      </c>
      <c r="EI111" s="229">
        <v>0.49640000000000001</v>
      </c>
      <c r="EJ111" s="231">
        <v>40100.04</v>
      </c>
      <c r="EK111" s="231">
        <v>12578.35</v>
      </c>
      <c r="EL111" s="231">
        <v>10678.36</v>
      </c>
      <c r="EM111" s="231">
        <v>2060</v>
      </c>
      <c r="EN111" s="231">
        <v>63356.75</v>
      </c>
      <c r="EO111" s="231">
        <v>35587.78</v>
      </c>
      <c r="EP111" s="231">
        <v>27768.97</v>
      </c>
      <c r="EQ111" s="229">
        <v>0.78029999999999999</v>
      </c>
      <c r="ER111" s="231">
        <v>31267</v>
      </c>
      <c r="ES111" s="231">
        <v>16400</v>
      </c>
      <c r="ET111" s="231">
        <v>115268</v>
      </c>
      <c r="EU111" s="231">
        <v>57686748</v>
      </c>
      <c r="EV111" s="231">
        <v>162935</v>
      </c>
      <c r="EW111" s="231">
        <v>151742</v>
      </c>
      <c r="EX111" s="231">
        <v>11193</v>
      </c>
      <c r="EY111" s="229">
        <v>7.3800000000000004E-2</v>
      </c>
      <c r="EZ111" s="229">
        <v>0.6694</v>
      </c>
      <c r="FA111" s="227" t="s">
        <v>555</v>
      </c>
      <c r="FB111" s="161">
        <f t="shared" si="1"/>
        <v>594700</v>
      </c>
    </row>
    <row r="112" spans="1:158" ht="17.25" thickBot="1" x14ac:dyDescent="0.3">
      <c r="A112" s="226">
        <v>46148</v>
      </c>
      <c r="B112" s="227" t="s">
        <v>184</v>
      </c>
      <c r="C112" s="227" t="s">
        <v>673</v>
      </c>
      <c r="D112" s="228">
        <v>100</v>
      </c>
      <c r="E112" s="231">
        <v>4326</v>
      </c>
      <c r="F112" s="231">
        <v>4183.3999999999996</v>
      </c>
      <c r="G112" s="228">
        <v>142.6</v>
      </c>
      <c r="H112" s="229">
        <v>3.4099999999999998E-2</v>
      </c>
      <c r="I112" s="231">
        <v>4305.5</v>
      </c>
      <c r="J112" s="231">
        <v>4170.6000000000004</v>
      </c>
      <c r="K112" s="228">
        <v>134.9</v>
      </c>
      <c r="L112" s="229">
        <v>3.2300000000000002E-2</v>
      </c>
      <c r="M112" s="231">
        <v>4326</v>
      </c>
      <c r="N112" s="231">
        <v>4183.3999999999996</v>
      </c>
      <c r="O112" s="228">
        <v>142.6</v>
      </c>
      <c r="P112" s="229">
        <v>3.4099999999999998E-2</v>
      </c>
      <c r="Q112" s="231">
        <v>4303.7</v>
      </c>
      <c r="R112" s="231">
        <v>4153.8</v>
      </c>
      <c r="S112" s="228">
        <v>149.9</v>
      </c>
      <c r="T112" s="229">
        <v>3.61E-2</v>
      </c>
      <c r="U112" s="231">
        <v>4303.2</v>
      </c>
      <c r="V112" s="231">
        <v>4157.7</v>
      </c>
      <c r="W112" s="228">
        <v>145.5</v>
      </c>
      <c r="X112" s="229">
        <v>3.5000000000000003E-2</v>
      </c>
      <c r="Y112" s="228">
        <v>20.5</v>
      </c>
      <c r="Z112" s="228">
        <v>12.8</v>
      </c>
      <c r="AA112" s="228">
        <v>7.7</v>
      </c>
      <c r="AB112" s="229">
        <v>4.7999999999999996E-3</v>
      </c>
      <c r="AC112" s="228">
        <v>20.5</v>
      </c>
      <c r="AD112" s="228">
        <v>12.8</v>
      </c>
      <c r="AE112" s="228">
        <v>7.7</v>
      </c>
      <c r="AF112" s="229">
        <v>4.7999999999999996E-3</v>
      </c>
      <c r="AG112" s="228">
        <v>-1.8</v>
      </c>
      <c r="AH112" s="228">
        <v>-16.8</v>
      </c>
      <c r="AI112" s="228">
        <v>15</v>
      </c>
      <c r="AJ112" s="229">
        <v>-4.0000000000000002E-4</v>
      </c>
      <c r="AK112" s="228">
        <v>-2.2999999999999998</v>
      </c>
      <c r="AL112" s="228">
        <v>-12.9</v>
      </c>
      <c r="AM112" s="228">
        <v>10.6</v>
      </c>
      <c r="AN112" s="229">
        <v>-5.0000000000000001E-4</v>
      </c>
      <c r="AO112" s="231">
        <v>4285.32</v>
      </c>
      <c r="AP112" s="231">
        <v>4253.5</v>
      </c>
      <c r="AQ112" s="228">
        <v>0</v>
      </c>
      <c r="AR112" s="230">
        <v>720000</v>
      </c>
      <c r="AS112" s="230">
        <v>585800</v>
      </c>
      <c r="AT112" s="230">
        <v>134200</v>
      </c>
      <c r="AU112" s="229">
        <v>0.2291</v>
      </c>
      <c r="AV112" s="230">
        <v>632600</v>
      </c>
      <c r="AW112" s="230">
        <v>539700</v>
      </c>
      <c r="AX112" s="230">
        <v>92900</v>
      </c>
      <c r="AY112" s="229">
        <v>0.1721</v>
      </c>
      <c r="AZ112" s="230">
        <v>83600</v>
      </c>
      <c r="BA112" s="230">
        <v>42700</v>
      </c>
      <c r="BB112" s="230">
        <v>40900</v>
      </c>
      <c r="BC112" s="229">
        <v>0.95779999999999998</v>
      </c>
      <c r="BD112" s="230">
        <v>3800</v>
      </c>
      <c r="BE112" s="230">
        <v>3400</v>
      </c>
      <c r="BF112" s="228">
        <v>400</v>
      </c>
      <c r="BG112" s="229">
        <v>0.1176</v>
      </c>
      <c r="BH112" s="230">
        <v>1798500</v>
      </c>
      <c r="BI112" s="230">
        <v>1731900</v>
      </c>
      <c r="BJ112" s="230">
        <v>66600</v>
      </c>
      <c r="BK112" s="229">
        <v>3.85E-2</v>
      </c>
      <c r="BL112" s="230">
        <v>691000</v>
      </c>
      <c r="BM112" s="230">
        <v>598500</v>
      </c>
      <c r="BN112" s="230">
        <v>92500</v>
      </c>
      <c r="BO112" s="229">
        <v>0.15459999999999999</v>
      </c>
      <c r="BP112" s="230">
        <v>3209500</v>
      </c>
      <c r="BQ112" s="230">
        <v>2916200</v>
      </c>
      <c r="BR112" s="230">
        <v>293300</v>
      </c>
      <c r="BS112" s="229">
        <v>0.10059999999999999</v>
      </c>
      <c r="BT112" s="230">
        <v>895949</v>
      </c>
      <c r="BU112" s="230">
        <v>866666</v>
      </c>
      <c r="BV112" s="230">
        <v>29283</v>
      </c>
      <c r="BW112" s="229">
        <v>3.3799999999999997E-2</v>
      </c>
      <c r="BX112" s="230">
        <v>2675800</v>
      </c>
      <c r="BY112" s="230">
        <v>2716900</v>
      </c>
      <c r="BZ112" s="230">
        <v>-41100</v>
      </c>
      <c r="CA112" s="229">
        <v>-1.5100000000000001E-2</v>
      </c>
      <c r="CB112" s="230">
        <v>2496100</v>
      </c>
      <c r="CC112" s="230">
        <v>2549600</v>
      </c>
      <c r="CD112" s="230">
        <v>-53500</v>
      </c>
      <c r="CE112" s="229">
        <v>-2.1000000000000001E-2</v>
      </c>
      <c r="CF112" s="230">
        <v>169200</v>
      </c>
      <c r="CG112" s="230">
        <v>158000</v>
      </c>
      <c r="CH112" s="230">
        <v>11200</v>
      </c>
      <c r="CI112" s="229">
        <v>7.0900000000000005E-2</v>
      </c>
      <c r="CJ112" s="230">
        <v>10500</v>
      </c>
      <c r="CK112" s="230">
        <v>9300</v>
      </c>
      <c r="CL112" s="230">
        <v>1200</v>
      </c>
      <c r="CM112" s="229">
        <v>0.129</v>
      </c>
      <c r="CN112" s="230">
        <v>1004900</v>
      </c>
      <c r="CO112" s="230">
        <v>1068900</v>
      </c>
      <c r="CP112" s="230">
        <v>-64000</v>
      </c>
      <c r="CQ112" s="229">
        <v>-5.9900000000000002E-2</v>
      </c>
      <c r="CR112" s="230">
        <v>704800</v>
      </c>
      <c r="CS112" s="230">
        <v>696700</v>
      </c>
      <c r="CT112" s="230">
        <v>8100</v>
      </c>
      <c r="CU112" s="229">
        <v>1.1599999999999999E-2</v>
      </c>
      <c r="CV112" s="230">
        <v>4385500</v>
      </c>
      <c r="CW112" s="230">
        <v>4482500</v>
      </c>
      <c r="CX112" s="230">
        <v>-97000</v>
      </c>
      <c r="CY112" s="229">
        <v>-2.1600000000000001E-2</v>
      </c>
      <c r="CZ112" s="228">
        <v>50.8</v>
      </c>
      <c r="DA112" s="228">
        <v>53.9</v>
      </c>
      <c r="DB112" s="228">
        <v>-3.1</v>
      </c>
      <c r="DC112" s="228">
        <v>-3.1</v>
      </c>
      <c r="DD112" s="228">
        <v>60.21</v>
      </c>
      <c r="DE112" s="228">
        <v>60.19</v>
      </c>
      <c r="DF112" s="228">
        <v>-9.41</v>
      </c>
      <c r="DG112" s="228">
        <v>0.02</v>
      </c>
      <c r="DH112" s="228">
        <v>50.33</v>
      </c>
      <c r="DI112" s="228">
        <v>53.82</v>
      </c>
      <c r="DJ112" s="228">
        <v>-3.49</v>
      </c>
      <c r="DK112" s="228">
        <v>-3.49</v>
      </c>
      <c r="DL112" s="228">
        <v>52.01</v>
      </c>
      <c r="DM112" s="228">
        <v>54.11</v>
      </c>
      <c r="DN112" s="228">
        <v>-2.1</v>
      </c>
      <c r="DO112" s="228">
        <v>-2.1</v>
      </c>
      <c r="DP112" s="228">
        <v>0.7</v>
      </c>
      <c r="DQ112" s="228">
        <v>0.65</v>
      </c>
      <c r="DR112" s="228">
        <v>0.05</v>
      </c>
      <c r="DS112" s="229">
        <v>7.6899999999999996E-2</v>
      </c>
      <c r="DT112" s="231">
        <v>4500</v>
      </c>
      <c r="DU112" s="231">
        <v>4000</v>
      </c>
      <c r="DV112" s="228">
        <v>0.38</v>
      </c>
      <c r="DW112" s="228">
        <v>0.35</v>
      </c>
      <c r="DX112" s="228">
        <v>0.03</v>
      </c>
      <c r="DY112" s="229">
        <v>8.5699999999999998E-2</v>
      </c>
      <c r="DZ112" s="229">
        <v>6.7199999999999996E-2</v>
      </c>
      <c r="EA112" s="230">
        <v>167300</v>
      </c>
      <c r="EB112" s="229">
        <v>-5.1999999999999998E-3</v>
      </c>
      <c r="EC112" s="229">
        <v>6.7199999999999996E-2</v>
      </c>
      <c r="ED112" s="228">
        <v>-31.82</v>
      </c>
      <c r="EE112" s="229">
        <v>-7.4000000000000003E-3</v>
      </c>
      <c r="EF112" s="230">
        <v>286790</v>
      </c>
      <c r="EG112" s="230">
        <v>202271</v>
      </c>
      <c r="EH112" s="229">
        <v>0.41789999999999999</v>
      </c>
      <c r="EI112" s="229">
        <v>0.3201</v>
      </c>
      <c r="EJ112" s="231">
        <v>82552.929999999993</v>
      </c>
      <c r="EK112" s="231">
        <v>28182.74</v>
      </c>
      <c r="EL112" s="231">
        <v>30907.23</v>
      </c>
      <c r="EM112" s="231">
        <v>5837</v>
      </c>
      <c r="EN112" s="231">
        <v>141642.9</v>
      </c>
      <c r="EO112" s="231">
        <v>127694.34</v>
      </c>
      <c r="EP112" s="231">
        <v>13948.56</v>
      </c>
      <c r="EQ112" s="229">
        <v>0.10920000000000001</v>
      </c>
      <c r="ER112" s="231">
        <v>44399</v>
      </c>
      <c r="ES112" s="231">
        <v>27769</v>
      </c>
      <c r="ET112" s="231">
        <v>115715</v>
      </c>
      <c r="EU112" s="231">
        <v>4679418</v>
      </c>
      <c r="EV112" s="231">
        <v>187883</v>
      </c>
      <c r="EW112" s="231">
        <v>187647</v>
      </c>
      <c r="EX112" s="228">
        <v>236</v>
      </c>
      <c r="EY112" s="229">
        <v>1.2999999999999999E-3</v>
      </c>
      <c r="EZ112" s="229">
        <v>0.93720000000000003</v>
      </c>
      <c r="FA112" s="227" t="s">
        <v>691</v>
      </c>
      <c r="FB112" s="161">
        <f t="shared" si="1"/>
        <v>179700</v>
      </c>
    </row>
    <row r="113" spans="1:158" ht="17.25" thickBot="1" x14ac:dyDescent="0.3">
      <c r="A113" s="226">
        <v>46148</v>
      </c>
      <c r="B113" s="227" t="s">
        <v>161</v>
      </c>
      <c r="C113" s="227" t="s">
        <v>609</v>
      </c>
      <c r="D113" s="228">
        <v>175</v>
      </c>
      <c r="E113" s="231">
        <v>5180.2</v>
      </c>
      <c r="F113" s="231">
        <v>5046.8999999999996</v>
      </c>
      <c r="G113" s="228">
        <v>133.30000000000001</v>
      </c>
      <c r="H113" s="229">
        <v>2.64E-2</v>
      </c>
      <c r="I113" s="231">
        <v>5148.6000000000004</v>
      </c>
      <c r="J113" s="231">
        <v>5018.2</v>
      </c>
      <c r="K113" s="228">
        <v>130.4</v>
      </c>
      <c r="L113" s="229">
        <v>2.5999999999999999E-2</v>
      </c>
      <c r="M113" s="231">
        <v>5180.2</v>
      </c>
      <c r="N113" s="231">
        <v>5046.8999999999996</v>
      </c>
      <c r="O113" s="228">
        <v>133.30000000000001</v>
      </c>
      <c r="P113" s="229">
        <v>2.64E-2</v>
      </c>
      <c r="Q113" s="231">
        <v>5154.7</v>
      </c>
      <c r="R113" s="231">
        <v>5007.7</v>
      </c>
      <c r="S113" s="228">
        <v>147</v>
      </c>
      <c r="T113" s="229">
        <v>2.9399999999999999E-2</v>
      </c>
      <c r="U113" s="231">
        <v>5127.3999999999996</v>
      </c>
      <c r="V113" s="231">
        <v>4962.3999999999996</v>
      </c>
      <c r="W113" s="228">
        <v>165</v>
      </c>
      <c r="X113" s="229">
        <v>3.3300000000000003E-2</v>
      </c>
      <c r="Y113" s="228">
        <v>31.6</v>
      </c>
      <c r="Z113" s="228">
        <v>28.7</v>
      </c>
      <c r="AA113" s="228">
        <v>2.9</v>
      </c>
      <c r="AB113" s="229">
        <v>6.1000000000000004E-3</v>
      </c>
      <c r="AC113" s="228">
        <v>31.6</v>
      </c>
      <c r="AD113" s="228">
        <v>28.7</v>
      </c>
      <c r="AE113" s="228">
        <v>2.9</v>
      </c>
      <c r="AF113" s="229">
        <v>6.1000000000000004E-3</v>
      </c>
      <c r="AG113" s="228">
        <v>6.1</v>
      </c>
      <c r="AH113" s="228">
        <v>-10.5</v>
      </c>
      <c r="AI113" s="228">
        <v>16.600000000000001</v>
      </c>
      <c r="AJ113" s="229">
        <v>1.1999999999999999E-3</v>
      </c>
      <c r="AK113" s="228">
        <v>-21.2</v>
      </c>
      <c r="AL113" s="228">
        <v>-55.8</v>
      </c>
      <c r="AM113" s="228">
        <v>34.6</v>
      </c>
      <c r="AN113" s="229">
        <v>-4.1000000000000003E-3</v>
      </c>
      <c r="AO113" s="231">
        <v>5179.47</v>
      </c>
      <c r="AP113" s="231">
        <v>5154.83</v>
      </c>
      <c r="AQ113" s="228">
        <v>0</v>
      </c>
      <c r="AR113" s="230">
        <v>689675</v>
      </c>
      <c r="AS113" s="230">
        <v>1878975</v>
      </c>
      <c r="AT113" s="230">
        <v>-1189300</v>
      </c>
      <c r="AU113" s="229">
        <v>-0.63300000000000001</v>
      </c>
      <c r="AV113" s="230">
        <v>652925</v>
      </c>
      <c r="AW113" s="230">
        <v>1834875</v>
      </c>
      <c r="AX113" s="230">
        <v>-1181950</v>
      </c>
      <c r="AY113" s="229">
        <v>-0.64419999999999999</v>
      </c>
      <c r="AZ113" s="230">
        <v>32900</v>
      </c>
      <c r="BA113" s="230">
        <v>35525</v>
      </c>
      <c r="BB113" s="230">
        <v>-2625</v>
      </c>
      <c r="BC113" s="229">
        <v>-7.3899999999999993E-2</v>
      </c>
      <c r="BD113" s="230">
        <v>3850</v>
      </c>
      <c r="BE113" s="230">
        <v>8575</v>
      </c>
      <c r="BF113" s="230">
        <v>-4725</v>
      </c>
      <c r="BG113" s="229">
        <v>-0.55100000000000005</v>
      </c>
      <c r="BH113" s="230">
        <v>2972025</v>
      </c>
      <c r="BI113" s="230">
        <v>7159075</v>
      </c>
      <c r="BJ113" s="230">
        <v>-4187050</v>
      </c>
      <c r="BK113" s="229">
        <v>-0.58489999999999998</v>
      </c>
      <c r="BL113" s="230">
        <v>1331400</v>
      </c>
      <c r="BM113" s="230">
        <v>4711875</v>
      </c>
      <c r="BN113" s="230">
        <v>-3380475</v>
      </c>
      <c r="BO113" s="229">
        <v>-0.71740000000000004</v>
      </c>
      <c r="BP113" s="230">
        <v>4993100</v>
      </c>
      <c r="BQ113" s="230">
        <v>13749925</v>
      </c>
      <c r="BR113" s="230">
        <v>-8756825</v>
      </c>
      <c r="BS113" s="229">
        <v>-0.63690000000000002</v>
      </c>
      <c r="BT113" s="230">
        <v>623820</v>
      </c>
      <c r="BU113" s="230">
        <v>1943861</v>
      </c>
      <c r="BV113" s="230">
        <v>-1320041</v>
      </c>
      <c r="BW113" s="229">
        <v>-0.67910000000000004</v>
      </c>
      <c r="BX113" s="230">
        <v>1684550</v>
      </c>
      <c r="BY113" s="230">
        <v>1703800</v>
      </c>
      <c r="BZ113" s="230">
        <v>-19250</v>
      </c>
      <c r="CA113" s="229">
        <v>-1.1299999999999999E-2</v>
      </c>
      <c r="CB113" s="230">
        <v>1650250</v>
      </c>
      <c r="CC113" s="230">
        <v>1673175</v>
      </c>
      <c r="CD113" s="230">
        <v>-22925</v>
      </c>
      <c r="CE113" s="229">
        <v>-1.37E-2</v>
      </c>
      <c r="CF113" s="230">
        <v>30100</v>
      </c>
      <c r="CG113" s="230">
        <v>25900</v>
      </c>
      <c r="CH113" s="230">
        <v>4200</v>
      </c>
      <c r="CI113" s="229">
        <v>0.16220000000000001</v>
      </c>
      <c r="CJ113" s="230">
        <v>4200</v>
      </c>
      <c r="CK113" s="230">
        <v>4725</v>
      </c>
      <c r="CL113" s="228">
        <v>-525</v>
      </c>
      <c r="CM113" s="229">
        <v>-0.1111</v>
      </c>
      <c r="CN113" s="230">
        <v>725550</v>
      </c>
      <c r="CO113" s="230">
        <v>750750</v>
      </c>
      <c r="CP113" s="230">
        <v>-25200</v>
      </c>
      <c r="CQ113" s="229">
        <v>-3.3599999999999998E-2</v>
      </c>
      <c r="CR113" s="230">
        <v>586950</v>
      </c>
      <c r="CS113" s="230">
        <v>574000</v>
      </c>
      <c r="CT113" s="230">
        <v>12950</v>
      </c>
      <c r="CU113" s="229">
        <v>2.2599999999999999E-2</v>
      </c>
      <c r="CV113" s="230">
        <v>2997050</v>
      </c>
      <c r="CW113" s="230">
        <v>3028550</v>
      </c>
      <c r="CX113" s="230">
        <v>-31500</v>
      </c>
      <c r="CY113" s="229">
        <v>-1.04E-2</v>
      </c>
      <c r="CZ113" s="228">
        <v>36.19</v>
      </c>
      <c r="DA113" s="228">
        <v>38.909999999999997</v>
      </c>
      <c r="DB113" s="228">
        <v>-2.72</v>
      </c>
      <c r="DC113" s="228">
        <v>-2.72</v>
      </c>
      <c r="DD113" s="228">
        <v>45.96</v>
      </c>
      <c r="DE113" s="228">
        <v>45.94</v>
      </c>
      <c r="DF113" s="228">
        <v>-9.77</v>
      </c>
      <c r="DG113" s="228">
        <v>0.02</v>
      </c>
      <c r="DH113" s="228">
        <v>35</v>
      </c>
      <c r="DI113" s="228">
        <v>37.72</v>
      </c>
      <c r="DJ113" s="228">
        <v>-2.72</v>
      </c>
      <c r="DK113" s="228">
        <v>-2.72</v>
      </c>
      <c r="DL113" s="228">
        <v>38.82</v>
      </c>
      <c r="DM113" s="228">
        <v>40.729999999999997</v>
      </c>
      <c r="DN113" s="228">
        <v>-1.91</v>
      </c>
      <c r="DO113" s="228">
        <v>-1.91</v>
      </c>
      <c r="DP113" s="228">
        <v>0.81</v>
      </c>
      <c r="DQ113" s="228">
        <v>0.76</v>
      </c>
      <c r="DR113" s="228">
        <v>0.05</v>
      </c>
      <c r="DS113" s="229">
        <v>6.5799999999999997E-2</v>
      </c>
      <c r="DT113" s="231">
        <v>5500</v>
      </c>
      <c r="DU113" s="231">
        <v>4800</v>
      </c>
      <c r="DV113" s="228">
        <v>0.45</v>
      </c>
      <c r="DW113" s="228">
        <v>0.66</v>
      </c>
      <c r="DX113" s="228">
        <v>-0.21</v>
      </c>
      <c r="DY113" s="229">
        <v>-0.31819999999999998</v>
      </c>
      <c r="DZ113" s="229">
        <v>2.0400000000000001E-2</v>
      </c>
      <c r="EA113" s="230">
        <v>30625</v>
      </c>
      <c r="EB113" s="229">
        <v>-4.8999999999999998E-3</v>
      </c>
      <c r="EC113" s="229">
        <v>2.0400000000000001E-2</v>
      </c>
      <c r="ED113" s="228">
        <v>-24.64</v>
      </c>
      <c r="EE113" s="229">
        <v>-4.7999999999999996E-3</v>
      </c>
      <c r="EF113" s="230">
        <v>187891</v>
      </c>
      <c r="EG113" s="230">
        <v>441938</v>
      </c>
      <c r="EH113" s="229">
        <v>-0.57479999999999998</v>
      </c>
      <c r="EI113" s="229">
        <v>0.30120000000000002</v>
      </c>
      <c r="EJ113" s="231">
        <v>161692.54999999999</v>
      </c>
      <c r="EK113" s="231">
        <v>65052.13</v>
      </c>
      <c r="EL113" s="231">
        <v>35711.07</v>
      </c>
      <c r="EM113" s="231">
        <v>5260</v>
      </c>
      <c r="EN113" s="231">
        <v>262455.75</v>
      </c>
      <c r="EO113" s="231">
        <v>697657.93</v>
      </c>
      <c r="EP113" s="231">
        <v>-435202.18</v>
      </c>
      <c r="EQ113" s="229">
        <v>-0.62380000000000002</v>
      </c>
      <c r="ER113" s="231">
        <v>38232</v>
      </c>
      <c r="ES113" s="231">
        <v>27731</v>
      </c>
      <c r="ET113" s="231">
        <v>87253</v>
      </c>
      <c r="EU113" s="231">
        <v>9320940</v>
      </c>
      <c r="EV113" s="231">
        <v>153216</v>
      </c>
      <c r="EW113" s="231">
        <v>152054</v>
      </c>
      <c r="EX113" s="231">
        <v>1162</v>
      </c>
      <c r="EY113" s="229">
        <v>7.6E-3</v>
      </c>
      <c r="EZ113" s="229">
        <v>0.32150000000000001</v>
      </c>
      <c r="FA113" s="227" t="s">
        <v>691</v>
      </c>
      <c r="FB113" s="161">
        <f t="shared" si="1"/>
        <v>34300</v>
      </c>
    </row>
    <row r="114" spans="1:158" ht="17.25" thickBot="1" x14ac:dyDescent="0.3">
      <c r="A114" s="226">
        <v>46148</v>
      </c>
      <c r="B114" s="227" t="s">
        <v>175</v>
      </c>
      <c r="C114" s="227" t="s">
        <v>679</v>
      </c>
      <c r="D114" s="228">
        <v>500</v>
      </c>
      <c r="E114" s="228">
        <v>912.05</v>
      </c>
      <c r="F114" s="228">
        <v>888.15</v>
      </c>
      <c r="G114" s="228">
        <v>23.9</v>
      </c>
      <c r="H114" s="229">
        <v>2.69E-2</v>
      </c>
      <c r="I114" s="228">
        <v>912.5</v>
      </c>
      <c r="J114" s="228">
        <v>896.4</v>
      </c>
      <c r="K114" s="228">
        <v>16.100000000000001</v>
      </c>
      <c r="L114" s="229">
        <v>1.7999999999999999E-2</v>
      </c>
      <c r="M114" s="228">
        <v>912.05</v>
      </c>
      <c r="N114" s="228">
        <v>888.15</v>
      </c>
      <c r="O114" s="228">
        <v>23.9</v>
      </c>
      <c r="P114" s="229">
        <v>2.69E-2</v>
      </c>
      <c r="Q114" s="228">
        <v>895.35</v>
      </c>
      <c r="R114" s="228">
        <v>864.6</v>
      </c>
      <c r="S114" s="228">
        <v>30.75</v>
      </c>
      <c r="T114" s="229">
        <v>3.56E-2</v>
      </c>
      <c r="U114" s="228">
        <v>885.95</v>
      </c>
      <c r="V114" s="228">
        <v>850</v>
      </c>
      <c r="W114" s="228">
        <v>35.950000000000003</v>
      </c>
      <c r="X114" s="229">
        <v>4.2299999999999997E-2</v>
      </c>
      <c r="Y114" s="228">
        <v>-0.45</v>
      </c>
      <c r="Z114" s="228">
        <v>-8.25</v>
      </c>
      <c r="AA114" s="228">
        <v>7.8</v>
      </c>
      <c r="AB114" s="229">
        <v>-5.0000000000000001E-4</v>
      </c>
      <c r="AC114" s="228">
        <v>-0.45</v>
      </c>
      <c r="AD114" s="228">
        <v>-8.25</v>
      </c>
      <c r="AE114" s="228">
        <v>7.8</v>
      </c>
      <c r="AF114" s="229">
        <v>-5.0000000000000001E-4</v>
      </c>
      <c r="AG114" s="228">
        <v>-17.149999999999999</v>
      </c>
      <c r="AH114" s="228">
        <v>-31.8</v>
      </c>
      <c r="AI114" s="228">
        <v>14.65</v>
      </c>
      <c r="AJ114" s="229">
        <v>-1.8800000000000001E-2</v>
      </c>
      <c r="AK114" s="228">
        <v>-26.55</v>
      </c>
      <c r="AL114" s="228">
        <v>-46.4</v>
      </c>
      <c r="AM114" s="228">
        <v>19.850000000000001</v>
      </c>
      <c r="AN114" s="229">
        <v>-2.9100000000000001E-2</v>
      </c>
      <c r="AO114" s="228">
        <v>899.84</v>
      </c>
      <c r="AP114" s="228">
        <v>878.81</v>
      </c>
      <c r="AQ114" s="228">
        <v>0</v>
      </c>
      <c r="AR114" s="230">
        <v>1618000</v>
      </c>
      <c r="AS114" s="230">
        <v>3231000</v>
      </c>
      <c r="AT114" s="230">
        <v>-1613000</v>
      </c>
      <c r="AU114" s="229">
        <v>-0.49919999999999998</v>
      </c>
      <c r="AV114" s="230">
        <v>1336000</v>
      </c>
      <c r="AW114" s="230">
        <v>2915000</v>
      </c>
      <c r="AX114" s="230">
        <v>-1579000</v>
      </c>
      <c r="AY114" s="229">
        <v>-0.54169999999999996</v>
      </c>
      <c r="AZ114" s="230">
        <v>263000</v>
      </c>
      <c r="BA114" s="230">
        <v>289500</v>
      </c>
      <c r="BB114" s="230">
        <v>-26500</v>
      </c>
      <c r="BC114" s="229">
        <v>-9.1499999999999998E-2</v>
      </c>
      <c r="BD114" s="230">
        <v>19000</v>
      </c>
      <c r="BE114" s="230">
        <v>26500</v>
      </c>
      <c r="BF114" s="230">
        <v>-7500</v>
      </c>
      <c r="BG114" s="229">
        <v>-0.28299999999999997</v>
      </c>
      <c r="BH114" s="230">
        <v>4191500</v>
      </c>
      <c r="BI114" s="230">
        <v>11422500</v>
      </c>
      <c r="BJ114" s="230">
        <v>-7231000</v>
      </c>
      <c r="BK114" s="229">
        <v>-0.63300000000000001</v>
      </c>
      <c r="BL114" s="230">
        <v>1790500</v>
      </c>
      <c r="BM114" s="230">
        <v>5440000</v>
      </c>
      <c r="BN114" s="230">
        <v>-3649500</v>
      </c>
      <c r="BO114" s="229">
        <v>-0.67090000000000005</v>
      </c>
      <c r="BP114" s="230">
        <v>7600000</v>
      </c>
      <c r="BQ114" s="230">
        <v>20093500</v>
      </c>
      <c r="BR114" s="230">
        <v>-12493500</v>
      </c>
      <c r="BS114" s="229">
        <v>-0.62180000000000002</v>
      </c>
      <c r="BT114" s="230">
        <v>987787</v>
      </c>
      <c r="BU114" s="230">
        <v>2444278</v>
      </c>
      <c r="BV114" s="230">
        <v>-1456491</v>
      </c>
      <c r="BW114" s="229">
        <v>-0.59589999999999999</v>
      </c>
      <c r="BX114" s="230">
        <v>5649250</v>
      </c>
      <c r="BY114" s="230">
        <v>5732025</v>
      </c>
      <c r="BZ114" s="230">
        <v>-82775</v>
      </c>
      <c r="CA114" s="229">
        <v>-1.44E-2</v>
      </c>
      <c r="CB114" s="230">
        <v>4947000</v>
      </c>
      <c r="CC114" s="230">
        <v>5117000</v>
      </c>
      <c r="CD114" s="230">
        <v>-170000</v>
      </c>
      <c r="CE114" s="229">
        <v>-3.32E-2</v>
      </c>
      <c r="CF114" s="230">
        <v>604500</v>
      </c>
      <c r="CG114" s="230">
        <v>519000</v>
      </c>
      <c r="CH114" s="230">
        <v>85500</v>
      </c>
      <c r="CI114" s="229">
        <v>0.16470000000000001</v>
      </c>
      <c r="CJ114" s="230">
        <v>97750</v>
      </c>
      <c r="CK114" s="230">
        <v>96025</v>
      </c>
      <c r="CL114" s="230">
        <v>1725</v>
      </c>
      <c r="CM114" s="229">
        <v>1.7999999999999999E-2</v>
      </c>
      <c r="CN114" s="230">
        <v>3452500</v>
      </c>
      <c r="CO114" s="230">
        <v>4345500</v>
      </c>
      <c r="CP114" s="230">
        <v>-893000</v>
      </c>
      <c r="CQ114" s="229">
        <v>-0.20549999999999999</v>
      </c>
      <c r="CR114" s="230">
        <v>2395075</v>
      </c>
      <c r="CS114" s="230">
        <v>2546575</v>
      </c>
      <c r="CT114" s="230">
        <v>-151500</v>
      </c>
      <c r="CU114" s="229">
        <v>-5.9499999999999997E-2</v>
      </c>
      <c r="CV114" s="230">
        <v>11496825</v>
      </c>
      <c r="CW114" s="230">
        <v>12624100</v>
      </c>
      <c r="CX114" s="230">
        <v>-1127275</v>
      </c>
      <c r="CY114" s="229">
        <v>-8.9300000000000004E-2</v>
      </c>
      <c r="CZ114" s="228">
        <v>37.5</v>
      </c>
      <c r="DA114" s="228">
        <v>41</v>
      </c>
      <c r="DB114" s="228">
        <v>-3.5</v>
      </c>
      <c r="DC114" s="228">
        <v>-3.5</v>
      </c>
      <c r="DD114" s="228">
        <v>51.46</v>
      </c>
      <c r="DE114" s="228">
        <v>51.46</v>
      </c>
      <c r="DF114" s="228">
        <v>-13.96</v>
      </c>
      <c r="DG114" s="228">
        <v>0</v>
      </c>
      <c r="DH114" s="228">
        <v>37.14</v>
      </c>
      <c r="DI114" s="228">
        <v>41.01</v>
      </c>
      <c r="DJ114" s="228">
        <v>-3.87</v>
      </c>
      <c r="DK114" s="228">
        <v>-3.87</v>
      </c>
      <c r="DL114" s="228">
        <v>38.35</v>
      </c>
      <c r="DM114" s="228">
        <v>40.99</v>
      </c>
      <c r="DN114" s="228">
        <v>-2.64</v>
      </c>
      <c r="DO114" s="228">
        <v>-2.64</v>
      </c>
      <c r="DP114" s="228">
        <v>0.69</v>
      </c>
      <c r="DQ114" s="228">
        <v>0.59</v>
      </c>
      <c r="DR114" s="228">
        <v>0.1</v>
      </c>
      <c r="DS114" s="229">
        <v>0.16950000000000001</v>
      </c>
      <c r="DT114" s="231">
        <v>1000</v>
      </c>
      <c r="DU114" s="228">
        <v>850</v>
      </c>
      <c r="DV114" s="228">
        <v>0.43</v>
      </c>
      <c r="DW114" s="228">
        <v>0.48</v>
      </c>
      <c r="DX114" s="228">
        <v>-0.05</v>
      </c>
      <c r="DY114" s="229">
        <v>-0.1042</v>
      </c>
      <c r="DZ114" s="229">
        <v>0.12429999999999999</v>
      </c>
      <c r="EA114" s="230">
        <v>615025</v>
      </c>
      <c r="EB114" s="229">
        <v>-1.83E-2</v>
      </c>
      <c r="EC114" s="229">
        <v>0.12429999999999999</v>
      </c>
      <c r="ED114" s="228">
        <v>-21.03</v>
      </c>
      <c r="EE114" s="229">
        <v>-2.3400000000000001E-2</v>
      </c>
      <c r="EF114" s="230">
        <v>367861</v>
      </c>
      <c r="EG114" s="230">
        <v>467154</v>
      </c>
      <c r="EH114" s="229">
        <v>-0.21249999999999999</v>
      </c>
      <c r="EI114" s="229">
        <v>0.37240000000000001</v>
      </c>
      <c r="EJ114" s="231">
        <v>40920.83</v>
      </c>
      <c r="EK114" s="231">
        <v>15387.18</v>
      </c>
      <c r="EL114" s="231">
        <v>14522.46</v>
      </c>
      <c r="EM114" s="231">
        <v>7848</v>
      </c>
      <c r="EN114" s="231">
        <v>70830.47</v>
      </c>
      <c r="EO114" s="231">
        <v>184756.17</v>
      </c>
      <c r="EP114" s="231">
        <v>-113925.7</v>
      </c>
      <c r="EQ114" s="229">
        <v>-0.61660000000000004</v>
      </c>
      <c r="ER114" s="231">
        <v>33618</v>
      </c>
      <c r="ES114" s="231">
        <v>21250</v>
      </c>
      <c r="ET114" s="231">
        <v>51398</v>
      </c>
      <c r="EU114" s="231">
        <v>19953342</v>
      </c>
      <c r="EV114" s="231">
        <v>106265</v>
      </c>
      <c r="EW114" s="231">
        <v>115353</v>
      </c>
      <c r="EX114" s="231">
        <v>-9088</v>
      </c>
      <c r="EY114" s="229">
        <v>-7.8799999999999995E-2</v>
      </c>
      <c r="EZ114" s="229">
        <v>0.57620000000000005</v>
      </c>
      <c r="FA114" s="227" t="s">
        <v>691</v>
      </c>
      <c r="FB114" s="161">
        <f t="shared" si="1"/>
        <v>702250</v>
      </c>
    </row>
    <row r="115" spans="1:158" ht="17.25" thickBot="1" x14ac:dyDescent="0.3">
      <c r="A115" s="226">
        <v>46148</v>
      </c>
      <c r="B115" s="227" t="s">
        <v>172</v>
      </c>
      <c r="C115" s="227" t="s">
        <v>246</v>
      </c>
      <c r="D115" s="228">
        <v>2000</v>
      </c>
      <c r="E115" s="228">
        <v>379</v>
      </c>
      <c r="F115" s="228">
        <v>372.25</v>
      </c>
      <c r="G115" s="228">
        <v>6.75</v>
      </c>
      <c r="H115" s="229">
        <v>1.8100000000000002E-2</v>
      </c>
      <c r="I115" s="228">
        <v>376.6</v>
      </c>
      <c r="J115" s="228">
        <v>371.35</v>
      </c>
      <c r="K115" s="228">
        <v>5.25</v>
      </c>
      <c r="L115" s="229">
        <v>1.41E-2</v>
      </c>
      <c r="M115" s="228">
        <v>379</v>
      </c>
      <c r="N115" s="228">
        <v>372.25</v>
      </c>
      <c r="O115" s="228">
        <v>6.75</v>
      </c>
      <c r="P115" s="229">
        <v>1.8100000000000002E-2</v>
      </c>
      <c r="Q115" s="228">
        <v>381.45</v>
      </c>
      <c r="R115" s="228">
        <v>374.95</v>
      </c>
      <c r="S115" s="228">
        <v>6.5</v>
      </c>
      <c r="T115" s="229">
        <v>1.7299999999999999E-2</v>
      </c>
      <c r="U115" s="228">
        <v>382.35</v>
      </c>
      <c r="V115" s="228">
        <v>376.3</v>
      </c>
      <c r="W115" s="228">
        <v>6.05</v>
      </c>
      <c r="X115" s="229">
        <v>1.61E-2</v>
      </c>
      <c r="Y115" s="228">
        <v>2.4</v>
      </c>
      <c r="Z115" s="228">
        <v>0.9</v>
      </c>
      <c r="AA115" s="228">
        <v>1.5</v>
      </c>
      <c r="AB115" s="229">
        <v>6.4000000000000003E-3</v>
      </c>
      <c r="AC115" s="228">
        <v>2.4</v>
      </c>
      <c r="AD115" s="228">
        <v>0.9</v>
      </c>
      <c r="AE115" s="228">
        <v>1.5</v>
      </c>
      <c r="AF115" s="229">
        <v>6.4000000000000003E-3</v>
      </c>
      <c r="AG115" s="228">
        <v>4.8499999999999996</v>
      </c>
      <c r="AH115" s="228">
        <v>3.6</v>
      </c>
      <c r="AI115" s="228">
        <v>1.25</v>
      </c>
      <c r="AJ115" s="229">
        <v>1.29E-2</v>
      </c>
      <c r="AK115" s="228">
        <v>5.75</v>
      </c>
      <c r="AL115" s="228">
        <v>4.95</v>
      </c>
      <c r="AM115" s="228">
        <v>0.8</v>
      </c>
      <c r="AN115" s="229">
        <v>1.5299999999999999E-2</v>
      </c>
      <c r="AO115" s="228">
        <v>375.14</v>
      </c>
      <c r="AP115" s="228">
        <v>374.99</v>
      </c>
      <c r="AQ115" s="228">
        <v>0</v>
      </c>
      <c r="AR115" s="230">
        <v>38036000</v>
      </c>
      <c r="AS115" s="230">
        <v>20736000</v>
      </c>
      <c r="AT115" s="230">
        <v>17300000</v>
      </c>
      <c r="AU115" s="229">
        <v>0.83430000000000004</v>
      </c>
      <c r="AV115" s="230">
        <v>34518000</v>
      </c>
      <c r="AW115" s="230">
        <v>18680000</v>
      </c>
      <c r="AX115" s="230">
        <v>15838000</v>
      </c>
      <c r="AY115" s="229">
        <v>0.84789999999999999</v>
      </c>
      <c r="AZ115" s="230">
        <v>3194000</v>
      </c>
      <c r="BA115" s="230">
        <v>1784000</v>
      </c>
      <c r="BB115" s="230">
        <v>1410000</v>
      </c>
      <c r="BC115" s="229">
        <v>0.79039999999999999</v>
      </c>
      <c r="BD115" s="230">
        <v>324000</v>
      </c>
      <c r="BE115" s="230">
        <v>272000</v>
      </c>
      <c r="BF115" s="230">
        <v>52000</v>
      </c>
      <c r="BG115" s="229">
        <v>0.19120000000000001</v>
      </c>
      <c r="BH115" s="230">
        <v>85508000</v>
      </c>
      <c r="BI115" s="230">
        <v>51900000</v>
      </c>
      <c r="BJ115" s="230">
        <v>33608000</v>
      </c>
      <c r="BK115" s="229">
        <v>0.64759999999999995</v>
      </c>
      <c r="BL115" s="230">
        <v>41124000</v>
      </c>
      <c r="BM115" s="230">
        <v>25330000</v>
      </c>
      <c r="BN115" s="230">
        <v>15794000</v>
      </c>
      <c r="BO115" s="229">
        <v>0.62350000000000005</v>
      </c>
      <c r="BP115" s="230">
        <v>164668000</v>
      </c>
      <c r="BQ115" s="230">
        <v>97966000</v>
      </c>
      <c r="BR115" s="230">
        <v>66702000</v>
      </c>
      <c r="BS115" s="229">
        <v>0.68089999999999995</v>
      </c>
      <c r="BT115" s="230">
        <v>38378935</v>
      </c>
      <c r="BU115" s="230">
        <v>22319347</v>
      </c>
      <c r="BV115" s="230">
        <v>16059588</v>
      </c>
      <c r="BW115" s="229">
        <v>0.71950000000000003</v>
      </c>
      <c r="BX115" s="230">
        <v>222806000</v>
      </c>
      <c r="BY115" s="230">
        <v>221038000</v>
      </c>
      <c r="BZ115" s="230">
        <v>1768000</v>
      </c>
      <c r="CA115" s="229">
        <v>8.0000000000000002E-3</v>
      </c>
      <c r="CB115" s="230">
        <v>178568000</v>
      </c>
      <c r="CC115" s="230">
        <v>178570000</v>
      </c>
      <c r="CD115" s="230">
        <v>-2000</v>
      </c>
      <c r="CE115" s="229">
        <v>0</v>
      </c>
      <c r="CF115" s="230">
        <v>43622000</v>
      </c>
      <c r="CG115" s="230">
        <v>41920000</v>
      </c>
      <c r="CH115" s="230">
        <v>1702000</v>
      </c>
      <c r="CI115" s="229">
        <v>4.0599999999999997E-2</v>
      </c>
      <c r="CJ115" s="230">
        <v>616000</v>
      </c>
      <c r="CK115" s="230">
        <v>548000</v>
      </c>
      <c r="CL115" s="230">
        <v>68000</v>
      </c>
      <c r="CM115" s="229">
        <v>0.1241</v>
      </c>
      <c r="CN115" s="230">
        <v>47718000</v>
      </c>
      <c r="CO115" s="230">
        <v>48546000</v>
      </c>
      <c r="CP115" s="230">
        <v>-828000</v>
      </c>
      <c r="CQ115" s="229">
        <v>-1.7100000000000001E-2</v>
      </c>
      <c r="CR115" s="230">
        <v>29022000</v>
      </c>
      <c r="CS115" s="230">
        <v>31468000</v>
      </c>
      <c r="CT115" s="230">
        <v>-2446000</v>
      </c>
      <c r="CU115" s="229">
        <v>-7.7700000000000005E-2</v>
      </c>
      <c r="CV115" s="230">
        <v>299546000</v>
      </c>
      <c r="CW115" s="230">
        <v>301052000</v>
      </c>
      <c r="CX115" s="230">
        <v>-1506000</v>
      </c>
      <c r="CY115" s="229">
        <v>-5.0000000000000001E-3</v>
      </c>
      <c r="CZ115" s="228">
        <v>24.39</v>
      </c>
      <c r="DA115" s="228">
        <v>26.47</v>
      </c>
      <c r="DB115" s="228">
        <v>-2.08</v>
      </c>
      <c r="DC115" s="228">
        <v>-2.08</v>
      </c>
      <c r="DD115" s="228">
        <v>27.27</v>
      </c>
      <c r="DE115" s="228">
        <v>27.27</v>
      </c>
      <c r="DF115" s="228">
        <v>-2.88</v>
      </c>
      <c r="DG115" s="228">
        <v>0</v>
      </c>
      <c r="DH115" s="228">
        <v>24.2</v>
      </c>
      <c r="DI115" s="228">
        <v>26.32</v>
      </c>
      <c r="DJ115" s="228">
        <v>-2.12</v>
      </c>
      <c r="DK115" s="228">
        <v>-2.12</v>
      </c>
      <c r="DL115" s="228">
        <v>24.78</v>
      </c>
      <c r="DM115" s="228">
        <v>26.76</v>
      </c>
      <c r="DN115" s="228">
        <v>-1.98</v>
      </c>
      <c r="DO115" s="228">
        <v>-1.98</v>
      </c>
      <c r="DP115" s="228">
        <v>0.61</v>
      </c>
      <c r="DQ115" s="228">
        <v>0.65</v>
      </c>
      <c r="DR115" s="228">
        <v>-0.04</v>
      </c>
      <c r="DS115" s="229">
        <v>-6.1499999999999999E-2</v>
      </c>
      <c r="DT115" s="228">
        <v>400</v>
      </c>
      <c r="DU115" s="228">
        <v>360</v>
      </c>
      <c r="DV115" s="228">
        <v>0.48</v>
      </c>
      <c r="DW115" s="228">
        <v>0.49</v>
      </c>
      <c r="DX115" s="228">
        <v>-0.01</v>
      </c>
      <c r="DY115" s="229">
        <v>-2.0400000000000001E-2</v>
      </c>
      <c r="DZ115" s="229">
        <v>0.19850000000000001</v>
      </c>
      <c r="EA115" s="230">
        <v>42468000</v>
      </c>
      <c r="EB115" s="229">
        <v>6.4999999999999997E-3</v>
      </c>
      <c r="EC115" s="229">
        <v>0.19850000000000001</v>
      </c>
      <c r="ED115" s="228">
        <v>-0.15</v>
      </c>
      <c r="EE115" s="229">
        <v>-4.0000000000000002E-4</v>
      </c>
      <c r="EF115" s="230">
        <v>25709228</v>
      </c>
      <c r="EG115" s="230">
        <v>14651348</v>
      </c>
      <c r="EH115" s="229">
        <v>0.75470000000000004</v>
      </c>
      <c r="EI115" s="229">
        <v>0.66990000000000005</v>
      </c>
      <c r="EJ115" s="231">
        <v>334007.42</v>
      </c>
      <c r="EK115" s="231">
        <v>153076.43</v>
      </c>
      <c r="EL115" s="231">
        <v>142692.39000000001</v>
      </c>
      <c r="EM115" s="231">
        <v>20619</v>
      </c>
      <c r="EN115" s="231">
        <v>629776.24</v>
      </c>
      <c r="EO115" s="231">
        <v>373601.13</v>
      </c>
      <c r="EP115" s="231">
        <v>256175.11</v>
      </c>
      <c r="EQ115" s="229">
        <v>0.68569999999999998</v>
      </c>
      <c r="ER115" s="231">
        <v>187987</v>
      </c>
      <c r="ES115" s="231">
        <v>106733</v>
      </c>
      <c r="ET115" s="231">
        <v>845524</v>
      </c>
      <c r="EU115" s="231">
        <v>882793124</v>
      </c>
      <c r="EV115" s="231">
        <v>1140244</v>
      </c>
      <c r="EW115" s="231">
        <v>1130746</v>
      </c>
      <c r="EX115" s="231">
        <v>9498</v>
      </c>
      <c r="EY115" s="229">
        <v>8.3999999999999995E-3</v>
      </c>
      <c r="EZ115" s="229">
        <v>0.33929999999999999</v>
      </c>
      <c r="FA115" s="227" t="s">
        <v>555</v>
      </c>
      <c r="FB115" s="161">
        <f t="shared" si="1"/>
        <v>44238000</v>
      </c>
    </row>
    <row r="116" spans="1:158" ht="17.25" thickBot="1" x14ac:dyDescent="0.3">
      <c r="A116" s="226">
        <v>46148</v>
      </c>
      <c r="B116" s="227" t="s">
        <v>221</v>
      </c>
      <c r="C116" s="227" t="s">
        <v>576</v>
      </c>
      <c r="D116" s="228">
        <v>425</v>
      </c>
      <c r="E116" s="228">
        <v>749.4</v>
      </c>
      <c r="F116" s="228">
        <v>775.15</v>
      </c>
      <c r="G116" s="228">
        <v>-25.75</v>
      </c>
      <c r="H116" s="229">
        <v>-3.32E-2</v>
      </c>
      <c r="I116" s="228">
        <v>748.6</v>
      </c>
      <c r="J116" s="228">
        <v>772.5</v>
      </c>
      <c r="K116" s="228">
        <v>-23.9</v>
      </c>
      <c r="L116" s="229">
        <v>-3.09E-2</v>
      </c>
      <c r="M116" s="228">
        <v>749.4</v>
      </c>
      <c r="N116" s="228">
        <v>775.15</v>
      </c>
      <c r="O116" s="228">
        <v>-25.75</v>
      </c>
      <c r="P116" s="229">
        <v>-3.32E-2</v>
      </c>
      <c r="Q116" s="228">
        <v>753.6</v>
      </c>
      <c r="R116" s="228">
        <v>779.65</v>
      </c>
      <c r="S116" s="228">
        <v>-26.05</v>
      </c>
      <c r="T116" s="229">
        <v>-3.3399999999999999E-2</v>
      </c>
      <c r="U116" s="228">
        <v>756.65</v>
      </c>
      <c r="V116" s="228">
        <v>781.6</v>
      </c>
      <c r="W116" s="228">
        <v>-24.95</v>
      </c>
      <c r="X116" s="229">
        <v>-3.1899999999999998E-2</v>
      </c>
      <c r="Y116" s="228">
        <v>0.8</v>
      </c>
      <c r="Z116" s="228">
        <v>2.65</v>
      </c>
      <c r="AA116" s="228">
        <v>-1.85</v>
      </c>
      <c r="AB116" s="229">
        <v>1.1000000000000001E-3</v>
      </c>
      <c r="AC116" s="228">
        <v>0.8</v>
      </c>
      <c r="AD116" s="228">
        <v>2.65</v>
      </c>
      <c r="AE116" s="228">
        <v>-1.85</v>
      </c>
      <c r="AF116" s="229">
        <v>1.1000000000000001E-3</v>
      </c>
      <c r="AG116" s="228">
        <v>5</v>
      </c>
      <c r="AH116" s="228">
        <v>7.15</v>
      </c>
      <c r="AI116" s="228">
        <v>-2.15</v>
      </c>
      <c r="AJ116" s="229">
        <v>6.7000000000000002E-3</v>
      </c>
      <c r="AK116" s="228">
        <v>8.0500000000000007</v>
      </c>
      <c r="AL116" s="228">
        <v>9.1</v>
      </c>
      <c r="AM116" s="228">
        <v>-1.05</v>
      </c>
      <c r="AN116" s="229">
        <v>1.0800000000000001E-2</v>
      </c>
      <c r="AO116" s="228">
        <v>755.13</v>
      </c>
      <c r="AP116" s="228">
        <v>758.34</v>
      </c>
      <c r="AQ116" s="228">
        <v>0</v>
      </c>
      <c r="AR116" s="230">
        <v>14061550</v>
      </c>
      <c r="AS116" s="230">
        <v>1096500</v>
      </c>
      <c r="AT116" s="230">
        <v>12965050</v>
      </c>
      <c r="AU116" s="229">
        <v>11.824</v>
      </c>
      <c r="AV116" s="230">
        <v>13462725</v>
      </c>
      <c r="AW116" s="230">
        <v>1042525</v>
      </c>
      <c r="AX116" s="230">
        <v>12420200</v>
      </c>
      <c r="AY116" s="229">
        <v>11.913600000000001</v>
      </c>
      <c r="AZ116" s="230">
        <v>546550</v>
      </c>
      <c r="BA116" s="230">
        <v>49300</v>
      </c>
      <c r="BB116" s="230">
        <v>497250</v>
      </c>
      <c r="BC116" s="229">
        <v>10.0862</v>
      </c>
      <c r="BD116" s="230">
        <v>52275</v>
      </c>
      <c r="BE116" s="230">
        <v>4675</v>
      </c>
      <c r="BF116" s="230">
        <v>47600</v>
      </c>
      <c r="BG116" s="229">
        <v>10.181800000000001</v>
      </c>
      <c r="BH116" s="230">
        <v>60233125</v>
      </c>
      <c r="BI116" s="230">
        <v>2929525</v>
      </c>
      <c r="BJ116" s="230">
        <v>57303600</v>
      </c>
      <c r="BK116" s="229">
        <v>19.560700000000001</v>
      </c>
      <c r="BL116" s="230">
        <v>33380350</v>
      </c>
      <c r="BM116" s="230">
        <v>1147925</v>
      </c>
      <c r="BN116" s="230">
        <v>32232425</v>
      </c>
      <c r="BO116" s="229">
        <v>28.078900000000001</v>
      </c>
      <c r="BP116" s="230">
        <v>107675025</v>
      </c>
      <c r="BQ116" s="230">
        <v>5173950</v>
      </c>
      <c r="BR116" s="230">
        <v>102501075</v>
      </c>
      <c r="BS116" s="229">
        <v>19.811</v>
      </c>
      <c r="BT116" s="230">
        <v>12761897</v>
      </c>
      <c r="BU116" s="230">
        <v>1361907</v>
      </c>
      <c r="BV116" s="230">
        <v>11399990</v>
      </c>
      <c r="BW116" s="229">
        <v>8.3705999999999996</v>
      </c>
      <c r="BX116" s="230">
        <v>6685650</v>
      </c>
      <c r="BY116" s="230">
        <v>6239400</v>
      </c>
      <c r="BZ116" s="230">
        <v>446250</v>
      </c>
      <c r="CA116" s="229">
        <v>7.1499999999999994E-2</v>
      </c>
      <c r="CB116" s="230">
        <v>6354175</v>
      </c>
      <c r="CC116" s="230">
        <v>6018425</v>
      </c>
      <c r="CD116" s="230">
        <v>335750</v>
      </c>
      <c r="CE116" s="229">
        <v>5.5800000000000002E-2</v>
      </c>
      <c r="CF116" s="230">
        <v>274125</v>
      </c>
      <c r="CG116" s="230">
        <v>203150</v>
      </c>
      <c r="CH116" s="230">
        <v>70975</v>
      </c>
      <c r="CI116" s="229">
        <v>0.34939999999999999</v>
      </c>
      <c r="CJ116" s="230">
        <v>57350</v>
      </c>
      <c r="CK116" s="230">
        <v>17825</v>
      </c>
      <c r="CL116" s="230">
        <v>39525</v>
      </c>
      <c r="CM116" s="229">
        <v>2.2174</v>
      </c>
      <c r="CN116" s="230">
        <v>5533925</v>
      </c>
      <c r="CO116" s="230">
        <v>2667300</v>
      </c>
      <c r="CP116" s="230">
        <v>2866625</v>
      </c>
      <c r="CQ116" s="229">
        <v>1.0747</v>
      </c>
      <c r="CR116" s="230">
        <v>3013675</v>
      </c>
      <c r="CS116" s="230">
        <v>1565700</v>
      </c>
      <c r="CT116" s="230">
        <v>1447975</v>
      </c>
      <c r="CU116" s="229">
        <v>0.92479999999999996</v>
      </c>
      <c r="CV116" s="230">
        <v>15233250</v>
      </c>
      <c r="CW116" s="230">
        <v>10472400</v>
      </c>
      <c r="CX116" s="230">
        <v>4760850</v>
      </c>
      <c r="CY116" s="229">
        <v>0.4546</v>
      </c>
      <c r="CZ116" s="228">
        <v>40.72</v>
      </c>
      <c r="DA116" s="228">
        <v>44.97</v>
      </c>
      <c r="DB116" s="228">
        <v>-4.25</v>
      </c>
      <c r="DC116" s="228">
        <v>-4.25</v>
      </c>
      <c r="DD116" s="228">
        <v>44.75</v>
      </c>
      <c r="DE116" s="228">
        <v>44.63</v>
      </c>
      <c r="DF116" s="228">
        <v>-4.03</v>
      </c>
      <c r="DG116" s="228">
        <v>0.12</v>
      </c>
      <c r="DH116" s="228">
        <v>40.17</v>
      </c>
      <c r="DI116" s="228">
        <v>44.24</v>
      </c>
      <c r="DJ116" s="228">
        <v>-4.07</v>
      </c>
      <c r="DK116" s="228">
        <v>-4.07</v>
      </c>
      <c r="DL116" s="228">
        <v>41.71</v>
      </c>
      <c r="DM116" s="228">
        <v>46.85</v>
      </c>
      <c r="DN116" s="228">
        <v>-5.14</v>
      </c>
      <c r="DO116" s="228">
        <v>-5.14</v>
      </c>
      <c r="DP116" s="228">
        <v>0.54</v>
      </c>
      <c r="DQ116" s="228">
        <v>0.59</v>
      </c>
      <c r="DR116" s="228">
        <v>-0.05</v>
      </c>
      <c r="DS116" s="229">
        <v>-8.4699999999999998E-2</v>
      </c>
      <c r="DT116" s="228">
        <v>800</v>
      </c>
      <c r="DU116" s="228">
        <v>750</v>
      </c>
      <c r="DV116" s="228">
        <v>0.55000000000000004</v>
      </c>
      <c r="DW116" s="228">
        <v>0.39</v>
      </c>
      <c r="DX116" s="228">
        <v>0.16</v>
      </c>
      <c r="DY116" s="229">
        <v>0.4103</v>
      </c>
      <c r="DZ116" s="229">
        <v>4.9599999999999998E-2</v>
      </c>
      <c r="EA116" s="230">
        <v>220975</v>
      </c>
      <c r="EB116" s="229">
        <v>5.5999999999999999E-3</v>
      </c>
      <c r="EC116" s="229">
        <v>4.9599999999999998E-2</v>
      </c>
      <c r="ED116" s="228">
        <v>3.21</v>
      </c>
      <c r="EE116" s="229">
        <v>4.3E-3</v>
      </c>
      <c r="EF116" s="230">
        <v>2180360</v>
      </c>
      <c r="EG116" s="230">
        <v>468593</v>
      </c>
      <c r="EH116" s="229">
        <v>3.653</v>
      </c>
      <c r="EI116" s="229">
        <v>0.17080000000000001</v>
      </c>
      <c r="EJ116" s="231">
        <v>486948.89</v>
      </c>
      <c r="EK116" s="231">
        <v>251655.13</v>
      </c>
      <c r="EL116" s="231">
        <v>106533.06</v>
      </c>
      <c r="EM116" s="231">
        <v>3760</v>
      </c>
      <c r="EN116" s="231">
        <v>845137.08</v>
      </c>
      <c r="EO116" s="231">
        <v>41460.160000000003</v>
      </c>
      <c r="EP116" s="231">
        <v>803676.92</v>
      </c>
      <c r="EQ116" s="229">
        <v>19.3843</v>
      </c>
      <c r="ER116" s="231">
        <v>43945</v>
      </c>
      <c r="ES116" s="231">
        <v>21832</v>
      </c>
      <c r="ET116" s="231">
        <v>50118</v>
      </c>
      <c r="EU116" s="231">
        <v>24611073</v>
      </c>
      <c r="EV116" s="231">
        <v>115895</v>
      </c>
      <c r="EW116" s="231">
        <v>80959</v>
      </c>
      <c r="EX116" s="231">
        <v>34936</v>
      </c>
      <c r="EY116" s="229">
        <v>0.43149999999999999</v>
      </c>
      <c r="EZ116" s="229">
        <v>0.61899999999999999</v>
      </c>
      <c r="FA116" s="227" t="s">
        <v>566</v>
      </c>
      <c r="FB116" s="161">
        <f t="shared" si="1"/>
        <v>331475</v>
      </c>
    </row>
    <row r="117" spans="1:158" ht="17.25" thickBot="1" x14ac:dyDescent="0.3">
      <c r="A117" s="226">
        <v>46148</v>
      </c>
      <c r="B117" s="227" t="s">
        <v>170</v>
      </c>
      <c r="C117" s="227" t="s">
        <v>535</v>
      </c>
      <c r="D117" s="228">
        <v>850</v>
      </c>
      <c r="E117" s="231">
        <v>1184.2</v>
      </c>
      <c r="F117" s="231">
        <v>1169.4000000000001</v>
      </c>
      <c r="G117" s="228">
        <v>14.8</v>
      </c>
      <c r="H117" s="229">
        <v>1.2699999999999999E-2</v>
      </c>
      <c r="I117" s="231">
        <v>1177.5999999999999</v>
      </c>
      <c r="J117" s="231">
        <v>1164.0999999999999</v>
      </c>
      <c r="K117" s="228">
        <v>13.5</v>
      </c>
      <c r="L117" s="229">
        <v>1.1599999999999999E-2</v>
      </c>
      <c r="M117" s="231">
        <v>1184.2</v>
      </c>
      <c r="N117" s="231">
        <v>1169.4000000000001</v>
      </c>
      <c r="O117" s="228">
        <v>14.8</v>
      </c>
      <c r="P117" s="229">
        <v>1.2699999999999999E-2</v>
      </c>
      <c r="Q117" s="231">
        <v>1191.7</v>
      </c>
      <c r="R117" s="231">
        <v>1176.4000000000001</v>
      </c>
      <c r="S117" s="228">
        <v>15.3</v>
      </c>
      <c r="T117" s="229">
        <v>1.2999999999999999E-2</v>
      </c>
      <c r="U117" s="231">
        <v>1201.5</v>
      </c>
      <c r="V117" s="231">
        <v>1179.8</v>
      </c>
      <c r="W117" s="228">
        <v>21.7</v>
      </c>
      <c r="X117" s="229">
        <v>1.84E-2</v>
      </c>
      <c r="Y117" s="228">
        <v>6.6</v>
      </c>
      <c r="Z117" s="228">
        <v>5.3</v>
      </c>
      <c r="AA117" s="228">
        <v>1.3</v>
      </c>
      <c r="AB117" s="229">
        <v>5.5999999999999999E-3</v>
      </c>
      <c r="AC117" s="228">
        <v>6.6</v>
      </c>
      <c r="AD117" s="228">
        <v>5.3</v>
      </c>
      <c r="AE117" s="228">
        <v>1.3</v>
      </c>
      <c r="AF117" s="229">
        <v>5.5999999999999999E-3</v>
      </c>
      <c r="AG117" s="228">
        <v>14.1</v>
      </c>
      <c r="AH117" s="228">
        <v>12.3</v>
      </c>
      <c r="AI117" s="228">
        <v>1.8</v>
      </c>
      <c r="AJ117" s="229">
        <v>1.2E-2</v>
      </c>
      <c r="AK117" s="228">
        <v>23.9</v>
      </c>
      <c r="AL117" s="228">
        <v>15.7</v>
      </c>
      <c r="AM117" s="228">
        <v>8.1999999999999993</v>
      </c>
      <c r="AN117" s="229">
        <v>2.0299999999999999E-2</v>
      </c>
      <c r="AO117" s="231">
        <v>1187.6400000000001</v>
      </c>
      <c r="AP117" s="231">
        <v>1195.79</v>
      </c>
      <c r="AQ117" s="228">
        <v>0</v>
      </c>
      <c r="AR117" s="230">
        <v>5536900</v>
      </c>
      <c r="AS117" s="230">
        <v>4680950</v>
      </c>
      <c r="AT117" s="230">
        <v>855950</v>
      </c>
      <c r="AU117" s="229">
        <v>0.18290000000000001</v>
      </c>
      <c r="AV117" s="230">
        <v>5339700</v>
      </c>
      <c r="AW117" s="230">
        <v>4560250</v>
      </c>
      <c r="AX117" s="230">
        <v>779450</v>
      </c>
      <c r="AY117" s="229">
        <v>0.1709</v>
      </c>
      <c r="AZ117" s="230">
        <v>173400</v>
      </c>
      <c r="BA117" s="230">
        <v>103700</v>
      </c>
      <c r="BB117" s="230">
        <v>69700</v>
      </c>
      <c r="BC117" s="229">
        <v>0.67210000000000003</v>
      </c>
      <c r="BD117" s="230">
        <v>23800</v>
      </c>
      <c r="BE117" s="230">
        <v>17000</v>
      </c>
      <c r="BF117" s="230">
        <v>6800</v>
      </c>
      <c r="BG117" s="229">
        <v>0.4</v>
      </c>
      <c r="BH117" s="230">
        <v>15985100</v>
      </c>
      <c r="BI117" s="230">
        <v>9078850</v>
      </c>
      <c r="BJ117" s="230">
        <v>6906250</v>
      </c>
      <c r="BK117" s="229">
        <v>0.76070000000000004</v>
      </c>
      <c r="BL117" s="230">
        <v>8440500</v>
      </c>
      <c r="BM117" s="230">
        <v>5356700</v>
      </c>
      <c r="BN117" s="230">
        <v>3083800</v>
      </c>
      <c r="BO117" s="229">
        <v>0.57569999999999999</v>
      </c>
      <c r="BP117" s="230">
        <v>29962500</v>
      </c>
      <c r="BQ117" s="230">
        <v>19116500</v>
      </c>
      <c r="BR117" s="230">
        <v>10846000</v>
      </c>
      <c r="BS117" s="229">
        <v>0.56740000000000002</v>
      </c>
      <c r="BT117" s="230">
        <v>4336920</v>
      </c>
      <c r="BU117" s="230">
        <v>5927638</v>
      </c>
      <c r="BV117" s="230">
        <v>-1590718</v>
      </c>
      <c r="BW117" s="229">
        <v>-0.26840000000000003</v>
      </c>
      <c r="BX117" s="230">
        <v>19945250</v>
      </c>
      <c r="BY117" s="230">
        <v>19290750</v>
      </c>
      <c r="BZ117" s="230">
        <v>654500</v>
      </c>
      <c r="CA117" s="229">
        <v>3.39E-2</v>
      </c>
      <c r="CB117" s="230">
        <v>19695350</v>
      </c>
      <c r="CC117" s="230">
        <v>19055300</v>
      </c>
      <c r="CD117" s="230">
        <v>640050</v>
      </c>
      <c r="CE117" s="229">
        <v>3.3599999999999998E-2</v>
      </c>
      <c r="CF117" s="230">
        <v>222700</v>
      </c>
      <c r="CG117" s="230">
        <v>214200</v>
      </c>
      <c r="CH117" s="230">
        <v>8500</v>
      </c>
      <c r="CI117" s="229">
        <v>3.9699999999999999E-2</v>
      </c>
      <c r="CJ117" s="230">
        <v>27200</v>
      </c>
      <c r="CK117" s="230">
        <v>21250</v>
      </c>
      <c r="CL117" s="230">
        <v>5950</v>
      </c>
      <c r="CM117" s="229">
        <v>0.28000000000000003</v>
      </c>
      <c r="CN117" s="230">
        <v>6482950</v>
      </c>
      <c r="CO117" s="230">
        <v>6339300</v>
      </c>
      <c r="CP117" s="230">
        <v>143650</v>
      </c>
      <c r="CQ117" s="229">
        <v>2.2700000000000001E-2</v>
      </c>
      <c r="CR117" s="230">
        <v>3972050</v>
      </c>
      <c r="CS117" s="230">
        <v>3850500</v>
      </c>
      <c r="CT117" s="230">
        <v>121550</v>
      </c>
      <c r="CU117" s="229">
        <v>3.1600000000000003E-2</v>
      </c>
      <c r="CV117" s="230">
        <v>30400250</v>
      </c>
      <c r="CW117" s="230">
        <v>29480550</v>
      </c>
      <c r="CX117" s="230">
        <v>919700</v>
      </c>
      <c r="CY117" s="229">
        <v>3.1199999999999999E-2</v>
      </c>
      <c r="CZ117" s="228">
        <v>29.91</v>
      </c>
      <c r="DA117" s="228">
        <v>31.27</v>
      </c>
      <c r="DB117" s="228">
        <v>-1.36</v>
      </c>
      <c r="DC117" s="228">
        <v>-1.36</v>
      </c>
      <c r="DD117" s="228">
        <v>39.72</v>
      </c>
      <c r="DE117" s="228">
        <v>39.79</v>
      </c>
      <c r="DF117" s="228">
        <v>-9.81</v>
      </c>
      <c r="DG117" s="228">
        <v>-7.0000000000000007E-2</v>
      </c>
      <c r="DH117" s="228">
        <v>29.31</v>
      </c>
      <c r="DI117" s="228">
        <v>30.95</v>
      </c>
      <c r="DJ117" s="228">
        <v>-1.64</v>
      </c>
      <c r="DK117" s="228">
        <v>-1.64</v>
      </c>
      <c r="DL117" s="228">
        <v>31.05</v>
      </c>
      <c r="DM117" s="228">
        <v>31.79</v>
      </c>
      <c r="DN117" s="228">
        <v>-0.74</v>
      </c>
      <c r="DO117" s="228">
        <v>-0.74</v>
      </c>
      <c r="DP117" s="228">
        <v>0.61</v>
      </c>
      <c r="DQ117" s="228">
        <v>0.61</v>
      </c>
      <c r="DR117" s="228">
        <v>0</v>
      </c>
      <c r="DS117" s="229">
        <v>0</v>
      </c>
      <c r="DT117" s="231">
        <v>1200</v>
      </c>
      <c r="DU117" s="231">
        <v>1100</v>
      </c>
      <c r="DV117" s="228">
        <v>0.53</v>
      </c>
      <c r="DW117" s="228">
        <v>0.59</v>
      </c>
      <c r="DX117" s="228">
        <v>-0.06</v>
      </c>
      <c r="DY117" s="229">
        <v>-0.1017</v>
      </c>
      <c r="DZ117" s="229">
        <v>1.2500000000000001E-2</v>
      </c>
      <c r="EA117" s="230">
        <v>235450</v>
      </c>
      <c r="EB117" s="229">
        <v>6.3E-3</v>
      </c>
      <c r="EC117" s="229">
        <v>1.2500000000000001E-2</v>
      </c>
      <c r="ED117" s="228">
        <v>8.15</v>
      </c>
      <c r="EE117" s="229">
        <v>6.8999999999999999E-3</v>
      </c>
      <c r="EF117" s="230">
        <v>2301325</v>
      </c>
      <c r="EG117" s="230">
        <v>3804004</v>
      </c>
      <c r="EH117" s="229">
        <v>-0.39500000000000002</v>
      </c>
      <c r="EI117" s="229">
        <v>0.53059999999999996</v>
      </c>
      <c r="EJ117" s="231">
        <v>198134.9</v>
      </c>
      <c r="EK117" s="231">
        <v>98021.15</v>
      </c>
      <c r="EL117" s="231">
        <v>65777.64</v>
      </c>
      <c r="EM117" s="231">
        <v>6347</v>
      </c>
      <c r="EN117" s="231">
        <v>361933.69</v>
      </c>
      <c r="EO117" s="231">
        <v>227593.59</v>
      </c>
      <c r="EP117" s="231">
        <v>134340.1</v>
      </c>
      <c r="EQ117" s="229">
        <v>0.59030000000000005</v>
      </c>
      <c r="ER117" s="231">
        <v>76998</v>
      </c>
      <c r="ES117" s="231">
        <v>44077</v>
      </c>
      <c r="ET117" s="231">
        <v>236213</v>
      </c>
      <c r="EU117" s="231">
        <v>58713729</v>
      </c>
      <c r="EV117" s="231">
        <v>357288</v>
      </c>
      <c r="EW117" s="231">
        <v>342325</v>
      </c>
      <c r="EX117" s="231">
        <v>14963</v>
      </c>
      <c r="EY117" s="229">
        <v>4.3700000000000003E-2</v>
      </c>
      <c r="EZ117" s="229">
        <v>0.51780000000000004</v>
      </c>
      <c r="FA117" s="227" t="s">
        <v>555</v>
      </c>
      <c r="FB117" s="161">
        <f t="shared" si="1"/>
        <v>249900</v>
      </c>
    </row>
    <row r="118" spans="1:158" ht="17.25" thickBot="1" x14ac:dyDescent="0.3">
      <c r="A118" s="226">
        <v>46148</v>
      </c>
      <c r="B118" s="227" t="s">
        <v>175</v>
      </c>
      <c r="C118" s="227" t="s">
        <v>248</v>
      </c>
      <c r="D118" s="228">
        <v>1000</v>
      </c>
      <c r="E118" s="228">
        <v>585.4</v>
      </c>
      <c r="F118" s="228">
        <v>560.95000000000005</v>
      </c>
      <c r="G118" s="228">
        <v>24.45</v>
      </c>
      <c r="H118" s="229">
        <v>4.36E-2</v>
      </c>
      <c r="I118" s="228">
        <v>582.15</v>
      </c>
      <c r="J118" s="228">
        <v>558.15</v>
      </c>
      <c r="K118" s="228">
        <v>24</v>
      </c>
      <c r="L118" s="229">
        <v>4.2999999999999997E-2</v>
      </c>
      <c r="M118" s="228">
        <v>585.4</v>
      </c>
      <c r="N118" s="228">
        <v>560.95000000000005</v>
      </c>
      <c r="O118" s="228">
        <v>24.45</v>
      </c>
      <c r="P118" s="229">
        <v>4.36E-2</v>
      </c>
      <c r="Q118" s="228">
        <v>589.54999999999995</v>
      </c>
      <c r="R118" s="228">
        <v>564.25</v>
      </c>
      <c r="S118" s="228">
        <v>25.3</v>
      </c>
      <c r="T118" s="229">
        <v>4.48E-2</v>
      </c>
      <c r="U118" s="228">
        <v>592.29999999999995</v>
      </c>
      <c r="V118" s="228">
        <v>565</v>
      </c>
      <c r="W118" s="228">
        <v>27.3</v>
      </c>
      <c r="X118" s="229">
        <v>4.8300000000000003E-2</v>
      </c>
      <c r="Y118" s="228">
        <v>3.25</v>
      </c>
      <c r="Z118" s="228">
        <v>2.8</v>
      </c>
      <c r="AA118" s="228">
        <v>0.45</v>
      </c>
      <c r="AB118" s="229">
        <v>5.5999999999999999E-3</v>
      </c>
      <c r="AC118" s="228">
        <v>3.25</v>
      </c>
      <c r="AD118" s="228">
        <v>2.8</v>
      </c>
      <c r="AE118" s="228">
        <v>0.45</v>
      </c>
      <c r="AF118" s="229">
        <v>5.5999999999999999E-3</v>
      </c>
      <c r="AG118" s="228">
        <v>7.4</v>
      </c>
      <c r="AH118" s="228">
        <v>6.1</v>
      </c>
      <c r="AI118" s="228">
        <v>1.3</v>
      </c>
      <c r="AJ118" s="229">
        <v>1.2699999999999999E-2</v>
      </c>
      <c r="AK118" s="228">
        <v>10.15</v>
      </c>
      <c r="AL118" s="228">
        <v>6.85</v>
      </c>
      <c r="AM118" s="228">
        <v>3.3</v>
      </c>
      <c r="AN118" s="229">
        <v>1.7399999999999999E-2</v>
      </c>
      <c r="AO118" s="228">
        <v>581.91999999999996</v>
      </c>
      <c r="AP118" s="228">
        <v>583.75</v>
      </c>
      <c r="AQ118" s="228">
        <v>0</v>
      </c>
      <c r="AR118" s="230">
        <v>7254000</v>
      </c>
      <c r="AS118" s="230">
        <v>1458000</v>
      </c>
      <c r="AT118" s="230">
        <v>5796000</v>
      </c>
      <c r="AU118" s="229">
        <v>3.9752999999999998</v>
      </c>
      <c r="AV118" s="230">
        <v>7034000</v>
      </c>
      <c r="AW118" s="230">
        <v>1411000</v>
      </c>
      <c r="AX118" s="230">
        <v>5623000</v>
      </c>
      <c r="AY118" s="229">
        <v>3.9851000000000001</v>
      </c>
      <c r="AZ118" s="230">
        <v>168000</v>
      </c>
      <c r="BA118" s="230">
        <v>41000</v>
      </c>
      <c r="BB118" s="230">
        <v>127000</v>
      </c>
      <c r="BC118" s="229">
        <v>3.0975999999999999</v>
      </c>
      <c r="BD118" s="230">
        <v>52000</v>
      </c>
      <c r="BE118" s="230">
        <v>6000</v>
      </c>
      <c r="BF118" s="230">
        <v>46000</v>
      </c>
      <c r="BG118" s="229">
        <v>7.6666999999999996</v>
      </c>
      <c r="BH118" s="230">
        <v>29432000</v>
      </c>
      <c r="BI118" s="230">
        <v>3027000</v>
      </c>
      <c r="BJ118" s="230">
        <v>26405000</v>
      </c>
      <c r="BK118" s="229">
        <v>8.7232000000000003</v>
      </c>
      <c r="BL118" s="230">
        <v>9158000</v>
      </c>
      <c r="BM118" s="230">
        <v>1157000</v>
      </c>
      <c r="BN118" s="230">
        <v>8001000</v>
      </c>
      <c r="BO118" s="229">
        <v>6.9153000000000002</v>
      </c>
      <c r="BP118" s="230">
        <v>45844000</v>
      </c>
      <c r="BQ118" s="230">
        <v>5642000</v>
      </c>
      <c r="BR118" s="230">
        <v>40202000</v>
      </c>
      <c r="BS118" s="229">
        <v>7.1254999999999997</v>
      </c>
      <c r="BT118" s="230">
        <v>4251885</v>
      </c>
      <c r="BU118" s="230">
        <v>816025</v>
      </c>
      <c r="BV118" s="230">
        <v>3435860</v>
      </c>
      <c r="BW118" s="229">
        <v>4.2104999999999997</v>
      </c>
      <c r="BX118" s="230">
        <v>31222000</v>
      </c>
      <c r="BY118" s="230">
        <v>30226000</v>
      </c>
      <c r="BZ118" s="230">
        <v>996000</v>
      </c>
      <c r="CA118" s="229">
        <v>3.3000000000000002E-2</v>
      </c>
      <c r="CB118" s="230">
        <v>30766000</v>
      </c>
      <c r="CC118" s="230">
        <v>29802000</v>
      </c>
      <c r="CD118" s="230">
        <v>964000</v>
      </c>
      <c r="CE118" s="229">
        <v>3.2300000000000002E-2</v>
      </c>
      <c r="CF118" s="230">
        <v>434000</v>
      </c>
      <c r="CG118" s="230">
        <v>407000</v>
      </c>
      <c r="CH118" s="230">
        <v>27000</v>
      </c>
      <c r="CI118" s="229">
        <v>6.6299999999999998E-2</v>
      </c>
      <c r="CJ118" s="230">
        <v>22000</v>
      </c>
      <c r="CK118" s="230">
        <v>17000</v>
      </c>
      <c r="CL118" s="230">
        <v>5000</v>
      </c>
      <c r="CM118" s="229">
        <v>0.29409999999999997</v>
      </c>
      <c r="CN118" s="230">
        <v>6181000</v>
      </c>
      <c r="CO118" s="230">
        <v>5494000</v>
      </c>
      <c r="CP118" s="230">
        <v>687000</v>
      </c>
      <c r="CQ118" s="229">
        <v>0.125</v>
      </c>
      <c r="CR118" s="230">
        <v>4358000</v>
      </c>
      <c r="CS118" s="230">
        <v>3526000</v>
      </c>
      <c r="CT118" s="230">
        <v>832000</v>
      </c>
      <c r="CU118" s="229">
        <v>0.23599999999999999</v>
      </c>
      <c r="CV118" s="230">
        <v>41761000</v>
      </c>
      <c r="CW118" s="230">
        <v>39246000</v>
      </c>
      <c r="CX118" s="230">
        <v>2515000</v>
      </c>
      <c r="CY118" s="229">
        <v>6.4100000000000004E-2</v>
      </c>
      <c r="CZ118" s="228">
        <v>29.91</v>
      </c>
      <c r="DA118" s="228">
        <v>31.22</v>
      </c>
      <c r="DB118" s="228">
        <v>-1.31</v>
      </c>
      <c r="DC118" s="228">
        <v>-1.31</v>
      </c>
      <c r="DD118" s="228">
        <v>33.799999999999997</v>
      </c>
      <c r="DE118" s="228">
        <v>33.39</v>
      </c>
      <c r="DF118" s="228">
        <v>-3.89</v>
      </c>
      <c r="DG118" s="228">
        <v>0.41</v>
      </c>
      <c r="DH118" s="228">
        <v>29.52</v>
      </c>
      <c r="DI118" s="228">
        <v>31.2</v>
      </c>
      <c r="DJ118" s="228">
        <v>-1.68</v>
      </c>
      <c r="DK118" s="228">
        <v>-1.68</v>
      </c>
      <c r="DL118" s="228">
        <v>31.16</v>
      </c>
      <c r="DM118" s="228">
        <v>31.29</v>
      </c>
      <c r="DN118" s="228">
        <v>-0.13</v>
      </c>
      <c r="DO118" s="228">
        <v>-0.13</v>
      </c>
      <c r="DP118" s="228">
        <v>0.71</v>
      </c>
      <c r="DQ118" s="228">
        <v>0.64</v>
      </c>
      <c r="DR118" s="228">
        <v>7.0000000000000007E-2</v>
      </c>
      <c r="DS118" s="229">
        <v>0.1094</v>
      </c>
      <c r="DT118" s="228">
        <v>600</v>
      </c>
      <c r="DU118" s="228">
        <v>520</v>
      </c>
      <c r="DV118" s="228">
        <v>0.31</v>
      </c>
      <c r="DW118" s="228">
        <v>0.38</v>
      </c>
      <c r="DX118" s="228">
        <v>-7.0000000000000007E-2</v>
      </c>
      <c r="DY118" s="229">
        <v>-0.1842</v>
      </c>
      <c r="DZ118" s="229">
        <v>1.46E-2</v>
      </c>
      <c r="EA118" s="230">
        <v>424000</v>
      </c>
      <c r="EB118" s="229">
        <v>7.1000000000000004E-3</v>
      </c>
      <c r="EC118" s="229">
        <v>1.46E-2</v>
      </c>
      <c r="ED118" s="228">
        <v>1.83</v>
      </c>
      <c r="EE118" s="229">
        <v>3.0999999999999999E-3</v>
      </c>
      <c r="EF118" s="230">
        <v>1465039</v>
      </c>
      <c r="EG118" s="230">
        <v>404027</v>
      </c>
      <c r="EH118" s="229">
        <v>2.6261000000000001</v>
      </c>
      <c r="EI118" s="229">
        <v>0.34460000000000002</v>
      </c>
      <c r="EJ118" s="231">
        <v>178190.46</v>
      </c>
      <c r="EK118" s="231">
        <v>51808.23</v>
      </c>
      <c r="EL118" s="231">
        <v>42218.7</v>
      </c>
      <c r="EM118" s="231">
        <v>2361</v>
      </c>
      <c r="EN118" s="231">
        <v>272217.39</v>
      </c>
      <c r="EO118" s="231">
        <v>32524.15</v>
      </c>
      <c r="EP118" s="231">
        <v>239693.24</v>
      </c>
      <c r="EQ118" s="229">
        <v>7.3696999999999999</v>
      </c>
      <c r="ER118" s="231">
        <v>36198</v>
      </c>
      <c r="ES118" s="231">
        <v>23894</v>
      </c>
      <c r="ET118" s="231">
        <v>182793</v>
      </c>
      <c r="EU118" s="231">
        <v>45183075</v>
      </c>
      <c r="EV118" s="231">
        <v>242885</v>
      </c>
      <c r="EW118" s="231">
        <v>220494</v>
      </c>
      <c r="EX118" s="231">
        <v>22391</v>
      </c>
      <c r="EY118" s="229">
        <v>0.10150000000000001</v>
      </c>
      <c r="EZ118" s="229">
        <v>0.92430000000000001</v>
      </c>
      <c r="FA118" s="227" t="s">
        <v>555</v>
      </c>
      <c r="FB118" s="161">
        <f t="shared" si="1"/>
        <v>456000</v>
      </c>
    </row>
    <row r="119" spans="1:158" ht="17.25" thickBot="1" x14ac:dyDescent="0.3">
      <c r="A119" s="226">
        <v>46148</v>
      </c>
      <c r="B119" s="227" t="s">
        <v>175</v>
      </c>
      <c r="C119" s="227" t="s">
        <v>606</v>
      </c>
      <c r="D119" s="228">
        <v>700</v>
      </c>
      <c r="E119" s="228">
        <v>811.65</v>
      </c>
      <c r="F119" s="228">
        <v>796.2</v>
      </c>
      <c r="G119" s="228">
        <v>15.45</v>
      </c>
      <c r="H119" s="229">
        <v>1.9400000000000001E-2</v>
      </c>
      <c r="I119" s="228">
        <v>807.25</v>
      </c>
      <c r="J119" s="228">
        <v>799.25</v>
      </c>
      <c r="K119" s="228">
        <v>8</v>
      </c>
      <c r="L119" s="229">
        <v>0.01</v>
      </c>
      <c r="M119" s="228">
        <v>811.65</v>
      </c>
      <c r="N119" s="228">
        <v>796.2</v>
      </c>
      <c r="O119" s="228">
        <v>15.45</v>
      </c>
      <c r="P119" s="229">
        <v>1.9400000000000001E-2</v>
      </c>
      <c r="Q119" s="228">
        <v>807.3</v>
      </c>
      <c r="R119" s="228">
        <v>791.15</v>
      </c>
      <c r="S119" s="228">
        <v>16.149999999999999</v>
      </c>
      <c r="T119" s="229">
        <v>2.0400000000000001E-2</v>
      </c>
      <c r="U119" s="228">
        <v>802.6</v>
      </c>
      <c r="V119" s="228">
        <v>786.95</v>
      </c>
      <c r="W119" s="228">
        <v>15.65</v>
      </c>
      <c r="X119" s="229">
        <v>1.9900000000000001E-2</v>
      </c>
      <c r="Y119" s="228">
        <v>4.4000000000000004</v>
      </c>
      <c r="Z119" s="228">
        <v>-3.05</v>
      </c>
      <c r="AA119" s="228">
        <v>7.45</v>
      </c>
      <c r="AB119" s="229">
        <v>5.4999999999999997E-3</v>
      </c>
      <c r="AC119" s="228">
        <v>4.4000000000000004</v>
      </c>
      <c r="AD119" s="228">
        <v>-3.05</v>
      </c>
      <c r="AE119" s="228">
        <v>7.45</v>
      </c>
      <c r="AF119" s="229">
        <v>5.4999999999999997E-3</v>
      </c>
      <c r="AG119" s="228">
        <v>0.05</v>
      </c>
      <c r="AH119" s="228">
        <v>-8.1</v>
      </c>
      <c r="AI119" s="228">
        <v>8.15</v>
      </c>
      <c r="AJ119" s="229">
        <v>1E-4</v>
      </c>
      <c r="AK119" s="228">
        <v>-4.6500000000000004</v>
      </c>
      <c r="AL119" s="228">
        <v>-12.3</v>
      </c>
      <c r="AM119" s="228">
        <v>7.65</v>
      </c>
      <c r="AN119" s="229">
        <v>-5.7999999999999996E-3</v>
      </c>
      <c r="AO119" s="228">
        <v>806.93</v>
      </c>
      <c r="AP119" s="228">
        <v>802.34</v>
      </c>
      <c r="AQ119" s="228">
        <v>0</v>
      </c>
      <c r="AR119" s="230">
        <v>1770300</v>
      </c>
      <c r="AS119" s="230">
        <v>599900</v>
      </c>
      <c r="AT119" s="230">
        <v>1170400</v>
      </c>
      <c r="AU119" s="229">
        <v>1.9510000000000001</v>
      </c>
      <c r="AV119" s="230">
        <v>1495200</v>
      </c>
      <c r="AW119" s="230">
        <v>476700</v>
      </c>
      <c r="AX119" s="230">
        <v>1018500</v>
      </c>
      <c r="AY119" s="229">
        <v>2.1366000000000001</v>
      </c>
      <c r="AZ119" s="230">
        <v>233100</v>
      </c>
      <c r="BA119" s="230">
        <v>95900</v>
      </c>
      <c r="BB119" s="230">
        <v>137200</v>
      </c>
      <c r="BC119" s="229">
        <v>1.4307000000000001</v>
      </c>
      <c r="BD119" s="230">
        <v>42000</v>
      </c>
      <c r="BE119" s="230">
        <v>27300</v>
      </c>
      <c r="BF119" s="230">
        <v>14700</v>
      </c>
      <c r="BG119" s="229">
        <v>0.53849999999999998</v>
      </c>
      <c r="BH119" s="230">
        <v>3531500</v>
      </c>
      <c r="BI119" s="230">
        <v>1960000</v>
      </c>
      <c r="BJ119" s="230">
        <v>1571500</v>
      </c>
      <c r="BK119" s="229">
        <v>0.80179999999999996</v>
      </c>
      <c r="BL119" s="230">
        <v>1647100</v>
      </c>
      <c r="BM119" s="230">
        <v>461300</v>
      </c>
      <c r="BN119" s="230">
        <v>1185800</v>
      </c>
      <c r="BO119" s="229">
        <v>2.5706000000000002</v>
      </c>
      <c r="BP119" s="230">
        <v>6948900</v>
      </c>
      <c r="BQ119" s="230">
        <v>3021200</v>
      </c>
      <c r="BR119" s="230">
        <v>3927700</v>
      </c>
      <c r="BS119" s="229">
        <v>1.3</v>
      </c>
      <c r="BT119" s="230">
        <v>1524334</v>
      </c>
      <c r="BU119" s="230">
        <v>644887</v>
      </c>
      <c r="BV119" s="230">
        <v>879447</v>
      </c>
      <c r="BW119" s="229">
        <v>1.3636999999999999</v>
      </c>
      <c r="BX119" s="230">
        <v>9905700</v>
      </c>
      <c r="BY119" s="230">
        <v>10000900</v>
      </c>
      <c r="BZ119" s="230">
        <v>-95200</v>
      </c>
      <c r="CA119" s="229">
        <v>-9.4999999999999998E-3</v>
      </c>
      <c r="CB119" s="230">
        <v>8759100</v>
      </c>
      <c r="CC119" s="230">
        <v>8894900</v>
      </c>
      <c r="CD119" s="230">
        <v>-135800</v>
      </c>
      <c r="CE119" s="229">
        <v>-1.5299999999999999E-2</v>
      </c>
      <c r="CF119" s="230">
        <v>960400</v>
      </c>
      <c r="CG119" s="230">
        <v>921900</v>
      </c>
      <c r="CH119" s="230">
        <v>38500</v>
      </c>
      <c r="CI119" s="229">
        <v>4.1799999999999997E-2</v>
      </c>
      <c r="CJ119" s="230">
        <v>186200</v>
      </c>
      <c r="CK119" s="230">
        <v>184100</v>
      </c>
      <c r="CL119" s="230">
        <v>2100</v>
      </c>
      <c r="CM119" s="229">
        <v>1.14E-2</v>
      </c>
      <c r="CN119" s="230">
        <v>6003200</v>
      </c>
      <c r="CO119" s="230">
        <v>6073900</v>
      </c>
      <c r="CP119" s="230">
        <v>-70700</v>
      </c>
      <c r="CQ119" s="229">
        <v>-1.1599999999999999E-2</v>
      </c>
      <c r="CR119" s="230">
        <v>3491600</v>
      </c>
      <c r="CS119" s="230">
        <v>3627400</v>
      </c>
      <c r="CT119" s="230">
        <v>-135800</v>
      </c>
      <c r="CU119" s="229">
        <v>-3.7400000000000003E-2</v>
      </c>
      <c r="CV119" s="230">
        <v>19400500</v>
      </c>
      <c r="CW119" s="230">
        <v>19702200</v>
      </c>
      <c r="CX119" s="230">
        <v>-301700</v>
      </c>
      <c r="CY119" s="229">
        <v>-1.5299999999999999E-2</v>
      </c>
      <c r="CZ119" s="228">
        <v>27.56</v>
      </c>
      <c r="DA119" s="228">
        <v>28.19</v>
      </c>
      <c r="DB119" s="228">
        <v>-0.63</v>
      </c>
      <c r="DC119" s="228">
        <v>-0.63</v>
      </c>
      <c r="DD119" s="228">
        <v>32.76</v>
      </c>
      <c r="DE119" s="228">
        <v>32.74</v>
      </c>
      <c r="DF119" s="228">
        <v>-5.2</v>
      </c>
      <c r="DG119" s="228">
        <v>0.02</v>
      </c>
      <c r="DH119" s="228">
        <v>27.6</v>
      </c>
      <c r="DI119" s="228">
        <v>28.34</v>
      </c>
      <c r="DJ119" s="228">
        <v>-0.74</v>
      </c>
      <c r="DK119" s="228">
        <v>-0.74</v>
      </c>
      <c r="DL119" s="228">
        <v>27.47</v>
      </c>
      <c r="DM119" s="228">
        <v>27.55</v>
      </c>
      <c r="DN119" s="228">
        <v>-0.08</v>
      </c>
      <c r="DO119" s="228">
        <v>-0.08</v>
      </c>
      <c r="DP119" s="228">
        <v>0.57999999999999996</v>
      </c>
      <c r="DQ119" s="228">
        <v>0.6</v>
      </c>
      <c r="DR119" s="228">
        <v>-0.02</v>
      </c>
      <c r="DS119" s="229">
        <v>-3.3300000000000003E-2</v>
      </c>
      <c r="DT119" s="228">
        <v>900</v>
      </c>
      <c r="DU119" s="228">
        <v>800</v>
      </c>
      <c r="DV119" s="228">
        <v>0.47</v>
      </c>
      <c r="DW119" s="228">
        <v>0.24</v>
      </c>
      <c r="DX119" s="228">
        <v>0.23</v>
      </c>
      <c r="DY119" s="229">
        <v>0.95830000000000004</v>
      </c>
      <c r="DZ119" s="229">
        <v>0.1158</v>
      </c>
      <c r="EA119" s="230">
        <v>1106000</v>
      </c>
      <c r="EB119" s="229">
        <v>-5.4000000000000003E-3</v>
      </c>
      <c r="EC119" s="229">
        <v>0.1158</v>
      </c>
      <c r="ED119" s="228">
        <v>-4.59</v>
      </c>
      <c r="EE119" s="229">
        <v>-5.7000000000000002E-3</v>
      </c>
      <c r="EF119" s="230">
        <v>751189</v>
      </c>
      <c r="EG119" s="230">
        <v>248986</v>
      </c>
      <c r="EH119" s="229">
        <v>2.0169999999999999</v>
      </c>
      <c r="EI119" s="229">
        <v>0.49280000000000002</v>
      </c>
      <c r="EJ119" s="231">
        <v>30016.17</v>
      </c>
      <c r="EK119" s="231">
        <v>13206.99</v>
      </c>
      <c r="EL119" s="231">
        <v>14270.33</v>
      </c>
      <c r="EM119" s="231">
        <v>1782</v>
      </c>
      <c r="EN119" s="231">
        <v>57493.49</v>
      </c>
      <c r="EO119" s="231">
        <v>25081.14</v>
      </c>
      <c r="EP119" s="231">
        <v>32412.35</v>
      </c>
      <c r="EQ119" s="229">
        <v>1.2923</v>
      </c>
      <c r="ER119" s="231">
        <v>51297</v>
      </c>
      <c r="ES119" s="231">
        <v>27317</v>
      </c>
      <c r="ET119" s="231">
        <v>80341</v>
      </c>
      <c r="EU119" s="231">
        <v>33206238</v>
      </c>
      <c r="EV119" s="231">
        <v>158955</v>
      </c>
      <c r="EW119" s="231">
        <v>159774</v>
      </c>
      <c r="EX119" s="228">
        <v>-819</v>
      </c>
      <c r="EY119" s="229">
        <v>-5.1000000000000004E-3</v>
      </c>
      <c r="EZ119" s="229">
        <v>0.58420000000000005</v>
      </c>
      <c r="FA119" s="227" t="s">
        <v>691</v>
      </c>
      <c r="FB119" s="161">
        <f t="shared" si="1"/>
        <v>1146600</v>
      </c>
    </row>
    <row r="120" spans="1:158" ht="17.25" thickBot="1" x14ac:dyDescent="0.3">
      <c r="A120" s="226">
        <v>46148</v>
      </c>
      <c r="B120" s="227" t="s">
        <v>206</v>
      </c>
      <c r="C120" s="227" t="s">
        <v>587</v>
      </c>
      <c r="D120" s="228">
        <v>450</v>
      </c>
      <c r="E120" s="228">
        <v>953.35</v>
      </c>
      <c r="F120" s="228">
        <v>910.35</v>
      </c>
      <c r="G120" s="228">
        <v>43</v>
      </c>
      <c r="H120" s="229">
        <v>4.7199999999999999E-2</v>
      </c>
      <c r="I120" s="228">
        <v>949.15</v>
      </c>
      <c r="J120" s="228">
        <v>907.8</v>
      </c>
      <c r="K120" s="228">
        <v>41.35</v>
      </c>
      <c r="L120" s="229">
        <v>4.5499999999999999E-2</v>
      </c>
      <c r="M120" s="228">
        <v>953.35</v>
      </c>
      <c r="N120" s="228">
        <v>910.35</v>
      </c>
      <c r="O120" s="228">
        <v>43</v>
      </c>
      <c r="P120" s="229">
        <v>4.7199999999999999E-2</v>
      </c>
      <c r="Q120" s="228">
        <v>959.3</v>
      </c>
      <c r="R120" s="228">
        <v>916.4</v>
      </c>
      <c r="S120" s="228">
        <v>42.9</v>
      </c>
      <c r="T120" s="229">
        <v>4.6800000000000001E-2</v>
      </c>
      <c r="U120" s="228">
        <v>956.8</v>
      </c>
      <c r="V120" s="228">
        <v>921</v>
      </c>
      <c r="W120" s="228">
        <v>35.799999999999997</v>
      </c>
      <c r="X120" s="229">
        <v>3.8899999999999997E-2</v>
      </c>
      <c r="Y120" s="228">
        <v>4.2</v>
      </c>
      <c r="Z120" s="228">
        <v>2.5499999999999998</v>
      </c>
      <c r="AA120" s="228">
        <v>1.65</v>
      </c>
      <c r="AB120" s="229">
        <v>4.4000000000000003E-3</v>
      </c>
      <c r="AC120" s="228">
        <v>4.2</v>
      </c>
      <c r="AD120" s="228">
        <v>2.5499999999999998</v>
      </c>
      <c r="AE120" s="228">
        <v>1.65</v>
      </c>
      <c r="AF120" s="229">
        <v>4.4000000000000003E-3</v>
      </c>
      <c r="AG120" s="228">
        <v>10.15</v>
      </c>
      <c r="AH120" s="228">
        <v>8.6</v>
      </c>
      <c r="AI120" s="228">
        <v>1.55</v>
      </c>
      <c r="AJ120" s="229">
        <v>1.0699999999999999E-2</v>
      </c>
      <c r="AK120" s="228">
        <v>7.65</v>
      </c>
      <c r="AL120" s="228">
        <v>13.2</v>
      </c>
      <c r="AM120" s="228">
        <v>-5.55</v>
      </c>
      <c r="AN120" s="229">
        <v>8.0999999999999996E-3</v>
      </c>
      <c r="AO120" s="228">
        <v>934.03</v>
      </c>
      <c r="AP120" s="228">
        <v>945.86</v>
      </c>
      <c r="AQ120" s="228">
        <v>0</v>
      </c>
      <c r="AR120" s="230">
        <v>1629450</v>
      </c>
      <c r="AS120" s="230">
        <v>1318050</v>
      </c>
      <c r="AT120" s="230">
        <v>311400</v>
      </c>
      <c r="AU120" s="229">
        <v>0.23630000000000001</v>
      </c>
      <c r="AV120" s="230">
        <v>1557000</v>
      </c>
      <c r="AW120" s="230">
        <v>1270800</v>
      </c>
      <c r="AX120" s="230">
        <v>286200</v>
      </c>
      <c r="AY120" s="229">
        <v>0.22520000000000001</v>
      </c>
      <c r="AZ120" s="230">
        <v>67050</v>
      </c>
      <c r="BA120" s="230">
        <v>43650</v>
      </c>
      <c r="BB120" s="230">
        <v>23400</v>
      </c>
      <c r="BC120" s="229">
        <v>0.53610000000000002</v>
      </c>
      <c r="BD120" s="230">
        <v>5400</v>
      </c>
      <c r="BE120" s="230">
        <v>3600</v>
      </c>
      <c r="BF120" s="230">
        <v>1800</v>
      </c>
      <c r="BG120" s="229">
        <v>0.5</v>
      </c>
      <c r="BH120" s="230">
        <v>5428350</v>
      </c>
      <c r="BI120" s="230">
        <v>2812050</v>
      </c>
      <c r="BJ120" s="230">
        <v>2616300</v>
      </c>
      <c r="BK120" s="229">
        <v>0.9304</v>
      </c>
      <c r="BL120" s="230">
        <v>1844550</v>
      </c>
      <c r="BM120" s="230">
        <v>1702350</v>
      </c>
      <c r="BN120" s="230">
        <v>142200</v>
      </c>
      <c r="BO120" s="229">
        <v>8.3500000000000005E-2</v>
      </c>
      <c r="BP120" s="230">
        <v>8902350</v>
      </c>
      <c r="BQ120" s="230">
        <v>5832450</v>
      </c>
      <c r="BR120" s="230">
        <v>3069900</v>
      </c>
      <c r="BS120" s="229">
        <v>0.52629999999999999</v>
      </c>
      <c r="BT120" s="230">
        <v>2592052</v>
      </c>
      <c r="BU120" s="230">
        <v>2340668</v>
      </c>
      <c r="BV120" s="230">
        <v>251384</v>
      </c>
      <c r="BW120" s="229">
        <v>0.1074</v>
      </c>
      <c r="BX120" s="230">
        <v>14450225</v>
      </c>
      <c r="BY120" s="230">
        <v>14834525</v>
      </c>
      <c r="BZ120" s="230">
        <v>-384300</v>
      </c>
      <c r="CA120" s="229">
        <v>-2.5899999999999999E-2</v>
      </c>
      <c r="CB120" s="230">
        <v>13150800</v>
      </c>
      <c r="CC120" s="230">
        <v>13527450</v>
      </c>
      <c r="CD120" s="230">
        <v>-376650</v>
      </c>
      <c r="CE120" s="229">
        <v>-2.7799999999999998E-2</v>
      </c>
      <c r="CF120" s="230">
        <v>1288800</v>
      </c>
      <c r="CG120" s="230">
        <v>1296450</v>
      </c>
      <c r="CH120" s="230">
        <v>-7650</v>
      </c>
      <c r="CI120" s="229">
        <v>-5.8999999999999999E-3</v>
      </c>
      <c r="CJ120" s="230">
        <v>10625</v>
      </c>
      <c r="CK120" s="230">
        <v>10625</v>
      </c>
      <c r="CL120" s="228">
        <v>0</v>
      </c>
      <c r="CM120" s="229">
        <v>0</v>
      </c>
      <c r="CN120" s="230">
        <v>2242350</v>
      </c>
      <c r="CO120" s="230">
        <v>2507850</v>
      </c>
      <c r="CP120" s="230">
        <v>-265500</v>
      </c>
      <c r="CQ120" s="229">
        <v>-0.10589999999999999</v>
      </c>
      <c r="CR120" s="230">
        <v>1629900</v>
      </c>
      <c r="CS120" s="230">
        <v>1696950</v>
      </c>
      <c r="CT120" s="230">
        <v>-67050</v>
      </c>
      <c r="CU120" s="229">
        <v>-3.95E-2</v>
      </c>
      <c r="CV120" s="230">
        <v>18322475</v>
      </c>
      <c r="CW120" s="230">
        <v>19039325</v>
      </c>
      <c r="CX120" s="230">
        <v>-716850</v>
      </c>
      <c r="CY120" s="229">
        <v>-3.7699999999999997E-2</v>
      </c>
      <c r="CZ120" s="228">
        <v>38.29</v>
      </c>
      <c r="DA120" s="228">
        <v>39.090000000000003</v>
      </c>
      <c r="DB120" s="228">
        <v>-0.8</v>
      </c>
      <c r="DC120" s="228">
        <v>-0.8</v>
      </c>
      <c r="DD120" s="228">
        <v>48.04</v>
      </c>
      <c r="DE120" s="228">
        <v>47.78</v>
      </c>
      <c r="DF120" s="228">
        <v>-9.75</v>
      </c>
      <c r="DG120" s="228">
        <v>0.26</v>
      </c>
      <c r="DH120" s="228">
        <v>37.49</v>
      </c>
      <c r="DI120" s="228">
        <v>38.909999999999997</v>
      </c>
      <c r="DJ120" s="228">
        <v>-1.42</v>
      </c>
      <c r="DK120" s="228">
        <v>-1.42</v>
      </c>
      <c r="DL120" s="228">
        <v>40.64</v>
      </c>
      <c r="DM120" s="228">
        <v>39.4</v>
      </c>
      <c r="DN120" s="228">
        <v>1.24</v>
      </c>
      <c r="DO120" s="228">
        <v>1.24</v>
      </c>
      <c r="DP120" s="228">
        <v>0.73</v>
      </c>
      <c r="DQ120" s="228">
        <v>0.68</v>
      </c>
      <c r="DR120" s="228">
        <v>0.05</v>
      </c>
      <c r="DS120" s="229">
        <v>7.3499999999999996E-2</v>
      </c>
      <c r="DT120" s="231">
        <v>1000</v>
      </c>
      <c r="DU120" s="228">
        <v>900</v>
      </c>
      <c r="DV120" s="228">
        <v>0.34</v>
      </c>
      <c r="DW120" s="228">
        <v>0.61</v>
      </c>
      <c r="DX120" s="228">
        <v>-0.27</v>
      </c>
      <c r="DY120" s="229">
        <v>-0.44259999999999999</v>
      </c>
      <c r="DZ120" s="229">
        <v>8.9899999999999994E-2</v>
      </c>
      <c r="EA120" s="230">
        <v>1307075</v>
      </c>
      <c r="EB120" s="229">
        <v>6.1999999999999998E-3</v>
      </c>
      <c r="EC120" s="229">
        <v>8.9899999999999994E-2</v>
      </c>
      <c r="ED120" s="228">
        <v>11.83</v>
      </c>
      <c r="EE120" s="229">
        <v>1.2699999999999999E-2</v>
      </c>
      <c r="EF120" s="230">
        <v>1457336</v>
      </c>
      <c r="EG120" s="230">
        <v>1059996</v>
      </c>
      <c r="EH120" s="229">
        <v>0.37490000000000001</v>
      </c>
      <c r="EI120" s="229">
        <v>0.56220000000000003</v>
      </c>
      <c r="EJ120" s="231">
        <v>53750.98</v>
      </c>
      <c r="EK120" s="231">
        <v>16597.310000000001</v>
      </c>
      <c r="EL120" s="231">
        <v>15248.54</v>
      </c>
      <c r="EM120" s="231">
        <v>4245</v>
      </c>
      <c r="EN120" s="231">
        <v>85596.83</v>
      </c>
      <c r="EO120" s="231">
        <v>55122.14</v>
      </c>
      <c r="EP120" s="231">
        <v>30474.69</v>
      </c>
      <c r="EQ120" s="229">
        <v>0.55289999999999995</v>
      </c>
      <c r="ER120" s="231">
        <v>21302</v>
      </c>
      <c r="ES120" s="231">
        <v>14129</v>
      </c>
      <c r="ET120" s="231">
        <v>137838</v>
      </c>
      <c r="EU120" s="231">
        <v>42165698</v>
      </c>
      <c r="EV120" s="231">
        <v>173269</v>
      </c>
      <c r="EW120" s="231">
        <v>173488</v>
      </c>
      <c r="EX120" s="228">
        <v>-219</v>
      </c>
      <c r="EY120" s="229">
        <v>-1.2999999999999999E-3</v>
      </c>
      <c r="EZ120" s="229">
        <v>0.4345</v>
      </c>
      <c r="FA120" s="227" t="s">
        <v>691</v>
      </c>
      <c r="FB120" s="161">
        <f t="shared" si="1"/>
        <v>1299425</v>
      </c>
    </row>
    <row r="121" spans="1:158" ht="17.25" thickBot="1" x14ac:dyDescent="0.3">
      <c r="A121" s="226">
        <v>46148</v>
      </c>
      <c r="B121" s="227" t="s">
        <v>184</v>
      </c>
      <c r="C121" s="227" t="s">
        <v>249</v>
      </c>
      <c r="D121" s="228">
        <v>175</v>
      </c>
      <c r="E121" s="231">
        <v>3999.7</v>
      </c>
      <c r="F121" s="231">
        <v>4079.2</v>
      </c>
      <c r="G121" s="228">
        <v>-79.5</v>
      </c>
      <c r="H121" s="229">
        <v>-1.95E-2</v>
      </c>
      <c r="I121" s="231">
        <v>4008.5</v>
      </c>
      <c r="J121" s="231">
        <v>4054.5</v>
      </c>
      <c r="K121" s="228">
        <v>-46</v>
      </c>
      <c r="L121" s="229">
        <v>-1.1299999999999999E-2</v>
      </c>
      <c r="M121" s="231">
        <v>3999.7</v>
      </c>
      <c r="N121" s="231">
        <v>4079.2</v>
      </c>
      <c r="O121" s="228">
        <v>-79.5</v>
      </c>
      <c r="P121" s="229">
        <v>-1.95E-2</v>
      </c>
      <c r="Q121" s="231">
        <v>4020.3</v>
      </c>
      <c r="R121" s="231">
        <v>4071.2</v>
      </c>
      <c r="S121" s="228">
        <v>-50.9</v>
      </c>
      <c r="T121" s="229">
        <v>-1.2500000000000001E-2</v>
      </c>
      <c r="U121" s="231">
        <v>4042.2</v>
      </c>
      <c r="V121" s="231">
        <v>4093.1</v>
      </c>
      <c r="W121" s="228">
        <v>-50.9</v>
      </c>
      <c r="X121" s="229">
        <v>-1.24E-2</v>
      </c>
      <c r="Y121" s="228">
        <v>-8.8000000000000007</v>
      </c>
      <c r="Z121" s="228">
        <v>24.7</v>
      </c>
      <c r="AA121" s="228">
        <v>-33.5</v>
      </c>
      <c r="AB121" s="229">
        <v>-2.2000000000000001E-3</v>
      </c>
      <c r="AC121" s="228">
        <v>-8.8000000000000007</v>
      </c>
      <c r="AD121" s="228">
        <v>24.7</v>
      </c>
      <c r="AE121" s="228">
        <v>-33.5</v>
      </c>
      <c r="AF121" s="229">
        <v>-2.2000000000000001E-3</v>
      </c>
      <c r="AG121" s="228">
        <v>11.8</v>
      </c>
      <c r="AH121" s="228">
        <v>16.7</v>
      </c>
      <c r="AI121" s="228">
        <v>-4.9000000000000004</v>
      </c>
      <c r="AJ121" s="229">
        <v>2.8999999999999998E-3</v>
      </c>
      <c r="AK121" s="228">
        <v>33.700000000000003</v>
      </c>
      <c r="AL121" s="228">
        <v>38.6</v>
      </c>
      <c r="AM121" s="228">
        <v>-4.9000000000000004</v>
      </c>
      <c r="AN121" s="229">
        <v>8.3999999999999995E-3</v>
      </c>
      <c r="AO121" s="231">
        <v>3938.16</v>
      </c>
      <c r="AP121" s="231">
        <v>3953.48</v>
      </c>
      <c r="AQ121" s="228">
        <v>0</v>
      </c>
      <c r="AR121" s="230">
        <v>8420300</v>
      </c>
      <c r="AS121" s="230">
        <v>3169075</v>
      </c>
      <c r="AT121" s="230">
        <v>5251225</v>
      </c>
      <c r="AU121" s="229">
        <v>1.657</v>
      </c>
      <c r="AV121" s="230">
        <v>7726075</v>
      </c>
      <c r="AW121" s="230">
        <v>2962050</v>
      </c>
      <c r="AX121" s="230">
        <v>4764025</v>
      </c>
      <c r="AY121" s="229">
        <v>1.6084000000000001</v>
      </c>
      <c r="AZ121" s="230">
        <v>601300</v>
      </c>
      <c r="BA121" s="230">
        <v>185850</v>
      </c>
      <c r="BB121" s="230">
        <v>415450</v>
      </c>
      <c r="BC121" s="229">
        <v>2.2353999999999998</v>
      </c>
      <c r="BD121" s="230">
        <v>92925</v>
      </c>
      <c r="BE121" s="230">
        <v>21175</v>
      </c>
      <c r="BF121" s="230">
        <v>71750</v>
      </c>
      <c r="BG121" s="229">
        <v>3.3883999999999999</v>
      </c>
      <c r="BH121" s="230">
        <v>37152850</v>
      </c>
      <c r="BI121" s="230">
        <v>7978950</v>
      </c>
      <c r="BJ121" s="230">
        <v>29173900</v>
      </c>
      <c r="BK121" s="229">
        <v>3.6564000000000001</v>
      </c>
      <c r="BL121" s="230">
        <v>15801975</v>
      </c>
      <c r="BM121" s="230">
        <v>5100725</v>
      </c>
      <c r="BN121" s="230">
        <v>10701250</v>
      </c>
      <c r="BO121" s="229">
        <v>2.0979999999999999</v>
      </c>
      <c r="BP121" s="230">
        <v>61375125</v>
      </c>
      <c r="BQ121" s="230">
        <v>16248750</v>
      </c>
      <c r="BR121" s="230">
        <v>45126375</v>
      </c>
      <c r="BS121" s="229">
        <v>2.7772000000000001</v>
      </c>
      <c r="BT121" s="230">
        <v>10297364</v>
      </c>
      <c r="BU121" s="230">
        <v>3970512</v>
      </c>
      <c r="BV121" s="230">
        <v>6326852</v>
      </c>
      <c r="BW121" s="229">
        <v>1.5934999999999999</v>
      </c>
      <c r="BX121" s="230">
        <v>17416700</v>
      </c>
      <c r="BY121" s="230">
        <v>14811125</v>
      </c>
      <c r="BZ121" s="230">
        <v>2605575</v>
      </c>
      <c r="CA121" s="229">
        <v>0.1759</v>
      </c>
      <c r="CB121" s="230">
        <v>16422875</v>
      </c>
      <c r="CC121" s="230">
        <v>14046900</v>
      </c>
      <c r="CD121" s="230">
        <v>2375975</v>
      </c>
      <c r="CE121" s="229">
        <v>0.1691</v>
      </c>
      <c r="CF121" s="230">
        <v>921375</v>
      </c>
      <c r="CG121" s="230">
        <v>729575</v>
      </c>
      <c r="CH121" s="230">
        <v>191800</v>
      </c>
      <c r="CI121" s="229">
        <v>0.26290000000000002</v>
      </c>
      <c r="CJ121" s="230">
        <v>72450</v>
      </c>
      <c r="CK121" s="230">
        <v>34650</v>
      </c>
      <c r="CL121" s="230">
        <v>37800</v>
      </c>
      <c r="CM121" s="229">
        <v>1.0909</v>
      </c>
      <c r="CN121" s="230">
        <v>8452500</v>
      </c>
      <c r="CO121" s="230">
        <v>5732300</v>
      </c>
      <c r="CP121" s="230">
        <v>2720200</v>
      </c>
      <c r="CQ121" s="229">
        <v>0.47449999999999998</v>
      </c>
      <c r="CR121" s="230">
        <v>5061000</v>
      </c>
      <c r="CS121" s="230">
        <v>4503800</v>
      </c>
      <c r="CT121" s="230">
        <v>557200</v>
      </c>
      <c r="CU121" s="229">
        <v>0.1237</v>
      </c>
      <c r="CV121" s="230">
        <v>30930200</v>
      </c>
      <c r="CW121" s="230">
        <v>25047225</v>
      </c>
      <c r="CX121" s="230">
        <v>5882975</v>
      </c>
      <c r="CY121" s="229">
        <v>0.2349</v>
      </c>
      <c r="CZ121" s="228">
        <v>26.93</v>
      </c>
      <c r="DA121" s="228">
        <v>31.87</v>
      </c>
      <c r="DB121" s="228">
        <v>-4.9400000000000004</v>
      </c>
      <c r="DC121" s="228">
        <v>-4.9400000000000004</v>
      </c>
      <c r="DD121" s="228">
        <v>33.53</v>
      </c>
      <c r="DE121" s="228">
        <v>33.58</v>
      </c>
      <c r="DF121" s="228">
        <v>-6.6</v>
      </c>
      <c r="DG121" s="228">
        <v>-0.05</v>
      </c>
      <c r="DH121" s="228">
        <v>27.01</v>
      </c>
      <c r="DI121" s="228">
        <v>31.45</v>
      </c>
      <c r="DJ121" s="228">
        <v>-4.4400000000000004</v>
      </c>
      <c r="DK121" s="228">
        <v>-4.4400000000000004</v>
      </c>
      <c r="DL121" s="228">
        <v>26.74</v>
      </c>
      <c r="DM121" s="228">
        <v>32.53</v>
      </c>
      <c r="DN121" s="228">
        <v>-5.79</v>
      </c>
      <c r="DO121" s="228">
        <v>-5.79</v>
      </c>
      <c r="DP121" s="228">
        <v>0.6</v>
      </c>
      <c r="DQ121" s="228">
        <v>0.79</v>
      </c>
      <c r="DR121" s="228">
        <v>-0.19</v>
      </c>
      <c r="DS121" s="229">
        <v>-0.24049999999999999</v>
      </c>
      <c r="DT121" s="231">
        <v>4200</v>
      </c>
      <c r="DU121" s="231">
        <v>3900</v>
      </c>
      <c r="DV121" s="228">
        <v>0.43</v>
      </c>
      <c r="DW121" s="228">
        <v>0.64</v>
      </c>
      <c r="DX121" s="228">
        <v>-0.21</v>
      </c>
      <c r="DY121" s="229">
        <v>-0.3281</v>
      </c>
      <c r="DZ121" s="229">
        <v>5.7099999999999998E-2</v>
      </c>
      <c r="EA121" s="230">
        <v>764225</v>
      </c>
      <c r="EB121" s="229">
        <v>5.1999999999999998E-3</v>
      </c>
      <c r="EC121" s="229">
        <v>5.7099999999999998E-2</v>
      </c>
      <c r="ED121" s="228">
        <v>15.32</v>
      </c>
      <c r="EE121" s="229">
        <v>3.8999999999999998E-3</v>
      </c>
      <c r="EF121" s="230">
        <v>5539181</v>
      </c>
      <c r="EG121" s="230">
        <v>2089001</v>
      </c>
      <c r="EH121" s="229">
        <v>1.6516</v>
      </c>
      <c r="EI121" s="229">
        <v>0.53790000000000004</v>
      </c>
      <c r="EJ121" s="231">
        <v>1550051.12</v>
      </c>
      <c r="EK121" s="231">
        <v>616029.14</v>
      </c>
      <c r="EL121" s="231">
        <v>331730.59000000003</v>
      </c>
      <c r="EM121" s="231">
        <v>13406</v>
      </c>
      <c r="EN121" s="231">
        <v>2497810.85</v>
      </c>
      <c r="EO121" s="231">
        <v>679031.17</v>
      </c>
      <c r="EP121" s="231">
        <v>1818779.68</v>
      </c>
      <c r="EQ121" s="229">
        <v>2.6785000000000001</v>
      </c>
      <c r="ER121" s="231">
        <v>356176</v>
      </c>
      <c r="ES121" s="231">
        <v>197002</v>
      </c>
      <c r="ET121" s="231">
        <v>696836</v>
      </c>
      <c r="EU121" s="231">
        <v>136099497</v>
      </c>
      <c r="EV121" s="231">
        <v>1250014</v>
      </c>
      <c r="EW121" s="231">
        <v>1026446</v>
      </c>
      <c r="EX121" s="231">
        <v>223568</v>
      </c>
      <c r="EY121" s="229">
        <v>0.21779999999999999</v>
      </c>
      <c r="EZ121" s="229">
        <v>0.2273</v>
      </c>
      <c r="FA121" s="227" t="s">
        <v>566</v>
      </c>
      <c r="FB121" s="161">
        <f t="shared" si="1"/>
        <v>993825</v>
      </c>
    </row>
    <row r="122" spans="1:158" ht="17.25" thickBot="1" x14ac:dyDescent="0.3">
      <c r="A122" s="226">
        <v>46148</v>
      </c>
      <c r="B122" s="227" t="s">
        <v>175</v>
      </c>
      <c r="C122" s="227" t="s">
        <v>564</v>
      </c>
      <c r="D122" s="228">
        <v>2250</v>
      </c>
      <c r="E122" s="228">
        <v>298.60000000000002</v>
      </c>
      <c r="F122" s="228">
        <v>289.35000000000002</v>
      </c>
      <c r="G122" s="228">
        <v>9.25</v>
      </c>
      <c r="H122" s="229">
        <v>3.2000000000000001E-2</v>
      </c>
      <c r="I122" s="228">
        <v>300.3</v>
      </c>
      <c r="J122" s="228">
        <v>290.45</v>
      </c>
      <c r="K122" s="228">
        <v>9.85</v>
      </c>
      <c r="L122" s="229">
        <v>3.39E-2</v>
      </c>
      <c r="M122" s="228">
        <v>298.60000000000002</v>
      </c>
      <c r="N122" s="228">
        <v>289.35000000000002</v>
      </c>
      <c r="O122" s="228">
        <v>9.25</v>
      </c>
      <c r="P122" s="229">
        <v>3.2000000000000001E-2</v>
      </c>
      <c r="Q122" s="228">
        <v>297.3</v>
      </c>
      <c r="R122" s="228">
        <v>288.75</v>
      </c>
      <c r="S122" s="228">
        <v>8.5500000000000007</v>
      </c>
      <c r="T122" s="229">
        <v>2.9600000000000001E-2</v>
      </c>
      <c r="U122" s="228">
        <v>297.05</v>
      </c>
      <c r="V122" s="228">
        <v>287.14999999999998</v>
      </c>
      <c r="W122" s="228">
        <v>9.9</v>
      </c>
      <c r="X122" s="229">
        <v>3.4500000000000003E-2</v>
      </c>
      <c r="Y122" s="228">
        <v>-1.7</v>
      </c>
      <c r="Z122" s="228">
        <v>-1.1000000000000001</v>
      </c>
      <c r="AA122" s="228">
        <v>-0.6</v>
      </c>
      <c r="AB122" s="229">
        <v>-5.7000000000000002E-3</v>
      </c>
      <c r="AC122" s="228">
        <v>-1.7</v>
      </c>
      <c r="AD122" s="228">
        <v>-1.1000000000000001</v>
      </c>
      <c r="AE122" s="228">
        <v>-0.6</v>
      </c>
      <c r="AF122" s="229">
        <v>-5.7000000000000002E-3</v>
      </c>
      <c r="AG122" s="228">
        <v>-3</v>
      </c>
      <c r="AH122" s="228">
        <v>-1.7</v>
      </c>
      <c r="AI122" s="228">
        <v>-1.3</v>
      </c>
      <c r="AJ122" s="229">
        <v>-0.01</v>
      </c>
      <c r="AK122" s="228">
        <v>-3.25</v>
      </c>
      <c r="AL122" s="228">
        <v>-3.3</v>
      </c>
      <c r="AM122" s="228">
        <v>0.05</v>
      </c>
      <c r="AN122" s="229">
        <v>-1.0800000000000001E-2</v>
      </c>
      <c r="AO122" s="228">
        <v>296.94</v>
      </c>
      <c r="AP122" s="228">
        <v>295.87</v>
      </c>
      <c r="AQ122" s="228">
        <v>0</v>
      </c>
      <c r="AR122" s="230">
        <v>13551750</v>
      </c>
      <c r="AS122" s="230">
        <v>7443000</v>
      </c>
      <c r="AT122" s="230">
        <v>6108750</v>
      </c>
      <c r="AU122" s="229">
        <v>0.82069999999999999</v>
      </c>
      <c r="AV122" s="230">
        <v>12395250</v>
      </c>
      <c r="AW122" s="230">
        <v>6790500</v>
      </c>
      <c r="AX122" s="230">
        <v>5604750</v>
      </c>
      <c r="AY122" s="229">
        <v>0.82540000000000002</v>
      </c>
      <c r="AZ122" s="230">
        <v>1048500</v>
      </c>
      <c r="BA122" s="230">
        <v>598500</v>
      </c>
      <c r="BB122" s="230">
        <v>450000</v>
      </c>
      <c r="BC122" s="229">
        <v>0.75190000000000001</v>
      </c>
      <c r="BD122" s="230">
        <v>108000</v>
      </c>
      <c r="BE122" s="230">
        <v>54000</v>
      </c>
      <c r="BF122" s="230">
        <v>54000</v>
      </c>
      <c r="BG122" s="229">
        <v>1</v>
      </c>
      <c r="BH122" s="230">
        <v>34890750</v>
      </c>
      <c r="BI122" s="230">
        <v>11108250</v>
      </c>
      <c r="BJ122" s="230">
        <v>23782500</v>
      </c>
      <c r="BK122" s="229">
        <v>2.141</v>
      </c>
      <c r="BL122" s="230">
        <v>11958750</v>
      </c>
      <c r="BM122" s="230">
        <v>3975750</v>
      </c>
      <c r="BN122" s="230">
        <v>7983000</v>
      </c>
      <c r="BO122" s="229">
        <v>2.0078999999999998</v>
      </c>
      <c r="BP122" s="230">
        <v>60401250</v>
      </c>
      <c r="BQ122" s="230">
        <v>22527000</v>
      </c>
      <c r="BR122" s="230">
        <v>37874250</v>
      </c>
      <c r="BS122" s="229">
        <v>1.6813</v>
      </c>
      <c r="BT122" s="230">
        <v>9317777</v>
      </c>
      <c r="BU122" s="230">
        <v>4785895</v>
      </c>
      <c r="BV122" s="230">
        <v>4531882</v>
      </c>
      <c r="BW122" s="229">
        <v>0.94689999999999996</v>
      </c>
      <c r="BX122" s="230">
        <v>44853750</v>
      </c>
      <c r="BY122" s="230">
        <v>45146250</v>
      </c>
      <c r="BZ122" s="230">
        <v>-292500</v>
      </c>
      <c r="CA122" s="229">
        <v>-6.4999999999999997E-3</v>
      </c>
      <c r="CB122" s="230">
        <v>43485750</v>
      </c>
      <c r="CC122" s="230">
        <v>44066250</v>
      </c>
      <c r="CD122" s="230">
        <v>-580500</v>
      </c>
      <c r="CE122" s="229">
        <v>-1.32E-2</v>
      </c>
      <c r="CF122" s="230">
        <v>1233000</v>
      </c>
      <c r="CG122" s="230">
        <v>1003500</v>
      </c>
      <c r="CH122" s="230">
        <v>229500</v>
      </c>
      <c r="CI122" s="229">
        <v>0.22869999999999999</v>
      </c>
      <c r="CJ122" s="230">
        <v>135000</v>
      </c>
      <c r="CK122" s="230">
        <v>76500</v>
      </c>
      <c r="CL122" s="230">
        <v>58500</v>
      </c>
      <c r="CM122" s="229">
        <v>0.76470000000000005</v>
      </c>
      <c r="CN122" s="230">
        <v>14487750</v>
      </c>
      <c r="CO122" s="230">
        <v>14868000</v>
      </c>
      <c r="CP122" s="230">
        <v>-380250</v>
      </c>
      <c r="CQ122" s="229">
        <v>-2.5600000000000001E-2</v>
      </c>
      <c r="CR122" s="230">
        <v>10766250</v>
      </c>
      <c r="CS122" s="230">
        <v>10640250</v>
      </c>
      <c r="CT122" s="230">
        <v>126000</v>
      </c>
      <c r="CU122" s="229">
        <v>1.18E-2</v>
      </c>
      <c r="CV122" s="230">
        <v>70107750</v>
      </c>
      <c r="CW122" s="230">
        <v>70654500</v>
      </c>
      <c r="CX122" s="230">
        <v>-546750</v>
      </c>
      <c r="CY122" s="229">
        <v>-7.7000000000000002E-3</v>
      </c>
      <c r="CZ122" s="228">
        <v>33.32</v>
      </c>
      <c r="DA122" s="228">
        <v>36.35</v>
      </c>
      <c r="DB122" s="228">
        <v>-3.03</v>
      </c>
      <c r="DC122" s="228">
        <v>-3.03</v>
      </c>
      <c r="DD122" s="228">
        <v>40.94</v>
      </c>
      <c r="DE122" s="228">
        <v>40.82</v>
      </c>
      <c r="DF122" s="228">
        <v>-7.62</v>
      </c>
      <c r="DG122" s="228">
        <v>0.12</v>
      </c>
      <c r="DH122" s="228">
        <v>32.83</v>
      </c>
      <c r="DI122" s="228">
        <v>36.07</v>
      </c>
      <c r="DJ122" s="228">
        <v>-3.24</v>
      </c>
      <c r="DK122" s="228">
        <v>-3.24</v>
      </c>
      <c r="DL122" s="228">
        <v>34.75</v>
      </c>
      <c r="DM122" s="228">
        <v>37.119999999999997</v>
      </c>
      <c r="DN122" s="228">
        <v>-2.37</v>
      </c>
      <c r="DO122" s="228">
        <v>-2.37</v>
      </c>
      <c r="DP122" s="228">
        <v>0.74</v>
      </c>
      <c r="DQ122" s="228">
        <v>0.72</v>
      </c>
      <c r="DR122" s="228">
        <v>0.02</v>
      </c>
      <c r="DS122" s="229">
        <v>2.7799999999999998E-2</v>
      </c>
      <c r="DT122" s="228">
        <v>290</v>
      </c>
      <c r="DU122" s="228">
        <v>290</v>
      </c>
      <c r="DV122" s="228">
        <v>0.34</v>
      </c>
      <c r="DW122" s="228">
        <v>0.36</v>
      </c>
      <c r="DX122" s="228">
        <v>-0.02</v>
      </c>
      <c r="DY122" s="229">
        <v>-5.5599999999999997E-2</v>
      </c>
      <c r="DZ122" s="229">
        <v>3.0499999999999999E-2</v>
      </c>
      <c r="EA122" s="230">
        <v>1080000</v>
      </c>
      <c r="EB122" s="229">
        <v>-4.4000000000000003E-3</v>
      </c>
      <c r="EC122" s="229">
        <v>3.0499999999999999E-2</v>
      </c>
      <c r="ED122" s="228">
        <v>-1.07</v>
      </c>
      <c r="EE122" s="229">
        <v>-3.5999999999999999E-3</v>
      </c>
      <c r="EF122" s="230">
        <v>2926618</v>
      </c>
      <c r="EG122" s="230">
        <v>1906816</v>
      </c>
      <c r="EH122" s="229">
        <v>0.53480000000000005</v>
      </c>
      <c r="EI122" s="229">
        <v>0.31409999999999999</v>
      </c>
      <c r="EJ122" s="231">
        <v>109037.63</v>
      </c>
      <c r="EK122" s="231">
        <v>34761.22</v>
      </c>
      <c r="EL122" s="231">
        <v>40227.69</v>
      </c>
      <c r="EM122" s="231">
        <v>3107</v>
      </c>
      <c r="EN122" s="231">
        <v>184026.54</v>
      </c>
      <c r="EO122" s="231">
        <v>66665.850000000006</v>
      </c>
      <c r="EP122" s="231">
        <v>117360.69</v>
      </c>
      <c r="EQ122" s="229">
        <v>1.7604</v>
      </c>
      <c r="ER122" s="231">
        <v>43729</v>
      </c>
      <c r="ES122" s="231">
        <v>30504</v>
      </c>
      <c r="ET122" s="231">
        <v>133915</v>
      </c>
      <c r="EU122" s="231">
        <v>127514625</v>
      </c>
      <c r="EV122" s="231">
        <v>208148</v>
      </c>
      <c r="EW122" s="231">
        <v>205180</v>
      </c>
      <c r="EX122" s="231">
        <v>2968</v>
      </c>
      <c r="EY122" s="229">
        <v>1.4500000000000001E-2</v>
      </c>
      <c r="EZ122" s="229">
        <v>0.54979999999999996</v>
      </c>
      <c r="FA122" s="227" t="s">
        <v>691</v>
      </c>
      <c r="FB122" s="161">
        <f t="shared" si="1"/>
        <v>1368000</v>
      </c>
    </row>
    <row r="123" spans="1:158" ht="17.25" thickBot="1" x14ac:dyDescent="0.3">
      <c r="A123" s="226">
        <v>46148</v>
      </c>
      <c r="B123" s="227" t="s">
        <v>221</v>
      </c>
      <c r="C123" s="227" t="s">
        <v>690</v>
      </c>
      <c r="D123" s="228">
        <v>150</v>
      </c>
      <c r="E123" s="231">
        <v>4262.6000000000004</v>
      </c>
      <c r="F123" s="231">
        <v>4246</v>
      </c>
      <c r="G123" s="228">
        <v>16.600000000000001</v>
      </c>
      <c r="H123" s="229">
        <v>3.8999999999999998E-3</v>
      </c>
      <c r="I123" s="231">
        <v>4316</v>
      </c>
      <c r="J123" s="231">
        <v>4298.8</v>
      </c>
      <c r="K123" s="228">
        <v>17.2</v>
      </c>
      <c r="L123" s="229">
        <v>4.0000000000000001E-3</v>
      </c>
      <c r="M123" s="231">
        <v>4262.6000000000004</v>
      </c>
      <c r="N123" s="231">
        <v>4246</v>
      </c>
      <c r="O123" s="228">
        <v>16.600000000000001</v>
      </c>
      <c r="P123" s="229">
        <v>3.8999999999999998E-3</v>
      </c>
      <c r="Q123" s="231">
        <v>4219.8999999999996</v>
      </c>
      <c r="R123" s="231">
        <v>4168</v>
      </c>
      <c r="S123" s="228">
        <v>51.9</v>
      </c>
      <c r="T123" s="229">
        <v>1.2500000000000001E-2</v>
      </c>
      <c r="U123" s="231">
        <v>4187.3999999999996</v>
      </c>
      <c r="V123" s="231">
        <v>4105</v>
      </c>
      <c r="W123" s="228">
        <v>82.4</v>
      </c>
      <c r="X123" s="229">
        <v>2.01E-2</v>
      </c>
      <c r="Y123" s="228">
        <v>-53.4</v>
      </c>
      <c r="Z123" s="228">
        <v>-52.8</v>
      </c>
      <c r="AA123" s="228">
        <v>-0.6</v>
      </c>
      <c r="AB123" s="229">
        <v>-1.24E-2</v>
      </c>
      <c r="AC123" s="228">
        <v>-53.4</v>
      </c>
      <c r="AD123" s="228">
        <v>-52.8</v>
      </c>
      <c r="AE123" s="228">
        <v>-0.6</v>
      </c>
      <c r="AF123" s="229">
        <v>-1.24E-2</v>
      </c>
      <c r="AG123" s="228">
        <v>-96.1</v>
      </c>
      <c r="AH123" s="228">
        <v>-130.80000000000001</v>
      </c>
      <c r="AI123" s="228">
        <v>34.700000000000003</v>
      </c>
      <c r="AJ123" s="229">
        <v>-2.23E-2</v>
      </c>
      <c r="AK123" s="228">
        <v>-128.6</v>
      </c>
      <c r="AL123" s="228">
        <v>-193.8</v>
      </c>
      <c r="AM123" s="228">
        <v>65.2</v>
      </c>
      <c r="AN123" s="229">
        <v>-2.98E-2</v>
      </c>
      <c r="AO123" s="231">
        <v>4272.76</v>
      </c>
      <c r="AP123" s="231">
        <v>4206.5200000000004</v>
      </c>
      <c r="AQ123" s="228">
        <v>0</v>
      </c>
      <c r="AR123" s="230">
        <v>646500</v>
      </c>
      <c r="AS123" s="230">
        <v>718350</v>
      </c>
      <c r="AT123" s="230">
        <v>-71850</v>
      </c>
      <c r="AU123" s="229">
        <v>-0.1</v>
      </c>
      <c r="AV123" s="230">
        <v>462450</v>
      </c>
      <c r="AW123" s="230">
        <v>507150</v>
      </c>
      <c r="AX123" s="230">
        <v>-44700</v>
      </c>
      <c r="AY123" s="229">
        <v>-8.8099999999999998E-2</v>
      </c>
      <c r="AZ123" s="230">
        <v>180150</v>
      </c>
      <c r="BA123" s="230">
        <v>209850</v>
      </c>
      <c r="BB123" s="230">
        <v>-29700</v>
      </c>
      <c r="BC123" s="229">
        <v>-0.14149999999999999</v>
      </c>
      <c r="BD123" s="230">
        <v>3900</v>
      </c>
      <c r="BE123" s="230">
        <v>1350</v>
      </c>
      <c r="BF123" s="230">
        <v>2550</v>
      </c>
      <c r="BG123" s="229">
        <v>1.8889</v>
      </c>
      <c r="BH123" s="230">
        <v>1630050</v>
      </c>
      <c r="BI123" s="230">
        <v>1412700</v>
      </c>
      <c r="BJ123" s="230">
        <v>217350</v>
      </c>
      <c r="BK123" s="229">
        <v>0.15390000000000001</v>
      </c>
      <c r="BL123" s="230">
        <v>544500</v>
      </c>
      <c r="BM123" s="230">
        <v>750150</v>
      </c>
      <c r="BN123" s="230">
        <v>-205650</v>
      </c>
      <c r="BO123" s="229">
        <v>-0.27410000000000001</v>
      </c>
      <c r="BP123" s="230">
        <v>2821050</v>
      </c>
      <c r="BQ123" s="230">
        <v>2881200</v>
      </c>
      <c r="BR123" s="230">
        <v>-60150</v>
      </c>
      <c r="BS123" s="229">
        <v>-2.0899999999999998E-2</v>
      </c>
      <c r="BT123" s="230">
        <v>238322</v>
      </c>
      <c r="BU123" s="230">
        <v>284654</v>
      </c>
      <c r="BV123" s="230">
        <v>-46332</v>
      </c>
      <c r="BW123" s="229">
        <v>-0.1628</v>
      </c>
      <c r="BX123" s="230">
        <v>3616200</v>
      </c>
      <c r="BY123" s="230">
        <v>3501750</v>
      </c>
      <c r="BZ123" s="230">
        <v>114450</v>
      </c>
      <c r="CA123" s="229">
        <v>3.27E-2</v>
      </c>
      <c r="CB123" s="230">
        <v>3216300</v>
      </c>
      <c r="CC123" s="230">
        <v>3205200</v>
      </c>
      <c r="CD123" s="230">
        <v>11100</v>
      </c>
      <c r="CE123" s="229">
        <v>3.5000000000000001E-3</v>
      </c>
      <c r="CF123" s="230">
        <v>384450</v>
      </c>
      <c r="CG123" s="230">
        <v>282300</v>
      </c>
      <c r="CH123" s="230">
        <v>102150</v>
      </c>
      <c r="CI123" s="229">
        <v>0.36180000000000001</v>
      </c>
      <c r="CJ123" s="230">
        <v>15450</v>
      </c>
      <c r="CK123" s="230">
        <v>14250</v>
      </c>
      <c r="CL123" s="230">
        <v>1200</v>
      </c>
      <c r="CM123" s="229">
        <v>8.4199999999999997E-2</v>
      </c>
      <c r="CN123" s="230">
        <v>1072500</v>
      </c>
      <c r="CO123" s="230">
        <v>937650</v>
      </c>
      <c r="CP123" s="230">
        <v>134850</v>
      </c>
      <c r="CQ123" s="229">
        <v>0.14380000000000001</v>
      </c>
      <c r="CR123" s="230">
        <v>612750</v>
      </c>
      <c r="CS123" s="230">
        <v>659100</v>
      </c>
      <c r="CT123" s="230">
        <v>-46350</v>
      </c>
      <c r="CU123" s="229">
        <v>-7.0300000000000001E-2</v>
      </c>
      <c r="CV123" s="230">
        <v>5301450</v>
      </c>
      <c r="CW123" s="230">
        <v>5098500</v>
      </c>
      <c r="CX123" s="230">
        <v>202950</v>
      </c>
      <c r="CY123" s="229">
        <v>3.9800000000000002E-2</v>
      </c>
      <c r="CZ123" s="228">
        <v>31.72</v>
      </c>
      <c r="DA123" s="228">
        <v>32.33</v>
      </c>
      <c r="DB123" s="228">
        <v>-0.61</v>
      </c>
      <c r="DC123" s="228">
        <v>-0.61</v>
      </c>
      <c r="DD123" s="228">
        <v>36.33</v>
      </c>
      <c r="DE123" s="228">
        <v>36.42</v>
      </c>
      <c r="DF123" s="228">
        <v>-4.6100000000000003</v>
      </c>
      <c r="DG123" s="228">
        <v>-0.09</v>
      </c>
      <c r="DH123" s="228">
        <v>31.59</v>
      </c>
      <c r="DI123" s="228">
        <v>32.28</v>
      </c>
      <c r="DJ123" s="228">
        <v>-0.69</v>
      </c>
      <c r="DK123" s="228">
        <v>-0.69</v>
      </c>
      <c r="DL123" s="228">
        <v>32.11</v>
      </c>
      <c r="DM123" s="228">
        <v>32.44</v>
      </c>
      <c r="DN123" s="228">
        <v>-0.33</v>
      </c>
      <c r="DO123" s="228">
        <v>-0.33</v>
      </c>
      <c r="DP123" s="228">
        <v>0.56999999999999995</v>
      </c>
      <c r="DQ123" s="228">
        <v>0.7</v>
      </c>
      <c r="DR123" s="228">
        <v>-0.13</v>
      </c>
      <c r="DS123" s="229">
        <v>-0.1857</v>
      </c>
      <c r="DT123" s="231">
        <v>4400</v>
      </c>
      <c r="DU123" s="231">
        <v>4200</v>
      </c>
      <c r="DV123" s="228">
        <v>0.33</v>
      </c>
      <c r="DW123" s="228">
        <v>0.53</v>
      </c>
      <c r="DX123" s="228">
        <v>-0.2</v>
      </c>
      <c r="DY123" s="229">
        <v>-0.37740000000000001</v>
      </c>
      <c r="DZ123" s="229">
        <v>0.1106</v>
      </c>
      <c r="EA123" s="230">
        <v>296550</v>
      </c>
      <c r="EB123" s="229">
        <v>-0.01</v>
      </c>
      <c r="EC123" s="229">
        <v>0.1106</v>
      </c>
      <c r="ED123" s="228">
        <v>-66.239999999999995</v>
      </c>
      <c r="EE123" s="229">
        <v>-1.55E-2</v>
      </c>
      <c r="EF123" s="230">
        <v>95881</v>
      </c>
      <c r="EG123" s="230">
        <v>114744</v>
      </c>
      <c r="EH123" s="229">
        <v>-0.16439999999999999</v>
      </c>
      <c r="EI123" s="229">
        <v>0.40229999999999999</v>
      </c>
      <c r="EJ123" s="231">
        <v>74054.320000000007</v>
      </c>
      <c r="EK123" s="231">
        <v>22691.21</v>
      </c>
      <c r="EL123" s="231">
        <v>27500.68</v>
      </c>
      <c r="EM123" s="231">
        <v>3534</v>
      </c>
      <c r="EN123" s="231">
        <v>124246.21</v>
      </c>
      <c r="EO123" s="231">
        <v>125274.09</v>
      </c>
      <c r="EP123" s="231">
        <v>-1027.8800000000001</v>
      </c>
      <c r="EQ123" s="229">
        <v>-8.2000000000000007E-3</v>
      </c>
      <c r="ER123" s="231">
        <v>48465</v>
      </c>
      <c r="ES123" s="231">
        <v>25852</v>
      </c>
      <c r="ET123" s="231">
        <v>153968</v>
      </c>
      <c r="EU123" s="231">
        <v>12564965</v>
      </c>
      <c r="EV123" s="231">
        <v>228286</v>
      </c>
      <c r="EW123" s="231">
        <v>218632</v>
      </c>
      <c r="EX123" s="231">
        <v>9654</v>
      </c>
      <c r="EY123" s="229">
        <v>4.4200000000000003E-2</v>
      </c>
      <c r="EZ123" s="229">
        <v>0.4219</v>
      </c>
      <c r="FA123" s="227" t="s">
        <v>555</v>
      </c>
      <c r="FB123" s="161">
        <f t="shared" si="1"/>
        <v>399900</v>
      </c>
    </row>
    <row r="124" spans="1:158" ht="17.25" thickBot="1" x14ac:dyDescent="0.3">
      <c r="A124" s="226">
        <v>46148</v>
      </c>
      <c r="B124" s="227" t="s">
        <v>170</v>
      </c>
      <c r="C124" s="227" t="s">
        <v>250</v>
      </c>
      <c r="D124" s="228">
        <v>425</v>
      </c>
      <c r="E124" s="231">
        <v>2459.1</v>
      </c>
      <c r="F124" s="231">
        <v>2352.8000000000002</v>
      </c>
      <c r="G124" s="228">
        <v>106.3</v>
      </c>
      <c r="H124" s="229">
        <v>4.5199999999999997E-2</v>
      </c>
      <c r="I124" s="231">
        <v>2442.9</v>
      </c>
      <c r="J124" s="231">
        <v>2343.3000000000002</v>
      </c>
      <c r="K124" s="228">
        <v>99.6</v>
      </c>
      <c r="L124" s="229">
        <v>4.2500000000000003E-2</v>
      </c>
      <c r="M124" s="231">
        <v>2459.1</v>
      </c>
      <c r="N124" s="231">
        <v>2352.8000000000002</v>
      </c>
      <c r="O124" s="228">
        <v>106.3</v>
      </c>
      <c r="P124" s="229">
        <v>4.5199999999999997E-2</v>
      </c>
      <c r="Q124" s="231">
        <v>2473.5</v>
      </c>
      <c r="R124" s="231">
        <v>2365.5</v>
      </c>
      <c r="S124" s="228">
        <v>108</v>
      </c>
      <c r="T124" s="229">
        <v>4.5699999999999998E-2</v>
      </c>
      <c r="U124" s="231">
        <v>2475.6</v>
      </c>
      <c r="V124" s="231">
        <v>2369.1</v>
      </c>
      <c r="W124" s="228">
        <v>106.5</v>
      </c>
      <c r="X124" s="229">
        <v>4.4999999999999998E-2</v>
      </c>
      <c r="Y124" s="228">
        <v>16.2</v>
      </c>
      <c r="Z124" s="228">
        <v>9.5</v>
      </c>
      <c r="AA124" s="228">
        <v>6.7</v>
      </c>
      <c r="AB124" s="229">
        <v>6.6E-3</v>
      </c>
      <c r="AC124" s="228">
        <v>16.2</v>
      </c>
      <c r="AD124" s="228">
        <v>9.5</v>
      </c>
      <c r="AE124" s="228">
        <v>6.7</v>
      </c>
      <c r="AF124" s="229">
        <v>6.6E-3</v>
      </c>
      <c r="AG124" s="228">
        <v>30.6</v>
      </c>
      <c r="AH124" s="228">
        <v>22.2</v>
      </c>
      <c r="AI124" s="228">
        <v>8.4</v>
      </c>
      <c r="AJ124" s="229">
        <v>1.2500000000000001E-2</v>
      </c>
      <c r="AK124" s="228">
        <v>32.700000000000003</v>
      </c>
      <c r="AL124" s="228">
        <v>25.8</v>
      </c>
      <c r="AM124" s="228">
        <v>6.9</v>
      </c>
      <c r="AN124" s="229">
        <v>1.34E-2</v>
      </c>
      <c r="AO124" s="231">
        <v>2426.83</v>
      </c>
      <c r="AP124" s="231">
        <v>2437.56</v>
      </c>
      <c r="AQ124" s="228">
        <v>0</v>
      </c>
      <c r="AR124" s="230">
        <v>3765500</v>
      </c>
      <c r="AS124" s="230">
        <v>1075675</v>
      </c>
      <c r="AT124" s="230">
        <v>2689825</v>
      </c>
      <c r="AU124" s="229">
        <v>2.5005999999999999</v>
      </c>
      <c r="AV124" s="230">
        <v>3519000</v>
      </c>
      <c r="AW124" s="230">
        <v>1002150</v>
      </c>
      <c r="AX124" s="230">
        <v>2516850</v>
      </c>
      <c r="AY124" s="229">
        <v>2.5114999999999998</v>
      </c>
      <c r="AZ124" s="230">
        <v>223125</v>
      </c>
      <c r="BA124" s="230">
        <v>67575</v>
      </c>
      <c r="BB124" s="230">
        <v>155550</v>
      </c>
      <c r="BC124" s="229">
        <v>2.3018999999999998</v>
      </c>
      <c r="BD124" s="230">
        <v>23375</v>
      </c>
      <c r="BE124" s="230">
        <v>5950</v>
      </c>
      <c r="BF124" s="230">
        <v>17425</v>
      </c>
      <c r="BG124" s="229">
        <v>2.9285999999999999</v>
      </c>
      <c r="BH124" s="230">
        <v>18401650</v>
      </c>
      <c r="BI124" s="230">
        <v>3885350</v>
      </c>
      <c r="BJ124" s="230">
        <v>14516300</v>
      </c>
      <c r="BK124" s="229">
        <v>3.7362000000000002</v>
      </c>
      <c r="BL124" s="230">
        <v>6706500</v>
      </c>
      <c r="BM124" s="230">
        <v>1225700</v>
      </c>
      <c r="BN124" s="230">
        <v>5480800</v>
      </c>
      <c r="BO124" s="229">
        <v>4.4715999999999996</v>
      </c>
      <c r="BP124" s="230">
        <v>28873650</v>
      </c>
      <c r="BQ124" s="230">
        <v>6186725</v>
      </c>
      <c r="BR124" s="230">
        <v>22686925</v>
      </c>
      <c r="BS124" s="229">
        <v>3.6669999999999998</v>
      </c>
      <c r="BT124" s="230">
        <v>2995942</v>
      </c>
      <c r="BU124" s="230">
        <v>1509484</v>
      </c>
      <c r="BV124" s="230">
        <v>1486458</v>
      </c>
      <c r="BW124" s="229">
        <v>0.98470000000000002</v>
      </c>
      <c r="BX124" s="230">
        <v>7711625</v>
      </c>
      <c r="BY124" s="230">
        <v>7353350</v>
      </c>
      <c r="BZ124" s="230">
        <v>358275</v>
      </c>
      <c r="CA124" s="229">
        <v>4.87E-2</v>
      </c>
      <c r="CB124" s="230">
        <v>7273875</v>
      </c>
      <c r="CC124" s="230">
        <v>6946200</v>
      </c>
      <c r="CD124" s="230">
        <v>327675</v>
      </c>
      <c r="CE124" s="229">
        <v>4.7199999999999999E-2</v>
      </c>
      <c r="CF124" s="230">
        <v>424575</v>
      </c>
      <c r="CG124" s="230">
        <v>396100</v>
      </c>
      <c r="CH124" s="230">
        <v>28475</v>
      </c>
      <c r="CI124" s="229">
        <v>7.1900000000000006E-2</v>
      </c>
      <c r="CJ124" s="230">
        <v>13175</v>
      </c>
      <c r="CK124" s="230">
        <v>11050</v>
      </c>
      <c r="CL124" s="230">
        <v>2125</v>
      </c>
      <c r="CM124" s="229">
        <v>0.1923</v>
      </c>
      <c r="CN124" s="230">
        <v>3519425</v>
      </c>
      <c r="CO124" s="230">
        <v>3264000</v>
      </c>
      <c r="CP124" s="230">
        <v>255425</v>
      </c>
      <c r="CQ124" s="229">
        <v>7.8299999999999995E-2</v>
      </c>
      <c r="CR124" s="230">
        <v>2670700</v>
      </c>
      <c r="CS124" s="230">
        <v>2039150</v>
      </c>
      <c r="CT124" s="230">
        <v>631550</v>
      </c>
      <c r="CU124" s="229">
        <v>0.30969999999999998</v>
      </c>
      <c r="CV124" s="230">
        <v>13901750</v>
      </c>
      <c r="CW124" s="230">
        <v>12656500</v>
      </c>
      <c r="CX124" s="230">
        <v>1245250</v>
      </c>
      <c r="CY124" s="229">
        <v>9.8400000000000001E-2</v>
      </c>
      <c r="CZ124" s="228">
        <v>30.32</v>
      </c>
      <c r="DA124" s="228">
        <v>30.92</v>
      </c>
      <c r="DB124" s="228">
        <v>-0.6</v>
      </c>
      <c r="DC124" s="228">
        <v>-0.6</v>
      </c>
      <c r="DD124" s="228">
        <v>28.17</v>
      </c>
      <c r="DE124" s="228">
        <v>27.6</v>
      </c>
      <c r="DF124" s="228">
        <v>2.15</v>
      </c>
      <c r="DG124" s="228">
        <v>0.56999999999999995</v>
      </c>
      <c r="DH124" s="228">
        <v>30.17</v>
      </c>
      <c r="DI124" s="228">
        <v>30.89</v>
      </c>
      <c r="DJ124" s="228">
        <v>-0.72</v>
      </c>
      <c r="DK124" s="228">
        <v>-0.72</v>
      </c>
      <c r="DL124" s="228">
        <v>30.74</v>
      </c>
      <c r="DM124" s="228">
        <v>31.03</v>
      </c>
      <c r="DN124" s="228">
        <v>-0.28999999999999998</v>
      </c>
      <c r="DO124" s="228">
        <v>-0.28999999999999998</v>
      </c>
      <c r="DP124" s="228">
        <v>0.76</v>
      </c>
      <c r="DQ124" s="228">
        <v>0.62</v>
      </c>
      <c r="DR124" s="228">
        <v>0.14000000000000001</v>
      </c>
      <c r="DS124" s="229">
        <v>0.2258</v>
      </c>
      <c r="DT124" s="231">
        <v>2500</v>
      </c>
      <c r="DU124" s="231">
        <v>2300</v>
      </c>
      <c r="DV124" s="228">
        <v>0.36</v>
      </c>
      <c r="DW124" s="228">
        <v>0.32</v>
      </c>
      <c r="DX124" s="228">
        <v>0.04</v>
      </c>
      <c r="DY124" s="229">
        <v>0.125</v>
      </c>
      <c r="DZ124" s="229">
        <v>5.6800000000000003E-2</v>
      </c>
      <c r="EA124" s="230">
        <v>407150</v>
      </c>
      <c r="EB124" s="229">
        <v>5.8999999999999999E-3</v>
      </c>
      <c r="EC124" s="229">
        <v>5.6800000000000003E-2</v>
      </c>
      <c r="ED124" s="228">
        <v>10.73</v>
      </c>
      <c r="EE124" s="229">
        <v>4.4000000000000003E-3</v>
      </c>
      <c r="EF124" s="230">
        <v>1460859</v>
      </c>
      <c r="EG124" s="230">
        <v>844955</v>
      </c>
      <c r="EH124" s="229">
        <v>0.72889999999999999</v>
      </c>
      <c r="EI124" s="229">
        <v>0.48759999999999998</v>
      </c>
      <c r="EJ124" s="231">
        <v>465161.98</v>
      </c>
      <c r="EK124" s="231">
        <v>157303.5</v>
      </c>
      <c r="EL124" s="231">
        <v>91409.57</v>
      </c>
      <c r="EM124" s="231">
        <v>2667</v>
      </c>
      <c r="EN124" s="231">
        <v>713875.05</v>
      </c>
      <c r="EO124" s="231">
        <v>150440.21</v>
      </c>
      <c r="EP124" s="231">
        <v>563434.84</v>
      </c>
      <c r="EQ124" s="229">
        <v>3.7452000000000001</v>
      </c>
      <c r="ER124" s="231">
        <v>87274</v>
      </c>
      <c r="ES124" s="231">
        <v>60935</v>
      </c>
      <c r="ET124" s="231">
        <v>189700</v>
      </c>
      <c r="EU124" s="231">
        <v>32222448</v>
      </c>
      <c r="EV124" s="231">
        <v>337909</v>
      </c>
      <c r="EW124" s="231">
        <v>298496</v>
      </c>
      <c r="EX124" s="231">
        <v>39413</v>
      </c>
      <c r="EY124" s="229">
        <v>0.13200000000000001</v>
      </c>
      <c r="EZ124" s="229">
        <v>0.43140000000000001</v>
      </c>
      <c r="FA124" s="227" t="s">
        <v>555</v>
      </c>
      <c r="FB124" s="161">
        <f t="shared" si="1"/>
        <v>437750</v>
      </c>
    </row>
    <row r="125" spans="1:158" ht="17.25" thickBot="1" x14ac:dyDescent="0.3">
      <c r="A125" s="226">
        <v>46148</v>
      </c>
      <c r="B125" s="227" t="s">
        <v>162</v>
      </c>
      <c r="C125" s="227" t="s">
        <v>251</v>
      </c>
      <c r="D125" s="228">
        <v>200</v>
      </c>
      <c r="E125" s="231">
        <v>3314</v>
      </c>
      <c r="F125" s="231">
        <v>3229.6</v>
      </c>
      <c r="G125" s="228">
        <v>84.4</v>
      </c>
      <c r="H125" s="229">
        <v>2.6100000000000002E-2</v>
      </c>
      <c r="I125" s="231">
        <v>3300.8</v>
      </c>
      <c r="J125" s="231">
        <v>3210.8</v>
      </c>
      <c r="K125" s="228">
        <v>90</v>
      </c>
      <c r="L125" s="229">
        <v>2.8000000000000001E-2</v>
      </c>
      <c r="M125" s="231">
        <v>3314</v>
      </c>
      <c r="N125" s="231">
        <v>3229.6</v>
      </c>
      <c r="O125" s="228">
        <v>84.4</v>
      </c>
      <c r="P125" s="229">
        <v>2.6100000000000002E-2</v>
      </c>
      <c r="Q125" s="231">
        <v>3334.1</v>
      </c>
      <c r="R125" s="231">
        <v>3249.5</v>
      </c>
      <c r="S125" s="228">
        <v>84.6</v>
      </c>
      <c r="T125" s="229">
        <v>2.5999999999999999E-2</v>
      </c>
      <c r="U125" s="231">
        <v>3317.5</v>
      </c>
      <c r="V125" s="231">
        <v>3234.4</v>
      </c>
      <c r="W125" s="228">
        <v>83.1</v>
      </c>
      <c r="X125" s="229">
        <v>2.5700000000000001E-2</v>
      </c>
      <c r="Y125" s="228">
        <v>13.2</v>
      </c>
      <c r="Z125" s="228">
        <v>18.8</v>
      </c>
      <c r="AA125" s="228">
        <v>-5.6</v>
      </c>
      <c r="AB125" s="229">
        <v>4.0000000000000001E-3</v>
      </c>
      <c r="AC125" s="228">
        <v>13.2</v>
      </c>
      <c r="AD125" s="228">
        <v>18.8</v>
      </c>
      <c r="AE125" s="228">
        <v>-5.6</v>
      </c>
      <c r="AF125" s="229">
        <v>4.0000000000000001E-3</v>
      </c>
      <c r="AG125" s="228">
        <v>33.299999999999997</v>
      </c>
      <c r="AH125" s="228">
        <v>38.700000000000003</v>
      </c>
      <c r="AI125" s="228">
        <v>-5.4</v>
      </c>
      <c r="AJ125" s="229">
        <v>1.01E-2</v>
      </c>
      <c r="AK125" s="228">
        <v>16.7</v>
      </c>
      <c r="AL125" s="228">
        <v>23.6</v>
      </c>
      <c r="AM125" s="228">
        <v>-6.9</v>
      </c>
      <c r="AN125" s="229">
        <v>5.1000000000000004E-3</v>
      </c>
      <c r="AO125" s="231">
        <v>3293.81</v>
      </c>
      <c r="AP125" s="231">
        <v>3315.67</v>
      </c>
      <c r="AQ125" s="228">
        <v>0</v>
      </c>
      <c r="AR125" s="230">
        <v>5789400</v>
      </c>
      <c r="AS125" s="230">
        <v>8118400</v>
      </c>
      <c r="AT125" s="230">
        <v>-2329000</v>
      </c>
      <c r="AU125" s="229">
        <v>-0.28689999999999999</v>
      </c>
      <c r="AV125" s="230">
        <v>5461000</v>
      </c>
      <c r="AW125" s="230">
        <v>7524200</v>
      </c>
      <c r="AX125" s="230">
        <v>-2063200</v>
      </c>
      <c r="AY125" s="229">
        <v>-0.2742</v>
      </c>
      <c r="AZ125" s="230">
        <v>250000</v>
      </c>
      <c r="BA125" s="230">
        <v>456000</v>
      </c>
      <c r="BB125" s="230">
        <v>-206000</v>
      </c>
      <c r="BC125" s="229">
        <v>-0.45179999999999998</v>
      </c>
      <c r="BD125" s="230">
        <v>78400</v>
      </c>
      <c r="BE125" s="230">
        <v>138200</v>
      </c>
      <c r="BF125" s="230">
        <v>-59800</v>
      </c>
      <c r="BG125" s="229">
        <v>-0.43269999999999997</v>
      </c>
      <c r="BH125" s="230">
        <v>24890400</v>
      </c>
      <c r="BI125" s="230">
        <v>31959600</v>
      </c>
      <c r="BJ125" s="230">
        <v>-7069200</v>
      </c>
      <c r="BK125" s="229">
        <v>-0.22120000000000001</v>
      </c>
      <c r="BL125" s="230">
        <v>12564600</v>
      </c>
      <c r="BM125" s="230">
        <v>13775000</v>
      </c>
      <c r="BN125" s="230">
        <v>-1210400</v>
      </c>
      <c r="BO125" s="229">
        <v>-8.7900000000000006E-2</v>
      </c>
      <c r="BP125" s="230">
        <v>43244400</v>
      </c>
      <c r="BQ125" s="230">
        <v>53853000</v>
      </c>
      <c r="BR125" s="230">
        <v>-10608600</v>
      </c>
      <c r="BS125" s="229">
        <v>-0.19700000000000001</v>
      </c>
      <c r="BT125" s="230">
        <v>6507788</v>
      </c>
      <c r="BU125" s="230">
        <v>6704274</v>
      </c>
      <c r="BV125" s="230">
        <v>-196486</v>
      </c>
      <c r="BW125" s="229">
        <v>-2.93E-2</v>
      </c>
      <c r="BX125" s="230">
        <v>19712600</v>
      </c>
      <c r="BY125" s="230">
        <v>20501200</v>
      </c>
      <c r="BZ125" s="230">
        <v>-788600</v>
      </c>
      <c r="CA125" s="229">
        <v>-3.85E-2</v>
      </c>
      <c r="CB125" s="230">
        <v>16492600</v>
      </c>
      <c r="CC125" s="230">
        <v>17362200</v>
      </c>
      <c r="CD125" s="230">
        <v>-869600</v>
      </c>
      <c r="CE125" s="229">
        <v>-5.0099999999999999E-2</v>
      </c>
      <c r="CF125" s="230">
        <v>3064200</v>
      </c>
      <c r="CG125" s="230">
        <v>3019000</v>
      </c>
      <c r="CH125" s="230">
        <v>45200</v>
      </c>
      <c r="CI125" s="229">
        <v>1.4999999999999999E-2</v>
      </c>
      <c r="CJ125" s="230">
        <v>155800</v>
      </c>
      <c r="CK125" s="230">
        <v>120000</v>
      </c>
      <c r="CL125" s="230">
        <v>35800</v>
      </c>
      <c r="CM125" s="229">
        <v>0.29830000000000001</v>
      </c>
      <c r="CN125" s="230">
        <v>5683600</v>
      </c>
      <c r="CO125" s="230">
        <v>5925000</v>
      </c>
      <c r="CP125" s="230">
        <v>-241400</v>
      </c>
      <c r="CQ125" s="229">
        <v>-4.07E-2</v>
      </c>
      <c r="CR125" s="230">
        <v>5029000</v>
      </c>
      <c r="CS125" s="230">
        <v>4616200</v>
      </c>
      <c r="CT125" s="230">
        <v>412800</v>
      </c>
      <c r="CU125" s="229">
        <v>8.9399999999999993E-2</v>
      </c>
      <c r="CV125" s="230">
        <v>30425200</v>
      </c>
      <c r="CW125" s="230">
        <v>31042400</v>
      </c>
      <c r="CX125" s="230">
        <v>-617200</v>
      </c>
      <c r="CY125" s="229">
        <v>-1.9900000000000001E-2</v>
      </c>
      <c r="CZ125" s="228">
        <v>29</v>
      </c>
      <c r="DA125" s="228">
        <v>32.51</v>
      </c>
      <c r="DB125" s="228">
        <v>-3.51</v>
      </c>
      <c r="DC125" s="228">
        <v>-3.51</v>
      </c>
      <c r="DD125" s="228">
        <v>35.89</v>
      </c>
      <c r="DE125" s="228">
        <v>35.79</v>
      </c>
      <c r="DF125" s="228">
        <v>-6.89</v>
      </c>
      <c r="DG125" s="228">
        <v>0.1</v>
      </c>
      <c r="DH125" s="228">
        <v>28.25</v>
      </c>
      <c r="DI125" s="228">
        <v>31.93</v>
      </c>
      <c r="DJ125" s="228">
        <v>-3.68</v>
      </c>
      <c r="DK125" s="228">
        <v>-3.68</v>
      </c>
      <c r="DL125" s="228">
        <v>30.5</v>
      </c>
      <c r="DM125" s="228">
        <v>33.85</v>
      </c>
      <c r="DN125" s="228">
        <v>-3.35</v>
      </c>
      <c r="DO125" s="228">
        <v>-3.35</v>
      </c>
      <c r="DP125" s="228">
        <v>0.88</v>
      </c>
      <c r="DQ125" s="228">
        <v>0.78</v>
      </c>
      <c r="DR125" s="228">
        <v>0.1</v>
      </c>
      <c r="DS125" s="229">
        <v>0.12820000000000001</v>
      </c>
      <c r="DT125" s="231">
        <v>3300</v>
      </c>
      <c r="DU125" s="231">
        <v>3100</v>
      </c>
      <c r="DV125" s="228">
        <v>0.5</v>
      </c>
      <c r="DW125" s="228">
        <v>0.43</v>
      </c>
      <c r="DX125" s="228">
        <v>7.0000000000000007E-2</v>
      </c>
      <c r="DY125" s="229">
        <v>0.1628</v>
      </c>
      <c r="DZ125" s="229">
        <v>0.1633</v>
      </c>
      <c r="EA125" s="230">
        <v>3139000</v>
      </c>
      <c r="EB125" s="229">
        <v>6.1000000000000004E-3</v>
      </c>
      <c r="EC125" s="229">
        <v>0.1633</v>
      </c>
      <c r="ED125" s="228">
        <v>21.86</v>
      </c>
      <c r="EE125" s="229">
        <v>6.6E-3</v>
      </c>
      <c r="EF125" s="230">
        <v>3073697</v>
      </c>
      <c r="EG125" s="230">
        <v>2135582</v>
      </c>
      <c r="EH125" s="229">
        <v>0.43930000000000002</v>
      </c>
      <c r="EI125" s="229">
        <v>0.4723</v>
      </c>
      <c r="EJ125" s="231">
        <v>852499.39</v>
      </c>
      <c r="EK125" s="231">
        <v>402942.18</v>
      </c>
      <c r="EL125" s="231">
        <v>190753.6</v>
      </c>
      <c r="EM125" s="231">
        <v>19534</v>
      </c>
      <c r="EN125" s="231">
        <v>1446195.17</v>
      </c>
      <c r="EO125" s="231">
        <v>1746763.37</v>
      </c>
      <c r="EP125" s="231">
        <v>-300568.2</v>
      </c>
      <c r="EQ125" s="229">
        <v>-0.1721</v>
      </c>
      <c r="ER125" s="231">
        <v>187998</v>
      </c>
      <c r="ES125" s="231">
        <v>156994</v>
      </c>
      <c r="ET125" s="231">
        <v>653897</v>
      </c>
      <c r="EU125" s="231">
        <v>120808308</v>
      </c>
      <c r="EV125" s="231">
        <v>998889</v>
      </c>
      <c r="EW125" s="231">
        <v>999896</v>
      </c>
      <c r="EX125" s="231">
        <v>-1007</v>
      </c>
      <c r="EY125" s="229">
        <v>-1E-3</v>
      </c>
      <c r="EZ125" s="229">
        <v>0.25180000000000002</v>
      </c>
      <c r="FA125" s="227" t="s">
        <v>691</v>
      </c>
      <c r="FB125" s="161">
        <f t="shared" si="1"/>
        <v>3220000</v>
      </c>
    </row>
    <row r="126" spans="1:158" ht="17.25" thickBot="1" x14ac:dyDescent="0.3">
      <c r="A126" s="226">
        <v>46148</v>
      </c>
      <c r="B126" s="227" t="s">
        <v>175</v>
      </c>
      <c r="C126" s="227" t="s">
        <v>253</v>
      </c>
      <c r="D126" s="228">
        <v>3000</v>
      </c>
      <c r="E126" s="228">
        <v>311.60000000000002</v>
      </c>
      <c r="F126" s="228">
        <v>308.85000000000002</v>
      </c>
      <c r="G126" s="228">
        <v>2.75</v>
      </c>
      <c r="H126" s="229">
        <v>8.8999999999999999E-3</v>
      </c>
      <c r="I126" s="228">
        <v>309.95</v>
      </c>
      <c r="J126" s="228">
        <v>307.25</v>
      </c>
      <c r="K126" s="228">
        <v>2.7</v>
      </c>
      <c r="L126" s="229">
        <v>8.8000000000000005E-3</v>
      </c>
      <c r="M126" s="228">
        <v>311.60000000000002</v>
      </c>
      <c r="N126" s="228">
        <v>308.85000000000002</v>
      </c>
      <c r="O126" s="228">
        <v>2.75</v>
      </c>
      <c r="P126" s="229">
        <v>8.8999999999999999E-3</v>
      </c>
      <c r="Q126" s="228">
        <v>312.75</v>
      </c>
      <c r="R126" s="228">
        <v>309</v>
      </c>
      <c r="S126" s="228">
        <v>3.75</v>
      </c>
      <c r="T126" s="229">
        <v>1.21E-2</v>
      </c>
      <c r="U126" s="228">
        <v>314.5</v>
      </c>
      <c r="V126" s="228">
        <v>309.95</v>
      </c>
      <c r="W126" s="228">
        <v>4.55</v>
      </c>
      <c r="X126" s="229">
        <v>1.47E-2</v>
      </c>
      <c r="Y126" s="228">
        <v>1.65</v>
      </c>
      <c r="Z126" s="228">
        <v>1.6</v>
      </c>
      <c r="AA126" s="228">
        <v>0.05</v>
      </c>
      <c r="AB126" s="229">
        <v>5.3E-3</v>
      </c>
      <c r="AC126" s="228">
        <v>1.65</v>
      </c>
      <c r="AD126" s="228">
        <v>1.6</v>
      </c>
      <c r="AE126" s="228">
        <v>0.05</v>
      </c>
      <c r="AF126" s="229">
        <v>5.3E-3</v>
      </c>
      <c r="AG126" s="228">
        <v>2.8</v>
      </c>
      <c r="AH126" s="228">
        <v>1.75</v>
      </c>
      <c r="AI126" s="228">
        <v>1.05</v>
      </c>
      <c r="AJ126" s="229">
        <v>8.9999999999999993E-3</v>
      </c>
      <c r="AK126" s="228">
        <v>4.55</v>
      </c>
      <c r="AL126" s="228">
        <v>2.7</v>
      </c>
      <c r="AM126" s="228">
        <v>1.85</v>
      </c>
      <c r="AN126" s="229">
        <v>1.47E-2</v>
      </c>
      <c r="AO126" s="228">
        <v>310.7</v>
      </c>
      <c r="AP126" s="228">
        <v>311.64999999999998</v>
      </c>
      <c r="AQ126" s="228">
        <v>0</v>
      </c>
      <c r="AR126" s="230">
        <v>9156000</v>
      </c>
      <c r="AS126" s="230">
        <v>28479000</v>
      </c>
      <c r="AT126" s="230">
        <v>-19323000</v>
      </c>
      <c r="AU126" s="229">
        <v>-0.67849999999999999</v>
      </c>
      <c r="AV126" s="230">
        <v>8916000</v>
      </c>
      <c r="AW126" s="230">
        <v>27957000</v>
      </c>
      <c r="AX126" s="230">
        <v>-19041000</v>
      </c>
      <c r="AY126" s="229">
        <v>-0.68110000000000004</v>
      </c>
      <c r="AZ126" s="230">
        <v>195000</v>
      </c>
      <c r="BA126" s="230">
        <v>459000</v>
      </c>
      <c r="BB126" s="230">
        <v>-264000</v>
      </c>
      <c r="BC126" s="229">
        <v>-0.57520000000000004</v>
      </c>
      <c r="BD126" s="230">
        <v>45000</v>
      </c>
      <c r="BE126" s="230">
        <v>63000</v>
      </c>
      <c r="BF126" s="230">
        <v>-18000</v>
      </c>
      <c r="BG126" s="229">
        <v>-0.28570000000000001</v>
      </c>
      <c r="BH126" s="230">
        <v>17922000</v>
      </c>
      <c r="BI126" s="230">
        <v>57192000</v>
      </c>
      <c r="BJ126" s="230">
        <v>-39270000</v>
      </c>
      <c r="BK126" s="229">
        <v>-0.68659999999999999</v>
      </c>
      <c r="BL126" s="230">
        <v>10320000</v>
      </c>
      <c r="BM126" s="230">
        <v>32823000</v>
      </c>
      <c r="BN126" s="230">
        <v>-22503000</v>
      </c>
      <c r="BO126" s="229">
        <v>-0.68559999999999999</v>
      </c>
      <c r="BP126" s="230">
        <v>37398000</v>
      </c>
      <c r="BQ126" s="230">
        <v>118494000</v>
      </c>
      <c r="BR126" s="230">
        <v>-81096000</v>
      </c>
      <c r="BS126" s="229">
        <v>-0.68440000000000001</v>
      </c>
      <c r="BT126" s="230">
        <v>5126690</v>
      </c>
      <c r="BU126" s="230">
        <v>11763961</v>
      </c>
      <c r="BV126" s="230">
        <v>-6637271</v>
      </c>
      <c r="BW126" s="229">
        <v>-0.56420000000000003</v>
      </c>
      <c r="BX126" s="230">
        <v>49500000</v>
      </c>
      <c r="BY126" s="230">
        <v>50784000</v>
      </c>
      <c r="BZ126" s="230">
        <v>-1284000</v>
      </c>
      <c r="CA126" s="229">
        <v>-2.53E-2</v>
      </c>
      <c r="CB126" s="230">
        <v>49059000</v>
      </c>
      <c r="CC126" s="230">
        <v>50376000</v>
      </c>
      <c r="CD126" s="230">
        <v>-1317000</v>
      </c>
      <c r="CE126" s="229">
        <v>-2.6100000000000002E-2</v>
      </c>
      <c r="CF126" s="230">
        <v>393000</v>
      </c>
      <c r="CG126" s="230">
        <v>375000</v>
      </c>
      <c r="CH126" s="230">
        <v>18000</v>
      </c>
      <c r="CI126" s="229">
        <v>4.8000000000000001E-2</v>
      </c>
      <c r="CJ126" s="230">
        <v>48000</v>
      </c>
      <c r="CK126" s="230">
        <v>33000</v>
      </c>
      <c r="CL126" s="230">
        <v>15000</v>
      </c>
      <c r="CM126" s="229">
        <v>0.45450000000000002</v>
      </c>
      <c r="CN126" s="230">
        <v>12201000</v>
      </c>
      <c r="CO126" s="230">
        <v>12588000</v>
      </c>
      <c r="CP126" s="230">
        <v>-387000</v>
      </c>
      <c r="CQ126" s="229">
        <v>-3.0700000000000002E-2</v>
      </c>
      <c r="CR126" s="230">
        <v>8811000</v>
      </c>
      <c r="CS126" s="230">
        <v>8520000</v>
      </c>
      <c r="CT126" s="230">
        <v>291000</v>
      </c>
      <c r="CU126" s="229">
        <v>3.4200000000000001E-2</v>
      </c>
      <c r="CV126" s="230">
        <v>70512000</v>
      </c>
      <c r="CW126" s="230">
        <v>71892000</v>
      </c>
      <c r="CX126" s="230">
        <v>-1380000</v>
      </c>
      <c r="CY126" s="229">
        <v>-1.9199999999999998E-2</v>
      </c>
      <c r="CZ126" s="228">
        <v>34.82</v>
      </c>
      <c r="DA126" s="228">
        <v>37.07</v>
      </c>
      <c r="DB126" s="228">
        <v>-2.25</v>
      </c>
      <c r="DC126" s="228">
        <v>-2.25</v>
      </c>
      <c r="DD126" s="228">
        <v>42.64</v>
      </c>
      <c r="DE126" s="228">
        <v>42.73</v>
      </c>
      <c r="DF126" s="228">
        <v>-7.82</v>
      </c>
      <c r="DG126" s="228">
        <v>-0.09</v>
      </c>
      <c r="DH126" s="228">
        <v>34.49</v>
      </c>
      <c r="DI126" s="228">
        <v>36.25</v>
      </c>
      <c r="DJ126" s="228">
        <v>-1.76</v>
      </c>
      <c r="DK126" s="228">
        <v>-1.76</v>
      </c>
      <c r="DL126" s="228">
        <v>35.4</v>
      </c>
      <c r="DM126" s="228">
        <v>38.51</v>
      </c>
      <c r="DN126" s="228">
        <v>-3.11</v>
      </c>
      <c r="DO126" s="228">
        <v>-3.11</v>
      </c>
      <c r="DP126" s="228">
        <v>0.72</v>
      </c>
      <c r="DQ126" s="228">
        <v>0.68</v>
      </c>
      <c r="DR126" s="228">
        <v>0.04</v>
      </c>
      <c r="DS126" s="229">
        <v>5.8799999999999998E-2</v>
      </c>
      <c r="DT126" s="228">
        <v>340</v>
      </c>
      <c r="DU126" s="228">
        <v>300</v>
      </c>
      <c r="DV126" s="228">
        <v>0.57999999999999996</v>
      </c>
      <c r="DW126" s="228">
        <v>0.56999999999999995</v>
      </c>
      <c r="DX126" s="228">
        <v>0.01</v>
      </c>
      <c r="DY126" s="229">
        <v>1.7500000000000002E-2</v>
      </c>
      <c r="DZ126" s="229">
        <v>8.8999999999999999E-3</v>
      </c>
      <c r="EA126" s="230">
        <v>408000</v>
      </c>
      <c r="EB126" s="229">
        <v>3.7000000000000002E-3</v>
      </c>
      <c r="EC126" s="229">
        <v>8.8999999999999999E-3</v>
      </c>
      <c r="ED126" s="228">
        <v>0.95</v>
      </c>
      <c r="EE126" s="229">
        <v>3.0999999999999999E-3</v>
      </c>
      <c r="EF126" s="230">
        <v>2187491</v>
      </c>
      <c r="EG126" s="230">
        <v>1840163</v>
      </c>
      <c r="EH126" s="229">
        <v>0.18870000000000001</v>
      </c>
      <c r="EI126" s="229">
        <v>0.42670000000000002</v>
      </c>
      <c r="EJ126" s="231">
        <v>58576.73</v>
      </c>
      <c r="EK126" s="231">
        <v>31276.45</v>
      </c>
      <c r="EL126" s="231">
        <v>28451.06</v>
      </c>
      <c r="EM126" s="231">
        <v>5331</v>
      </c>
      <c r="EN126" s="231">
        <v>118304.24</v>
      </c>
      <c r="EO126" s="231">
        <v>369562.61</v>
      </c>
      <c r="EP126" s="231">
        <v>-251258.37</v>
      </c>
      <c r="EQ126" s="229">
        <v>-0.67989999999999995</v>
      </c>
      <c r="ER126" s="231">
        <v>37450</v>
      </c>
      <c r="ES126" s="231">
        <v>25269</v>
      </c>
      <c r="ET126" s="231">
        <v>154248</v>
      </c>
      <c r="EU126" s="231">
        <v>82205057</v>
      </c>
      <c r="EV126" s="231">
        <v>216967</v>
      </c>
      <c r="EW126" s="231">
        <v>219682</v>
      </c>
      <c r="EX126" s="231">
        <v>-2715</v>
      </c>
      <c r="EY126" s="229">
        <v>-1.24E-2</v>
      </c>
      <c r="EZ126" s="229">
        <v>0.85780000000000001</v>
      </c>
      <c r="FA126" s="227" t="s">
        <v>691</v>
      </c>
      <c r="FB126" s="161">
        <f t="shared" si="1"/>
        <v>441000</v>
      </c>
    </row>
    <row r="127" spans="1:158" ht="17.25" thickBot="1" x14ac:dyDescent="0.3">
      <c r="A127" s="226">
        <v>46148</v>
      </c>
      <c r="B127" s="227" t="s">
        <v>170</v>
      </c>
      <c r="C127" s="227" t="s">
        <v>669</v>
      </c>
      <c r="D127" s="228">
        <v>225</v>
      </c>
      <c r="E127" s="231">
        <v>2366.6</v>
      </c>
      <c r="F127" s="231">
        <v>2329.9</v>
      </c>
      <c r="G127" s="228">
        <v>36.700000000000003</v>
      </c>
      <c r="H127" s="229">
        <v>1.5800000000000002E-2</v>
      </c>
      <c r="I127" s="231">
        <v>2361</v>
      </c>
      <c r="J127" s="231">
        <v>2319.5</v>
      </c>
      <c r="K127" s="228">
        <v>41.5</v>
      </c>
      <c r="L127" s="229">
        <v>1.7899999999999999E-2</v>
      </c>
      <c r="M127" s="231">
        <v>2366.6</v>
      </c>
      <c r="N127" s="231">
        <v>2329.9</v>
      </c>
      <c r="O127" s="228">
        <v>36.700000000000003</v>
      </c>
      <c r="P127" s="229">
        <v>1.5800000000000002E-2</v>
      </c>
      <c r="Q127" s="231">
        <v>2367.1999999999998</v>
      </c>
      <c r="R127" s="231">
        <v>2335</v>
      </c>
      <c r="S127" s="228">
        <v>32.200000000000003</v>
      </c>
      <c r="T127" s="229">
        <v>1.38E-2</v>
      </c>
      <c r="U127" s="231">
        <v>2377.6</v>
      </c>
      <c r="V127" s="228">
        <v>0</v>
      </c>
      <c r="W127" s="231">
        <v>2377.6</v>
      </c>
      <c r="X127" s="229">
        <v>0</v>
      </c>
      <c r="Y127" s="228">
        <v>5.6</v>
      </c>
      <c r="Z127" s="228">
        <v>10.4</v>
      </c>
      <c r="AA127" s="228">
        <v>-4.8</v>
      </c>
      <c r="AB127" s="229">
        <v>2.3999999999999998E-3</v>
      </c>
      <c r="AC127" s="228">
        <v>5.6</v>
      </c>
      <c r="AD127" s="228">
        <v>10.4</v>
      </c>
      <c r="AE127" s="228">
        <v>-4.8</v>
      </c>
      <c r="AF127" s="229">
        <v>2.3999999999999998E-3</v>
      </c>
      <c r="AG127" s="228">
        <v>6.2</v>
      </c>
      <c r="AH127" s="228">
        <v>15.5</v>
      </c>
      <c r="AI127" s="228">
        <v>-9.3000000000000007</v>
      </c>
      <c r="AJ127" s="229">
        <v>2.5999999999999999E-3</v>
      </c>
      <c r="AK127" s="228">
        <v>16.600000000000001</v>
      </c>
      <c r="AL127" s="228">
        <v>0</v>
      </c>
      <c r="AM127" s="228">
        <v>16.600000000000001</v>
      </c>
      <c r="AN127" s="229">
        <v>7.0000000000000001E-3</v>
      </c>
      <c r="AO127" s="231">
        <v>2349.25</v>
      </c>
      <c r="AP127" s="231">
        <v>2352.2600000000002</v>
      </c>
      <c r="AQ127" s="228">
        <v>0</v>
      </c>
      <c r="AR127" s="230">
        <v>1041750</v>
      </c>
      <c r="AS127" s="230">
        <v>639675</v>
      </c>
      <c r="AT127" s="230">
        <v>402075</v>
      </c>
      <c r="AU127" s="229">
        <v>0.62860000000000005</v>
      </c>
      <c r="AV127" s="230">
        <v>999225</v>
      </c>
      <c r="AW127" s="230">
        <v>618075</v>
      </c>
      <c r="AX127" s="230">
        <v>381150</v>
      </c>
      <c r="AY127" s="229">
        <v>0.61670000000000003</v>
      </c>
      <c r="AZ127" s="230">
        <v>40950</v>
      </c>
      <c r="BA127" s="230">
        <v>21600</v>
      </c>
      <c r="BB127" s="230">
        <v>19350</v>
      </c>
      <c r="BC127" s="229">
        <v>0.89580000000000004</v>
      </c>
      <c r="BD127" s="230">
        <v>1575</v>
      </c>
      <c r="BE127" s="228">
        <v>0</v>
      </c>
      <c r="BF127" s="230">
        <v>1575</v>
      </c>
      <c r="BG127" s="229">
        <v>0</v>
      </c>
      <c r="BH127" s="230">
        <v>4721400</v>
      </c>
      <c r="BI127" s="230">
        <v>3620250</v>
      </c>
      <c r="BJ127" s="230">
        <v>1101150</v>
      </c>
      <c r="BK127" s="229">
        <v>0.30420000000000003</v>
      </c>
      <c r="BL127" s="230">
        <v>666900</v>
      </c>
      <c r="BM127" s="230">
        <v>728775</v>
      </c>
      <c r="BN127" s="230">
        <v>-61875</v>
      </c>
      <c r="BO127" s="229">
        <v>-8.4900000000000003E-2</v>
      </c>
      <c r="BP127" s="230">
        <v>6430050</v>
      </c>
      <c r="BQ127" s="230">
        <v>4988700</v>
      </c>
      <c r="BR127" s="230">
        <v>1441350</v>
      </c>
      <c r="BS127" s="229">
        <v>0.28889999999999999</v>
      </c>
      <c r="BT127" s="230">
        <v>926174</v>
      </c>
      <c r="BU127" s="230">
        <v>435157</v>
      </c>
      <c r="BV127" s="230">
        <v>491017</v>
      </c>
      <c r="BW127" s="229">
        <v>1.1284000000000001</v>
      </c>
      <c r="BX127" s="230">
        <v>3909300</v>
      </c>
      <c r="BY127" s="230">
        <v>3752325</v>
      </c>
      <c r="BZ127" s="230">
        <v>156975</v>
      </c>
      <c r="CA127" s="229">
        <v>4.1799999999999997E-2</v>
      </c>
      <c r="CB127" s="230">
        <v>3865275</v>
      </c>
      <c r="CC127" s="230">
        <v>3719925</v>
      </c>
      <c r="CD127" s="230">
        <v>145350</v>
      </c>
      <c r="CE127" s="229">
        <v>3.9100000000000003E-2</v>
      </c>
      <c r="CF127" s="230">
        <v>42525</v>
      </c>
      <c r="CG127" s="230">
        <v>32400</v>
      </c>
      <c r="CH127" s="230">
        <v>10125</v>
      </c>
      <c r="CI127" s="229">
        <v>0.3125</v>
      </c>
      <c r="CJ127" s="230">
        <v>1500</v>
      </c>
      <c r="CK127" s="228">
        <v>0</v>
      </c>
      <c r="CL127" s="230">
        <v>1500</v>
      </c>
      <c r="CM127" s="229">
        <v>0</v>
      </c>
      <c r="CN127" s="230">
        <v>1055925</v>
      </c>
      <c r="CO127" s="230">
        <v>1099800</v>
      </c>
      <c r="CP127" s="230">
        <v>-43875</v>
      </c>
      <c r="CQ127" s="229">
        <v>-3.9899999999999998E-2</v>
      </c>
      <c r="CR127" s="230">
        <v>773775</v>
      </c>
      <c r="CS127" s="230">
        <v>686925</v>
      </c>
      <c r="CT127" s="230">
        <v>86850</v>
      </c>
      <c r="CU127" s="229">
        <v>0.12640000000000001</v>
      </c>
      <c r="CV127" s="230">
        <v>5739000</v>
      </c>
      <c r="CW127" s="230">
        <v>5539050</v>
      </c>
      <c r="CX127" s="230">
        <v>199950</v>
      </c>
      <c r="CY127" s="229">
        <v>3.61E-2</v>
      </c>
      <c r="CZ127" s="228">
        <v>36.729999999999997</v>
      </c>
      <c r="DA127" s="228">
        <v>38.950000000000003</v>
      </c>
      <c r="DB127" s="228">
        <v>-2.2200000000000002</v>
      </c>
      <c r="DC127" s="228">
        <v>-2.2200000000000002</v>
      </c>
      <c r="DD127" s="228">
        <v>33.56</v>
      </c>
      <c r="DE127" s="228">
        <v>33.56</v>
      </c>
      <c r="DF127" s="228">
        <v>3.17</v>
      </c>
      <c r="DG127" s="228">
        <v>0</v>
      </c>
      <c r="DH127" s="228">
        <v>36.68</v>
      </c>
      <c r="DI127" s="228">
        <v>39.049999999999997</v>
      </c>
      <c r="DJ127" s="228">
        <v>-2.37</v>
      </c>
      <c r="DK127" s="228">
        <v>-2.37</v>
      </c>
      <c r="DL127" s="228">
        <v>37.06</v>
      </c>
      <c r="DM127" s="228">
        <v>38.479999999999997</v>
      </c>
      <c r="DN127" s="228">
        <v>-1.42</v>
      </c>
      <c r="DO127" s="228">
        <v>-1.42</v>
      </c>
      <c r="DP127" s="228">
        <v>0.73</v>
      </c>
      <c r="DQ127" s="228">
        <v>0.62</v>
      </c>
      <c r="DR127" s="228">
        <v>0.11</v>
      </c>
      <c r="DS127" s="229">
        <v>0.1774</v>
      </c>
      <c r="DT127" s="231">
        <v>2400</v>
      </c>
      <c r="DU127" s="231">
        <v>2300</v>
      </c>
      <c r="DV127" s="228">
        <v>0.14000000000000001</v>
      </c>
      <c r="DW127" s="228">
        <v>0.2</v>
      </c>
      <c r="DX127" s="228">
        <v>-0.06</v>
      </c>
      <c r="DY127" s="229">
        <v>-0.3</v>
      </c>
      <c r="DZ127" s="229">
        <v>1.1299999999999999E-2</v>
      </c>
      <c r="EA127" s="230">
        <v>32400</v>
      </c>
      <c r="EB127" s="229">
        <v>2.9999999999999997E-4</v>
      </c>
      <c r="EC127" s="229">
        <v>1.1299999999999999E-2</v>
      </c>
      <c r="ED127" s="228">
        <v>3.01</v>
      </c>
      <c r="EE127" s="229">
        <v>1.2999999999999999E-3</v>
      </c>
      <c r="EF127" s="230">
        <v>422216</v>
      </c>
      <c r="EG127" s="230">
        <v>189792</v>
      </c>
      <c r="EH127" s="229">
        <v>1.2245999999999999</v>
      </c>
      <c r="EI127" s="229">
        <v>0.45590000000000003</v>
      </c>
      <c r="EJ127" s="231">
        <v>116655</v>
      </c>
      <c r="EK127" s="231">
        <v>15434.28</v>
      </c>
      <c r="EL127" s="231">
        <v>24479.09</v>
      </c>
      <c r="EM127" s="231">
        <v>1534</v>
      </c>
      <c r="EN127" s="231">
        <v>156568.37</v>
      </c>
      <c r="EO127" s="231">
        <v>120088.05</v>
      </c>
      <c r="EP127" s="231">
        <v>36480.32</v>
      </c>
      <c r="EQ127" s="229">
        <v>0.30380000000000001</v>
      </c>
      <c r="ER127" s="231">
        <v>25364</v>
      </c>
      <c r="ES127" s="231">
        <v>17293</v>
      </c>
      <c r="ET127" s="231">
        <v>92518</v>
      </c>
      <c r="EU127" s="231">
        <v>16926669</v>
      </c>
      <c r="EV127" s="231">
        <v>135175</v>
      </c>
      <c r="EW127" s="231">
        <v>128990</v>
      </c>
      <c r="EX127" s="231">
        <v>6185</v>
      </c>
      <c r="EY127" s="229">
        <v>4.7899999999999998E-2</v>
      </c>
      <c r="EZ127" s="229">
        <v>0.33910000000000001</v>
      </c>
      <c r="FA127" s="227" t="s">
        <v>555</v>
      </c>
      <c r="FB127" s="161">
        <f t="shared" si="1"/>
        <v>44025</v>
      </c>
    </row>
    <row r="128" spans="1:158" ht="17.25" thickBot="1" x14ac:dyDescent="0.3">
      <c r="A128" s="226">
        <v>46148</v>
      </c>
      <c r="B128" s="227" t="s">
        <v>168</v>
      </c>
      <c r="C128" s="227" t="s">
        <v>254</v>
      </c>
      <c r="D128" s="228">
        <v>1200</v>
      </c>
      <c r="E128" s="228">
        <v>819.4</v>
      </c>
      <c r="F128" s="228">
        <v>810.2</v>
      </c>
      <c r="G128" s="228">
        <v>9.1999999999999993</v>
      </c>
      <c r="H128" s="229">
        <v>1.14E-2</v>
      </c>
      <c r="I128" s="228">
        <v>814.8</v>
      </c>
      <c r="J128" s="228">
        <v>807.2</v>
      </c>
      <c r="K128" s="228">
        <v>7.6</v>
      </c>
      <c r="L128" s="229">
        <v>9.4000000000000004E-3</v>
      </c>
      <c r="M128" s="228">
        <v>819.4</v>
      </c>
      <c r="N128" s="228">
        <v>810.2</v>
      </c>
      <c r="O128" s="228">
        <v>9.1999999999999993</v>
      </c>
      <c r="P128" s="229">
        <v>1.14E-2</v>
      </c>
      <c r="Q128" s="228">
        <v>821.85</v>
      </c>
      <c r="R128" s="228">
        <v>813.4</v>
      </c>
      <c r="S128" s="228">
        <v>8.4499999999999993</v>
      </c>
      <c r="T128" s="229">
        <v>1.04E-2</v>
      </c>
      <c r="U128" s="228">
        <v>825</v>
      </c>
      <c r="V128" s="228">
        <v>815.05</v>
      </c>
      <c r="W128" s="228">
        <v>9.9499999999999993</v>
      </c>
      <c r="X128" s="229">
        <v>1.2200000000000001E-2</v>
      </c>
      <c r="Y128" s="228">
        <v>4.5999999999999996</v>
      </c>
      <c r="Z128" s="228">
        <v>3</v>
      </c>
      <c r="AA128" s="228">
        <v>1.6</v>
      </c>
      <c r="AB128" s="229">
        <v>5.5999999999999999E-3</v>
      </c>
      <c r="AC128" s="228">
        <v>4.5999999999999996</v>
      </c>
      <c r="AD128" s="228">
        <v>3</v>
      </c>
      <c r="AE128" s="228">
        <v>1.6</v>
      </c>
      <c r="AF128" s="229">
        <v>5.5999999999999999E-3</v>
      </c>
      <c r="AG128" s="228">
        <v>7.05</v>
      </c>
      <c r="AH128" s="228">
        <v>6.2</v>
      </c>
      <c r="AI128" s="228">
        <v>0.85</v>
      </c>
      <c r="AJ128" s="229">
        <v>8.6999999999999994E-3</v>
      </c>
      <c r="AK128" s="228">
        <v>10.199999999999999</v>
      </c>
      <c r="AL128" s="228">
        <v>7.85</v>
      </c>
      <c r="AM128" s="228">
        <v>2.35</v>
      </c>
      <c r="AN128" s="229">
        <v>1.2500000000000001E-2</v>
      </c>
      <c r="AO128" s="228">
        <v>829.47</v>
      </c>
      <c r="AP128" s="228">
        <v>831.4</v>
      </c>
      <c r="AQ128" s="228">
        <v>0</v>
      </c>
      <c r="AR128" s="230">
        <v>8184000</v>
      </c>
      <c r="AS128" s="230">
        <v>14389200</v>
      </c>
      <c r="AT128" s="230">
        <v>-6205200</v>
      </c>
      <c r="AU128" s="229">
        <v>-0.43120000000000003</v>
      </c>
      <c r="AV128" s="230">
        <v>8014800</v>
      </c>
      <c r="AW128" s="230">
        <v>14202000</v>
      </c>
      <c r="AX128" s="230">
        <v>-6187200</v>
      </c>
      <c r="AY128" s="229">
        <v>-0.43569999999999998</v>
      </c>
      <c r="AZ128" s="230">
        <v>158400</v>
      </c>
      <c r="BA128" s="230">
        <v>182400</v>
      </c>
      <c r="BB128" s="230">
        <v>-24000</v>
      </c>
      <c r="BC128" s="229">
        <v>-0.13159999999999999</v>
      </c>
      <c r="BD128" s="230">
        <v>10800</v>
      </c>
      <c r="BE128" s="230">
        <v>4800</v>
      </c>
      <c r="BF128" s="230">
        <v>6000</v>
      </c>
      <c r="BG128" s="229">
        <v>1.25</v>
      </c>
      <c r="BH128" s="230">
        <v>39798000</v>
      </c>
      <c r="BI128" s="230">
        <v>70370400</v>
      </c>
      <c r="BJ128" s="230">
        <v>-30572400</v>
      </c>
      <c r="BK128" s="229">
        <v>-0.43440000000000001</v>
      </c>
      <c r="BL128" s="230">
        <v>25646400</v>
      </c>
      <c r="BM128" s="230">
        <v>27969600</v>
      </c>
      <c r="BN128" s="230">
        <v>-2323200</v>
      </c>
      <c r="BO128" s="229">
        <v>-8.3099999999999993E-2</v>
      </c>
      <c r="BP128" s="230">
        <v>73628400</v>
      </c>
      <c r="BQ128" s="230">
        <v>112729200</v>
      </c>
      <c r="BR128" s="230">
        <v>-39100800</v>
      </c>
      <c r="BS128" s="229">
        <v>-0.34689999999999999</v>
      </c>
      <c r="BT128" s="230">
        <v>5467981</v>
      </c>
      <c r="BU128" s="230">
        <v>5558382</v>
      </c>
      <c r="BV128" s="230">
        <v>-90401</v>
      </c>
      <c r="BW128" s="229">
        <v>-1.6299999999999999E-2</v>
      </c>
      <c r="BX128" s="230">
        <v>21456000</v>
      </c>
      <c r="BY128" s="230">
        <v>22615200</v>
      </c>
      <c r="BZ128" s="230">
        <v>-1159200</v>
      </c>
      <c r="CA128" s="229">
        <v>-5.1299999999999998E-2</v>
      </c>
      <c r="CB128" s="230">
        <v>20151600</v>
      </c>
      <c r="CC128" s="230">
        <v>21340800</v>
      </c>
      <c r="CD128" s="230">
        <v>-1189200</v>
      </c>
      <c r="CE128" s="229">
        <v>-5.57E-2</v>
      </c>
      <c r="CF128" s="230">
        <v>1293600</v>
      </c>
      <c r="CG128" s="230">
        <v>1269600</v>
      </c>
      <c r="CH128" s="230">
        <v>24000</v>
      </c>
      <c r="CI128" s="229">
        <v>1.89E-2</v>
      </c>
      <c r="CJ128" s="230">
        <v>10800</v>
      </c>
      <c r="CK128" s="230">
        <v>4800</v>
      </c>
      <c r="CL128" s="230">
        <v>6000</v>
      </c>
      <c r="CM128" s="229">
        <v>1.25</v>
      </c>
      <c r="CN128" s="230">
        <v>8059200</v>
      </c>
      <c r="CO128" s="230">
        <v>6828000</v>
      </c>
      <c r="CP128" s="230">
        <v>1231200</v>
      </c>
      <c r="CQ128" s="229">
        <v>0.18029999999999999</v>
      </c>
      <c r="CR128" s="230">
        <v>5737200</v>
      </c>
      <c r="CS128" s="230">
        <v>5049600</v>
      </c>
      <c r="CT128" s="230">
        <v>687600</v>
      </c>
      <c r="CU128" s="229">
        <v>0.13619999999999999</v>
      </c>
      <c r="CV128" s="230">
        <v>35252400</v>
      </c>
      <c r="CW128" s="230">
        <v>34492800</v>
      </c>
      <c r="CX128" s="230">
        <v>759600</v>
      </c>
      <c r="CY128" s="229">
        <v>2.1999999999999999E-2</v>
      </c>
      <c r="CZ128" s="228">
        <v>21.71</v>
      </c>
      <c r="DA128" s="228">
        <v>24.52</v>
      </c>
      <c r="DB128" s="228">
        <v>-2.81</v>
      </c>
      <c r="DC128" s="228">
        <v>-2.81</v>
      </c>
      <c r="DD128" s="228">
        <v>24.6</v>
      </c>
      <c r="DE128" s="228">
        <v>24.63</v>
      </c>
      <c r="DF128" s="228">
        <v>-2.89</v>
      </c>
      <c r="DG128" s="228">
        <v>-0.03</v>
      </c>
      <c r="DH128" s="228">
        <v>21.86</v>
      </c>
      <c r="DI128" s="228">
        <v>24.26</v>
      </c>
      <c r="DJ128" s="228">
        <v>-2.4</v>
      </c>
      <c r="DK128" s="228">
        <v>-2.4</v>
      </c>
      <c r="DL128" s="228">
        <v>21.47</v>
      </c>
      <c r="DM128" s="228">
        <v>25.18</v>
      </c>
      <c r="DN128" s="228">
        <v>-3.71</v>
      </c>
      <c r="DO128" s="228">
        <v>-3.71</v>
      </c>
      <c r="DP128" s="228">
        <v>0.71</v>
      </c>
      <c r="DQ128" s="228">
        <v>0.74</v>
      </c>
      <c r="DR128" s="228">
        <v>-0.03</v>
      </c>
      <c r="DS128" s="229">
        <v>-4.0500000000000001E-2</v>
      </c>
      <c r="DT128" s="228">
        <v>830</v>
      </c>
      <c r="DU128" s="228">
        <v>790</v>
      </c>
      <c r="DV128" s="228">
        <v>0.64</v>
      </c>
      <c r="DW128" s="228">
        <v>0.4</v>
      </c>
      <c r="DX128" s="228">
        <v>0.24</v>
      </c>
      <c r="DY128" s="229">
        <v>0.6</v>
      </c>
      <c r="DZ128" s="229">
        <v>6.08E-2</v>
      </c>
      <c r="EA128" s="230">
        <v>1274400</v>
      </c>
      <c r="EB128" s="229">
        <v>3.0000000000000001E-3</v>
      </c>
      <c r="EC128" s="229">
        <v>6.08E-2</v>
      </c>
      <c r="ED128" s="228">
        <v>1.93</v>
      </c>
      <c r="EE128" s="229">
        <v>2.3E-3</v>
      </c>
      <c r="EF128" s="230">
        <v>2428024</v>
      </c>
      <c r="EG128" s="230">
        <v>1675592</v>
      </c>
      <c r="EH128" s="229">
        <v>0.4491</v>
      </c>
      <c r="EI128" s="229">
        <v>0.44400000000000001</v>
      </c>
      <c r="EJ128" s="231">
        <v>341957.57</v>
      </c>
      <c r="EK128" s="231">
        <v>207227.13</v>
      </c>
      <c r="EL128" s="231">
        <v>67887.33</v>
      </c>
      <c r="EM128" s="231">
        <v>4149</v>
      </c>
      <c r="EN128" s="231">
        <v>617072.03</v>
      </c>
      <c r="EO128" s="231">
        <v>914500.74</v>
      </c>
      <c r="EP128" s="231">
        <v>-297428.71000000002</v>
      </c>
      <c r="EQ128" s="229">
        <v>-0.32519999999999999</v>
      </c>
      <c r="ER128" s="231">
        <v>67795</v>
      </c>
      <c r="ES128" s="231">
        <v>44872</v>
      </c>
      <c r="ET128" s="231">
        <v>175843</v>
      </c>
      <c r="EU128" s="231">
        <v>77572761</v>
      </c>
      <c r="EV128" s="231">
        <v>288510</v>
      </c>
      <c r="EW128" s="231">
        <v>278502</v>
      </c>
      <c r="EX128" s="231">
        <v>10008</v>
      </c>
      <c r="EY128" s="229">
        <v>3.5900000000000001E-2</v>
      </c>
      <c r="EZ128" s="229">
        <v>0.45440000000000003</v>
      </c>
      <c r="FA128" s="227" t="s">
        <v>691</v>
      </c>
      <c r="FB128" s="161">
        <f t="shared" si="1"/>
        <v>1304400</v>
      </c>
    </row>
    <row r="129" spans="1:158" ht="17.25" thickBot="1" x14ac:dyDescent="0.3">
      <c r="A129" s="226">
        <v>46148</v>
      </c>
      <c r="B129" s="227" t="s">
        <v>162</v>
      </c>
      <c r="C129" s="227" t="s">
        <v>255</v>
      </c>
      <c r="D129" s="228">
        <v>50</v>
      </c>
      <c r="E129" s="231">
        <v>13804</v>
      </c>
      <c r="F129" s="231">
        <v>13452</v>
      </c>
      <c r="G129" s="228">
        <v>352</v>
      </c>
      <c r="H129" s="229">
        <v>2.6200000000000001E-2</v>
      </c>
      <c r="I129" s="231">
        <v>13722</v>
      </c>
      <c r="J129" s="231">
        <v>13426</v>
      </c>
      <c r="K129" s="228">
        <v>296</v>
      </c>
      <c r="L129" s="229">
        <v>2.1999999999999999E-2</v>
      </c>
      <c r="M129" s="231">
        <v>13804</v>
      </c>
      <c r="N129" s="231">
        <v>13452</v>
      </c>
      <c r="O129" s="228">
        <v>352</v>
      </c>
      <c r="P129" s="229">
        <v>2.6200000000000001E-2</v>
      </c>
      <c r="Q129" s="231">
        <v>13888</v>
      </c>
      <c r="R129" s="231">
        <v>13551</v>
      </c>
      <c r="S129" s="228">
        <v>337</v>
      </c>
      <c r="T129" s="229">
        <v>2.4899999999999999E-2</v>
      </c>
      <c r="U129" s="231">
        <v>13972</v>
      </c>
      <c r="V129" s="231">
        <v>13632</v>
      </c>
      <c r="W129" s="228">
        <v>340</v>
      </c>
      <c r="X129" s="229">
        <v>2.4899999999999999E-2</v>
      </c>
      <c r="Y129" s="228">
        <v>82</v>
      </c>
      <c r="Z129" s="228">
        <v>26</v>
      </c>
      <c r="AA129" s="228">
        <v>56</v>
      </c>
      <c r="AB129" s="229">
        <v>6.0000000000000001E-3</v>
      </c>
      <c r="AC129" s="228">
        <v>82</v>
      </c>
      <c r="AD129" s="228">
        <v>26</v>
      </c>
      <c r="AE129" s="228">
        <v>56</v>
      </c>
      <c r="AF129" s="229">
        <v>6.0000000000000001E-3</v>
      </c>
      <c r="AG129" s="228">
        <v>166</v>
      </c>
      <c r="AH129" s="228">
        <v>125</v>
      </c>
      <c r="AI129" s="228">
        <v>41</v>
      </c>
      <c r="AJ129" s="229">
        <v>1.21E-2</v>
      </c>
      <c r="AK129" s="228">
        <v>250</v>
      </c>
      <c r="AL129" s="228">
        <v>206</v>
      </c>
      <c r="AM129" s="228">
        <v>44</v>
      </c>
      <c r="AN129" s="229">
        <v>1.8200000000000001E-2</v>
      </c>
      <c r="AO129" s="231">
        <v>13674.27</v>
      </c>
      <c r="AP129" s="231">
        <v>13730</v>
      </c>
      <c r="AQ129" s="228">
        <v>0</v>
      </c>
      <c r="AR129" s="230">
        <v>464850</v>
      </c>
      <c r="AS129" s="230">
        <v>435950</v>
      </c>
      <c r="AT129" s="230">
        <v>28900</v>
      </c>
      <c r="AU129" s="229">
        <v>6.6299999999999998E-2</v>
      </c>
      <c r="AV129" s="230">
        <v>428800</v>
      </c>
      <c r="AW129" s="230">
        <v>416800</v>
      </c>
      <c r="AX129" s="230">
        <v>12000</v>
      </c>
      <c r="AY129" s="229">
        <v>2.8799999999999999E-2</v>
      </c>
      <c r="AZ129" s="230">
        <v>32600</v>
      </c>
      <c r="BA129" s="230">
        <v>17250</v>
      </c>
      <c r="BB129" s="230">
        <v>15350</v>
      </c>
      <c r="BC129" s="229">
        <v>0.88990000000000002</v>
      </c>
      <c r="BD129" s="230">
        <v>3450</v>
      </c>
      <c r="BE129" s="230">
        <v>1900</v>
      </c>
      <c r="BF129" s="230">
        <v>1550</v>
      </c>
      <c r="BG129" s="229">
        <v>0.81579999999999997</v>
      </c>
      <c r="BH129" s="230">
        <v>3639800</v>
      </c>
      <c r="BI129" s="230">
        <v>2599300</v>
      </c>
      <c r="BJ129" s="230">
        <v>1040500</v>
      </c>
      <c r="BK129" s="229">
        <v>0.40029999999999999</v>
      </c>
      <c r="BL129" s="230">
        <v>1672150</v>
      </c>
      <c r="BM129" s="230">
        <v>1382550</v>
      </c>
      <c r="BN129" s="230">
        <v>289600</v>
      </c>
      <c r="BO129" s="229">
        <v>0.20949999999999999</v>
      </c>
      <c r="BP129" s="230">
        <v>5776800</v>
      </c>
      <c r="BQ129" s="230">
        <v>4417800</v>
      </c>
      <c r="BR129" s="230">
        <v>1359000</v>
      </c>
      <c r="BS129" s="229">
        <v>0.30759999999999998</v>
      </c>
      <c r="BT129" s="230">
        <v>460671</v>
      </c>
      <c r="BU129" s="230">
        <v>440715</v>
      </c>
      <c r="BV129" s="230">
        <v>19956</v>
      </c>
      <c r="BW129" s="229">
        <v>4.53E-2</v>
      </c>
      <c r="BX129" s="230">
        <v>3150600</v>
      </c>
      <c r="BY129" s="230">
        <v>3118300</v>
      </c>
      <c r="BZ129" s="230">
        <v>32300</v>
      </c>
      <c r="CA129" s="229">
        <v>1.04E-2</v>
      </c>
      <c r="CB129" s="230">
        <v>2527000</v>
      </c>
      <c r="CC129" s="230">
        <v>2498050</v>
      </c>
      <c r="CD129" s="230">
        <v>28950</v>
      </c>
      <c r="CE129" s="229">
        <v>1.1599999999999999E-2</v>
      </c>
      <c r="CF129" s="230">
        <v>617300</v>
      </c>
      <c r="CG129" s="230">
        <v>614750</v>
      </c>
      <c r="CH129" s="230">
        <v>2550</v>
      </c>
      <c r="CI129" s="229">
        <v>4.1000000000000003E-3</v>
      </c>
      <c r="CJ129" s="230">
        <v>6300</v>
      </c>
      <c r="CK129" s="230">
        <v>5500</v>
      </c>
      <c r="CL129" s="228">
        <v>800</v>
      </c>
      <c r="CM129" s="229">
        <v>0.14549999999999999</v>
      </c>
      <c r="CN129" s="230">
        <v>2050450</v>
      </c>
      <c r="CO129" s="230">
        <v>2267400</v>
      </c>
      <c r="CP129" s="230">
        <v>-216950</v>
      </c>
      <c r="CQ129" s="229">
        <v>-9.5699999999999993E-2</v>
      </c>
      <c r="CR129" s="230">
        <v>994100</v>
      </c>
      <c r="CS129" s="230">
        <v>915850</v>
      </c>
      <c r="CT129" s="230">
        <v>78250</v>
      </c>
      <c r="CU129" s="229">
        <v>8.5400000000000004E-2</v>
      </c>
      <c r="CV129" s="230">
        <v>6195150</v>
      </c>
      <c r="CW129" s="230">
        <v>6301550</v>
      </c>
      <c r="CX129" s="230">
        <v>-106400</v>
      </c>
      <c r="CY129" s="229">
        <v>-1.6899999999999998E-2</v>
      </c>
      <c r="CZ129" s="228">
        <v>25.49</v>
      </c>
      <c r="DA129" s="228">
        <v>26.51</v>
      </c>
      <c r="DB129" s="228">
        <v>-1.02</v>
      </c>
      <c r="DC129" s="228">
        <v>-1.02</v>
      </c>
      <c r="DD129" s="228">
        <v>29.05</v>
      </c>
      <c r="DE129" s="228">
        <v>28.97</v>
      </c>
      <c r="DF129" s="228">
        <v>-3.56</v>
      </c>
      <c r="DG129" s="228">
        <v>0.08</v>
      </c>
      <c r="DH129" s="228">
        <v>24.38</v>
      </c>
      <c r="DI129" s="228">
        <v>26.08</v>
      </c>
      <c r="DJ129" s="228">
        <v>-1.7</v>
      </c>
      <c r="DK129" s="228">
        <v>-1.7</v>
      </c>
      <c r="DL129" s="228">
        <v>27.9</v>
      </c>
      <c r="DM129" s="228">
        <v>27.34</v>
      </c>
      <c r="DN129" s="228">
        <v>0.56000000000000005</v>
      </c>
      <c r="DO129" s="228">
        <v>0.56000000000000005</v>
      </c>
      <c r="DP129" s="228">
        <v>0.48</v>
      </c>
      <c r="DQ129" s="228">
        <v>0.4</v>
      </c>
      <c r="DR129" s="228">
        <v>0.08</v>
      </c>
      <c r="DS129" s="229">
        <v>0.2</v>
      </c>
      <c r="DT129" s="231">
        <v>14000</v>
      </c>
      <c r="DU129" s="231">
        <v>12500</v>
      </c>
      <c r="DV129" s="228">
        <v>0.46</v>
      </c>
      <c r="DW129" s="228">
        <v>0.53</v>
      </c>
      <c r="DX129" s="228">
        <v>-7.0000000000000007E-2</v>
      </c>
      <c r="DY129" s="229">
        <v>-0.1321</v>
      </c>
      <c r="DZ129" s="229">
        <v>0.19789999999999999</v>
      </c>
      <c r="EA129" s="230">
        <v>620250</v>
      </c>
      <c r="EB129" s="229">
        <v>6.1000000000000004E-3</v>
      </c>
      <c r="EC129" s="229">
        <v>0.19789999999999999</v>
      </c>
      <c r="ED129" s="228">
        <v>55.73</v>
      </c>
      <c r="EE129" s="229">
        <v>4.1000000000000003E-3</v>
      </c>
      <c r="EF129" s="230">
        <v>199664</v>
      </c>
      <c r="EG129" s="230">
        <v>222260</v>
      </c>
      <c r="EH129" s="229">
        <v>-0.1017</v>
      </c>
      <c r="EI129" s="229">
        <v>0.43340000000000001</v>
      </c>
      <c r="EJ129" s="231">
        <v>520611.65</v>
      </c>
      <c r="EK129" s="231">
        <v>219684.35</v>
      </c>
      <c r="EL129" s="231">
        <v>63587.89</v>
      </c>
      <c r="EM129" s="231">
        <v>14212</v>
      </c>
      <c r="EN129" s="231">
        <v>803883.89</v>
      </c>
      <c r="EO129" s="231">
        <v>611594.64</v>
      </c>
      <c r="EP129" s="231">
        <v>192289.25</v>
      </c>
      <c r="EQ129" s="229">
        <v>0.31440000000000001</v>
      </c>
      <c r="ER129" s="231">
        <v>289327</v>
      </c>
      <c r="ES129" s="231">
        <v>128003</v>
      </c>
      <c r="ET129" s="231">
        <v>435438</v>
      </c>
      <c r="EU129" s="231">
        <v>19673414</v>
      </c>
      <c r="EV129" s="231">
        <v>852768</v>
      </c>
      <c r="EW129" s="231">
        <v>857618</v>
      </c>
      <c r="EX129" s="231">
        <v>-4850</v>
      </c>
      <c r="EY129" s="229">
        <v>-5.7000000000000002E-3</v>
      </c>
      <c r="EZ129" s="229">
        <v>0.31490000000000001</v>
      </c>
      <c r="FA129" s="227" t="s">
        <v>555</v>
      </c>
      <c r="FB129" s="161">
        <f t="shared" si="1"/>
        <v>623600</v>
      </c>
    </row>
    <row r="130" spans="1:158" ht="17.25" thickBot="1" x14ac:dyDescent="0.3">
      <c r="A130" s="226">
        <v>46148</v>
      </c>
      <c r="B130" s="227" t="s">
        <v>170</v>
      </c>
      <c r="C130" s="227" t="s">
        <v>602</v>
      </c>
      <c r="D130" s="228">
        <v>525</v>
      </c>
      <c r="E130" s="231">
        <v>1022.25</v>
      </c>
      <c r="F130" s="231">
        <v>1005.75</v>
      </c>
      <c r="G130" s="228">
        <v>16.5</v>
      </c>
      <c r="H130" s="229">
        <v>1.6400000000000001E-2</v>
      </c>
      <c r="I130" s="231">
        <v>1015.9</v>
      </c>
      <c r="J130" s="231">
        <v>1000.45</v>
      </c>
      <c r="K130" s="228">
        <v>15.45</v>
      </c>
      <c r="L130" s="229">
        <v>1.54E-2</v>
      </c>
      <c r="M130" s="231">
        <v>1022.25</v>
      </c>
      <c r="N130" s="231">
        <v>1005.75</v>
      </c>
      <c r="O130" s="228">
        <v>16.5</v>
      </c>
      <c r="P130" s="229">
        <v>1.6400000000000001E-2</v>
      </c>
      <c r="Q130" s="231">
        <v>1029.3499999999999</v>
      </c>
      <c r="R130" s="231">
        <v>1013.25</v>
      </c>
      <c r="S130" s="228">
        <v>16.100000000000001</v>
      </c>
      <c r="T130" s="229">
        <v>1.5900000000000001E-2</v>
      </c>
      <c r="U130" s="231">
        <v>1035</v>
      </c>
      <c r="V130" s="231">
        <v>1017</v>
      </c>
      <c r="W130" s="228">
        <v>18</v>
      </c>
      <c r="X130" s="229">
        <v>1.77E-2</v>
      </c>
      <c r="Y130" s="228">
        <v>6.35</v>
      </c>
      <c r="Z130" s="228">
        <v>5.3</v>
      </c>
      <c r="AA130" s="228">
        <v>1.05</v>
      </c>
      <c r="AB130" s="229">
        <v>6.3E-3</v>
      </c>
      <c r="AC130" s="228">
        <v>6.35</v>
      </c>
      <c r="AD130" s="228">
        <v>5.3</v>
      </c>
      <c r="AE130" s="228">
        <v>1.05</v>
      </c>
      <c r="AF130" s="229">
        <v>6.3E-3</v>
      </c>
      <c r="AG130" s="228">
        <v>13.45</v>
      </c>
      <c r="AH130" s="228">
        <v>12.8</v>
      </c>
      <c r="AI130" s="228">
        <v>0.65</v>
      </c>
      <c r="AJ130" s="229">
        <v>1.32E-2</v>
      </c>
      <c r="AK130" s="228">
        <v>19.100000000000001</v>
      </c>
      <c r="AL130" s="228">
        <v>16.55</v>
      </c>
      <c r="AM130" s="228">
        <v>2.5499999999999998</v>
      </c>
      <c r="AN130" s="229">
        <v>1.8800000000000001E-2</v>
      </c>
      <c r="AO130" s="231">
        <v>1020.73</v>
      </c>
      <c r="AP130" s="231">
        <v>1025.77</v>
      </c>
      <c r="AQ130" s="228">
        <v>0</v>
      </c>
      <c r="AR130" s="230">
        <v>1121400</v>
      </c>
      <c r="AS130" s="230">
        <v>1036875</v>
      </c>
      <c r="AT130" s="230">
        <v>84525</v>
      </c>
      <c r="AU130" s="229">
        <v>8.1500000000000003E-2</v>
      </c>
      <c r="AV130" s="230">
        <v>1040025</v>
      </c>
      <c r="AW130" s="230">
        <v>944475</v>
      </c>
      <c r="AX130" s="230">
        <v>95550</v>
      </c>
      <c r="AY130" s="229">
        <v>0.1012</v>
      </c>
      <c r="AZ130" s="230">
        <v>76650</v>
      </c>
      <c r="BA130" s="230">
        <v>91875</v>
      </c>
      <c r="BB130" s="230">
        <v>-15225</v>
      </c>
      <c r="BC130" s="229">
        <v>-0.16569999999999999</v>
      </c>
      <c r="BD130" s="230">
        <v>4725</v>
      </c>
      <c r="BE130" s="228">
        <v>525</v>
      </c>
      <c r="BF130" s="230">
        <v>4200</v>
      </c>
      <c r="BG130" s="229">
        <v>8</v>
      </c>
      <c r="BH130" s="230">
        <v>2004975</v>
      </c>
      <c r="BI130" s="230">
        <v>1106700</v>
      </c>
      <c r="BJ130" s="230">
        <v>898275</v>
      </c>
      <c r="BK130" s="229">
        <v>0.81169999999999998</v>
      </c>
      <c r="BL130" s="230">
        <v>894075</v>
      </c>
      <c r="BM130" s="230">
        <v>801675</v>
      </c>
      <c r="BN130" s="230">
        <v>92400</v>
      </c>
      <c r="BO130" s="229">
        <v>0.1153</v>
      </c>
      <c r="BP130" s="230">
        <v>4020450</v>
      </c>
      <c r="BQ130" s="230">
        <v>2945250</v>
      </c>
      <c r="BR130" s="230">
        <v>1075200</v>
      </c>
      <c r="BS130" s="229">
        <v>0.36509999999999998</v>
      </c>
      <c r="BT130" s="230">
        <v>1356559</v>
      </c>
      <c r="BU130" s="230">
        <v>990491</v>
      </c>
      <c r="BV130" s="230">
        <v>366068</v>
      </c>
      <c r="BW130" s="229">
        <v>0.36959999999999998</v>
      </c>
      <c r="BX130" s="230">
        <v>13322400</v>
      </c>
      <c r="BY130" s="230">
        <v>13389600</v>
      </c>
      <c r="BZ130" s="230">
        <v>-67200</v>
      </c>
      <c r="CA130" s="229">
        <v>-5.0000000000000001E-3</v>
      </c>
      <c r="CB130" s="230">
        <v>12048750</v>
      </c>
      <c r="CC130" s="230">
        <v>12144300</v>
      </c>
      <c r="CD130" s="230">
        <v>-95550</v>
      </c>
      <c r="CE130" s="229">
        <v>-7.9000000000000008E-3</v>
      </c>
      <c r="CF130" s="230">
        <v>1256850</v>
      </c>
      <c r="CG130" s="230">
        <v>1232175</v>
      </c>
      <c r="CH130" s="230">
        <v>24675</v>
      </c>
      <c r="CI130" s="229">
        <v>0.02</v>
      </c>
      <c r="CJ130" s="230">
        <v>16800</v>
      </c>
      <c r="CK130" s="230">
        <v>13125</v>
      </c>
      <c r="CL130" s="230">
        <v>3675</v>
      </c>
      <c r="CM130" s="229">
        <v>0.28000000000000003</v>
      </c>
      <c r="CN130" s="230">
        <v>2504775</v>
      </c>
      <c r="CO130" s="230">
        <v>2239650</v>
      </c>
      <c r="CP130" s="230">
        <v>265125</v>
      </c>
      <c r="CQ130" s="229">
        <v>0.11840000000000001</v>
      </c>
      <c r="CR130" s="230">
        <v>1277325</v>
      </c>
      <c r="CS130" s="230">
        <v>1311975</v>
      </c>
      <c r="CT130" s="230">
        <v>-34650</v>
      </c>
      <c r="CU130" s="229">
        <v>-2.64E-2</v>
      </c>
      <c r="CV130" s="230">
        <v>17104500</v>
      </c>
      <c r="CW130" s="230">
        <v>16941225</v>
      </c>
      <c r="CX130" s="230">
        <v>163275</v>
      </c>
      <c r="CY130" s="229">
        <v>9.5999999999999992E-3</v>
      </c>
      <c r="CZ130" s="228">
        <v>29.34</v>
      </c>
      <c r="DA130" s="228">
        <v>30.72</v>
      </c>
      <c r="DB130" s="228">
        <v>-1.38</v>
      </c>
      <c r="DC130" s="228">
        <v>-1.38</v>
      </c>
      <c r="DD130" s="228">
        <v>35.58</v>
      </c>
      <c r="DE130" s="228">
        <v>35.61</v>
      </c>
      <c r="DF130" s="228">
        <v>-6.24</v>
      </c>
      <c r="DG130" s="228">
        <v>-0.03</v>
      </c>
      <c r="DH130" s="228">
        <v>29.52</v>
      </c>
      <c r="DI130" s="228">
        <v>30.93</v>
      </c>
      <c r="DJ130" s="228">
        <v>-1.41</v>
      </c>
      <c r="DK130" s="228">
        <v>-1.41</v>
      </c>
      <c r="DL130" s="228">
        <v>28.92</v>
      </c>
      <c r="DM130" s="228">
        <v>30.43</v>
      </c>
      <c r="DN130" s="228">
        <v>-1.51</v>
      </c>
      <c r="DO130" s="228">
        <v>-1.51</v>
      </c>
      <c r="DP130" s="228">
        <v>0.51</v>
      </c>
      <c r="DQ130" s="228">
        <v>0.59</v>
      </c>
      <c r="DR130" s="228">
        <v>-0.08</v>
      </c>
      <c r="DS130" s="229">
        <v>-0.1356</v>
      </c>
      <c r="DT130" s="231">
        <v>1100</v>
      </c>
      <c r="DU130" s="231">
        <v>1000</v>
      </c>
      <c r="DV130" s="228">
        <v>0.45</v>
      </c>
      <c r="DW130" s="228">
        <v>0.72</v>
      </c>
      <c r="DX130" s="228">
        <v>-0.27</v>
      </c>
      <c r="DY130" s="229">
        <v>-0.375</v>
      </c>
      <c r="DZ130" s="229">
        <v>9.5600000000000004E-2</v>
      </c>
      <c r="EA130" s="230">
        <v>1245300</v>
      </c>
      <c r="EB130" s="229">
        <v>6.8999999999999999E-3</v>
      </c>
      <c r="EC130" s="229">
        <v>9.5600000000000004E-2</v>
      </c>
      <c r="ED130" s="228">
        <v>5.04</v>
      </c>
      <c r="EE130" s="229">
        <v>4.8999999999999998E-3</v>
      </c>
      <c r="EF130" s="230">
        <v>885346</v>
      </c>
      <c r="EG130" s="230">
        <v>429677</v>
      </c>
      <c r="EH130" s="229">
        <v>1.0605</v>
      </c>
      <c r="EI130" s="229">
        <v>0.65259999999999996</v>
      </c>
      <c r="EJ130" s="231">
        <v>21449.02</v>
      </c>
      <c r="EK130" s="231">
        <v>9096.5400000000009</v>
      </c>
      <c r="EL130" s="231">
        <v>11450.89</v>
      </c>
      <c r="EM130" s="231">
        <v>2813</v>
      </c>
      <c r="EN130" s="231">
        <v>41996.45</v>
      </c>
      <c r="EO130" s="231">
        <v>30419.43</v>
      </c>
      <c r="EP130" s="231">
        <v>11577.02</v>
      </c>
      <c r="EQ130" s="229">
        <v>0.38059999999999999</v>
      </c>
      <c r="ER130" s="231">
        <v>26558</v>
      </c>
      <c r="ES130" s="231">
        <v>12759</v>
      </c>
      <c r="ET130" s="231">
        <v>136280</v>
      </c>
      <c r="EU130" s="231">
        <v>111298748</v>
      </c>
      <c r="EV130" s="231">
        <v>175596</v>
      </c>
      <c r="EW130" s="231">
        <v>171503</v>
      </c>
      <c r="EX130" s="231">
        <v>4093</v>
      </c>
      <c r="EY130" s="229">
        <v>2.3900000000000001E-2</v>
      </c>
      <c r="EZ130" s="229">
        <v>0.1537</v>
      </c>
      <c r="FA130" s="227" t="s">
        <v>691</v>
      </c>
      <c r="FB130" s="161">
        <f t="shared" si="1"/>
        <v>1273650</v>
      </c>
    </row>
    <row r="131" spans="1:158" ht="17.25" thickBot="1" x14ac:dyDescent="0.3">
      <c r="A131" s="226">
        <v>46148</v>
      </c>
      <c r="B131" s="227" t="s">
        <v>215</v>
      </c>
      <c r="C131" s="227" t="s">
        <v>670</v>
      </c>
      <c r="D131" s="228">
        <v>200</v>
      </c>
      <c r="E131" s="231">
        <v>2658.7</v>
      </c>
      <c r="F131" s="231">
        <v>2644.5</v>
      </c>
      <c r="G131" s="228">
        <v>14.2</v>
      </c>
      <c r="H131" s="229">
        <v>5.4000000000000003E-3</v>
      </c>
      <c r="I131" s="231">
        <v>2644.5</v>
      </c>
      <c r="J131" s="231">
        <v>2633.4</v>
      </c>
      <c r="K131" s="228">
        <v>11.1</v>
      </c>
      <c r="L131" s="229">
        <v>4.1999999999999997E-3</v>
      </c>
      <c r="M131" s="231">
        <v>2658.7</v>
      </c>
      <c r="N131" s="231">
        <v>2644.5</v>
      </c>
      <c r="O131" s="228">
        <v>14.2</v>
      </c>
      <c r="P131" s="229">
        <v>5.4000000000000003E-3</v>
      </c>
      <c r="Q131" s="231">
        <v>2670.5</v>
      </c>
      <c r="R131" s="231">
        <v>2660.6</v>
      </c>
      <c r="S131" s="228">
        <v>9.9</v>
      </c>
      <c r="T131" s="229">
        <v>3.7000000000000002E-3</v>
      </c>
      <c r="U131" s="231">
        <v>2683.2</v>
      </c>
      <c r="V131" s="231">
        <v>2675.1</v>
      </c>
      <c r="W131" s="228">
        <v>8.1</v>
      </c>
      <c r="X131" s="229">
        <v>3.0000000000000001E-3</v>
      </c>
      <c r="Y131" s="228">
        <v>14.2</v>
      </c>
      <c r="Z131" s="228">
        <v>11.1</v>
      </c>
      <c r="AA131" s="228">
        <v>3.1</v>
      </c>
      <c r="AB131" s="229">
        <v>5.4000000000000003E-3</v>
      </c>
      <c r="AC131" s="228">
        <v>14.2</v>
      </c>
      <c r="AD131" s="228">
        <v>11.1</v>
      </c>
      <c r="AE131" s="228">
        <v>3.1</v>
      </c>
      <c r="AF131" s="229">
        <v>5.4000000000000003E-3</v>
      </c>
      <c r="AG131" s="228">
        <v>26</v>
      </c>
      <c r="AH131" s="228">
        <v>27.2</v>
      </c>
      <c r="AI131" s="228">
        <v>-1.2</v>
      </c>
      <c r="AJ131" s="229">
        <v>9.7999999999999997E-3</v>
      </c>
      <c r="AK131" s="228">
        <v>38.700000000000003</v>
      </c>
      <c r="AL131" s="228">
        <v>41.7</v>
      </c>
      <c r="AM131" s="228">
        <v>-3</v>
      </c>
      <c r="AN131" s="229">
        <v>1.46E-2</v>
      </c>
      <c r="AO131" s="231">
        <v>2657.58</v>
      </c>
      <c r="AP131" s="231">
        <v>2667.45</v>
      </c>
      <c r="AQ131" s="228">
        <v>0</v>
      </c>
      <c r="AR131" s="230">
        <v>724000</v>
      </c>
      <c r="AS131" s="230">
        <v>1012800</v>
      </c>
      <c r="AT131" s="230">
        <v>-288800</v>
      </c>
      <c r="AU131" s="229">
        <v>-0.28520000000000001</v>
      </c>
      <c r="AV131" s="230">
        <v>670000</v>
      </c>
      <c r="AW131" s="230">
        <v>946400</v>
      </c>
      <c r="AX131" s="230">
        <v>-276400</v>
      </c>
      <c r="AY131" s="229">
        <v>-0.29210000000000003</v>
      </c>
      <c r="AZ131" s="230">
        <v>49000</v>
      </c>
      <c r="BA131" s="230">
        <v>53800</v>
      </c>
      <c r="BB131" s="230">
        <v>-4800</v>
      </c>
      <c r="BC131" s="229">
        <v>-8.9200000000000002E-2</v>
      </c>
      <c r="BD131" s="230">
        <v>5000</v>
      </c>
      <c r="BE131" s="230">
        <v>12600</v>
      </c>
      <c r="BF131" s="230">
        <v>-7600</v>
      </c>
      <c r="BG131" s="229">
        <v>-0.60319999999999996</v>
      </c>
      <c r="BH131" s="230">
        <v>3126400</v>
      </c>
      <c r="BI131" s="230">
        <v>3658000</v>
      </c>
      <c r="BJ131" s="230">
        <v>-531600</v>
      </c>
      <c r="BK131" s="229">
        <v>-0.14530000000000001</v>
      </c>
      <c r="BL131" s="230">
        <v>919400</v>
      </c>
      <c r="BM131" s="230">
        <v>1130000</v>
      </c>
      <c r="BN131" s="230">
        <v>-210600</v>
      </c>
      <c r="BO131" s="229">
        <v>-0.18640000000000001</v>
      </c>
      <c r="BP131" s="230">
        <v>4769800</v>
      </c>
      <c r="BQ131" s="230">
        <v>5800800</v>
      </c>
      <c r="BR131" s="230">
        <v>-1031000</v>
      </c>
      <c r="BS131" s="229">
        <v>-0.1777</v>
      </c>
      <c r="BT131" s="230">
        <v>1182473</v>
      </c>
      <c r="BU131" s="230">
        <v>1886697</v>
      </c>
      <c r="BV131" s="230">
        <v>-704224</v>
      </c>
      <c r="BW131" s="229">
        <v>-0.37330000000000002</v>
      </c>
      <c r="BX131" s="230">
        <v>4864175</v>
      </c>
      <c r="BY131" s="230">
        <v>4858775</v>
      </c>
      <c r="BZ131" s="230">
        <v>5400</v>
      </c>
      <c r="CA131" s="229">
        <v>1.1000000000000001E-3</v>
      </c>
      <c r="CB131" s="230">
        <v>4625400</v>
      </c>
      <c r="CC131" s="230">
        <v>4616600</v>
      </c>
      <c r="CD131" s="230">
        <v>8800</v>
      </c>
      <c r="CE131" s="229">
        <v>1.9E-3</v>
      </c>
      <c r="CF131" s="230">
        <v>177800</v>
      </c>
      <c r="CG131" s="230">
        <v>179400</v>
      </c>
      <c r="CH131" s="230">
        <v>-1600</v>
      </c>
      <c r="CI131" s="229">
        <v>-8.8999999999999999E-3</v>
      </c>
      <c r="CJ131" s="230">
        <v>60975</v>
      </c>
      <c r="CK131" s="230">
        <v>62775</v>
      </c>
      <c r="CL131" s="230">
        <v>-1800</v>
      </c>
      <c r="CM131" s="229">
        <v>-2.87E-2</v>
      </c>
      <c r="CN131" s="230">
        <v>4426000</v>
      </c>
      <c r="CO131" s="230">
        <v>4416000</v>
      </c>
      <c r="CP131" s="230">
        <v>10000</v>
      </c>
      <c r="CQ131" s="229">
        <v>2.3E-3</v>
      </c>
      <c r="CR131" s="230">
        <v>1853200</v>
      </c>
      <c r="CS131" s="230">
        <v>1832200</v>
      </c>
      <c r="CT131" s="230">
        <v>21000</v>
      </c>
      <c r="CU131" s="229">
        <v>1.15E-2</v>
      </c>
      <c r="CV131" s="230">
        <v>11143375</v>
      </c>
      <c r="CW131" s="230">
        <v>11106975</v>
      </c>
      <c r="CX131" s="230">
        <v>36400</v>
      </c>
      <c r="CY131" s="229">
        <v>3.3E-3</v>
      </c>
      <c r="CZ131" s="228">
        <v>39.04</v>
      </c>
      <c r="DA131" s="228">
        <v>41.18</v>
      </c>
      <c r="DB131" s="228">
        <v>-2.14</v>
      </c>
      <c r="DC131" s="228">
        <v>-2.14</v>
      </c>
      <c r="DD131" s="228">
        <v>55.09</v>
      </c>
      <c r="DE131" s="228">
        <v>55.22</v>
      </c>
      <c r="DF131" s="228">
        <v>-16.05</v>
      </c>
      <c r="DG131" s="228">
        <v>-0.13</v>
      </c>
      <c r="DH131" s="228">
        <v>39.369999999999997</v>
      </c>
      <c r="DI131" s="228">
        <v>41.25</v>
      </c>
      <c r="DJ131" s="228">
        <v>-1.88</v>
      </c>
      <c r="DK131" s="228">
        <v>-1.88</v>
      </c>
      <c r="DL131" s="228">
        <v>37.93</v>
      </c>
      <c r="DM131" s="228">
        <v>40.97</v>
      </c>
      <c r="DN131" s="228">
        <v>-3.04</v>
      </c>
      <c r="DO131" s="228">
        <v>-3.04</v>
      </c>
      <c r="DP131" s="228">
        <v>0.42</v>
      </c>
      <c r="DQ131" s="228">
        <v>0.41</v>
      </c>
      <c r="DR131" s="228">
        <v>0.01</v>
      </c>
      <c r="DS131" s="229">
        <v>2.4400000000000002E-2</v>
      </c>
      <c r="DT131" s="231">
        <v>2800</v>
      </c>
      <c r="DU131" s="231">
        <v>2600</v>
      </c>
      <c r="DV131" s="228">
        <v>0.28999999999999998</v>
      </c>
      <c r="DW131" s="228">
        <v>0.31</v>
      </c>
      <c r="DX131" s="228">
        <v>-0.02</v>
      </c>
      <c r="DY131" s="229">
        <v>-6.4500000000000002E-2</v>
      </c>
      <c r="DZ131" s="229">
        <v>4.9099999999999998E-2</v>
      </c>
      <c r="EA131" s="230">
        <v>242175</v>
      </c>
      <c r="EB131" s="229">
        <v>4.4000000000000003E-3</v>
      </c>
      <c r="EC131" s="229">
        <v>4.9099999999999998E-2</v>
      </c>
      <c r="ED131" s="228">
        <v>9.8699999999999992</v>
      </c>
      <c r="EE131" s="229">
        <v>3.7000000000000002E-3</v>
      </c>
      <c r="EF131" s="230">
        <v>321724</v>
      </c>
      <c r="EG131" s="230">
        <v>418660</v>
      </c>
      <c r="EH131" s="229">
        <v>-0.23150000000000001</v>
      </c>
      <c r="EI131" s="229">
        <v>0.27210000000000001</v>
      </c>
      <c r="EJ131" s="231">
        <v>88611.48</v>
      </c>
      <c r="EK131" s="231">
        <v>24191.66</v>
      </c>
      <c r="EL131" s="231">
        <v>19263.810000000001</v>
      </c>
      <c r="EM131" s="231">
        <v>9577</v>
      </c>
      <c r="EN131" s="231">
        <v>132066.95000000001</v>
      </c>
      <c r="EO131" s="231">
        <v>159411.76</v>
      </c>
      <c r="EP131" s="231">
        <v>-27344.81</v>
      </c>
      <c r="EQ131" s="229">
        <v>-0.17150000000000001</v>
      </c>
      <c r="ER131" s="231">
        <v>124025</v>
      </c>
      <c r="ES131" s="231">
        <v>47799</v>
      </c>
      <c r="ET131" s="231">
        <v>129360</v>
      </c>
      <c r="EU131" s="231">
        <v>11364224</v>
      </c>
      <c r="EV131" s="231">
        <v>301183</v>
      </c>
      <c r="EW131" s="231">
        <v>299443</v>
      </c>
      <c r="EX131" s="231">
        <v>1740</v>
      </c>
      <c r="EY131" s="229">
        <v>5.7999999999999996E-3</v>
      </c>
      <c r="EZ131" s="229">
        <v>0.98060000000000003</v>
      </c>
      <c r="FA131" s="227" t="s">
        <v>555</v>
      </c>
      <c r="FB131" s="161">
        <f t="shared" ref="FB131:FB138" si="2">BX131-CB131</f>
        <v>238775</v>
      </c>
    </row>
    <row r="132" spans="1:158" ht="17.25" thickBot="1" x14ac:dyDescent="0.3">
      <c r="A132" s="226">
        <v>46148</v>
      </c>
      <c r="B132" s="227" t="s">
        <v>175</v>
      </c>
      <c r="C132" s="227" t="s">
        <v>517</v>
      </c>
      <c r="D132" s="228">
        <v>625</v>
      </c>
      <c r="E132" s="231">
        <v>2987.3</v>
      </c>
      <c r="F132" s="231">
        <v>2918.4</v>
      </c>
      <c r="G132" s="228">
        <v>68.900000000000006</v>
      </c>
      <c r="H132" s="229">
        <v>2.3599999999999999E-2</v>
      </c>
      <c r="I132" s="231">
        <v>2973.2</v>
      </c>
      <c r="J132" s="231">
        <v>2902.5</v>
      </c>
      <c r="K132" s="228">
        <v>70.7</v>
      </c>
      <c r="L132" s="229">
        <v>2.4400000000000002E-2</v>
      </c>
      <c r="M132" s="231">
        <v>2987.3</v>
      </c>
      <c r="N132" s="231">
        <v>2918.4</v>
      </c>
      <c r="O132" s="228">
        <v>68.900000000000006</v>
      </c>
      <c r="P132" s="229">
        <v>2.3599999999999999E-2</v>
      </c>
      <c r="Q132" s="231">
        <v>3001.3</v>
      </c>
      <c r="R132" s="231">
        <v>2937.2</v>
      </c>
      <c r="S132" s="228">
        <v>64.099999999999994</v>
      </c>
      <c r="T132" s="229">
        <v>2.18E-2</v>
      </c>
      <c r="U132" s="231">
        <v>3021.2</v>
      </c>
      <c r="V132" s="231">
        <v>2952.1</v>
      </c>
      <c r="W132" s="228">
        <v>69.099999999999994</v>
      </c>
      <c r="X132" s="229">
        <v>2.3400000000000001E-2</v>
      </c>
      <c r="Y132" s="228">
        <v>14.1</v>
      </c>
      <c r="Z132" s="228">
        <v>15.9</v>
      </c>
      <c r="AA132" s="228">
        <v>-1.8</v>
      </c>
      <c r="AB132" s="229">
        <v>4.7000000000000002E-3</v>
      </c>
      <c r="AC132" s="228">
        <v>14.1</v>
      </c>
      <c r="AD132" s="228">
        <v>15.9</v>
      </c>
      <c r="AE132" s="228">
        <v>-1.8</v>
      </c>
      <c r="AF132" s="229">
        <v>4.7000000000000002E-3</v>
      </c>
      <c r="AG132" s="228">
        <v>28.1</v>
      </c>
      <c r="AH132" s="228">
        <v>34.700000000000003</v>
      </c>
      <c r="AI132" s="228">
        <v>-6.6</v>
      </c>
      <c r="AJ132" s="229">
        <v>9.4999999999999998E-3</v>
      </c>
      <c r="AK132" s="228">
        <v>48</v>
      </c>
      <c r="AL132" s="228">
        <v>49.6</v>
      </c>
      <c r="AM132" s="228">
        <v>-1.6</v>
      </c>
      <c r="AN132" s="229">
        <v>1.61E-2</v>
      </c>
      <c r="AO132" s="231">
        <v>2972.23</v>
      </c>
      <c r="AP132" s="231">
        <v>2989.3</v>
      </c>
      <c r="AQ132" s="228">
        <v>0</v>
      </c>
      <c r="AR132" s="230">
        <v>2816875</v>
      </c>
      <c r="AS132" s="230">
        <v>2166875</v>
      </c>
      <c r="AT132" s="230">
        <v>650000</v>
      </c>
      <c r="AU132" s="229">
        <v>0.3</v>
      </c>
      <c r="AV132" s="230">
        <v>2553750</v>
      </c>
      <c r="AW132" s="230">
        <v>1911875</v>
      </c>
      <c r="AX132" s="230">
        <v>641875</v>
      </c>
      <c r="AY132" s="229">
        <v>0.3357</v>
      </c>
      <c r="AZ132" s="230">
        <v>196250</v>
      </c>
      <c r="BA132" s="230">
        <v>179375</v>
      </c>
      <c r="BB132" s="230">
        <v>16875</v>
      </c>
      <c r="BC132" s="229">
        <v>9.4100000000000003E-2</v>
      </c>
      <c r="BD132" s="230">
        <v>66875</v>
      </c>
      <c r="BE132" s="230">
        <v>75625</v>
      </c>
      <c r="BF132" s="230">
        <v>-8750</v>
      </c>
      <c r="BG132" s="229">
        <v>-0.1157</v>
      </c>
      <c r="BH132" s="230">
        <v>7715000</v>
      </c>
      <c r="BI132" s="230">
        <v>6115625</v>
      </c>
      <c r="BJ132" s="230">
        <v>1599375</v>
      </c>
      <c r="BK132" s="229">
        <v>0.26150000000000001</v>
      </c>
      <c r="BL132" s="230">
        <v>4860625</v>
      </c>
      <c r="BM132" s="230">
        <v>3893125</v>
      </c>
      <c r="BN132" s="230">
        <v>967500</v>
      </c>
      <c r="BO132" s="229">
        <v>0.2485</v>
      </c>
      <c r="BP132" s="230">
        <v>15392500</v>
      </c>
      <c r="BQ132" s="230">
        <v>12175625</v>
      </c>
      <c r="BR132" s="230">
        <v>3216875</v>
      </c>
      <c r="BS132" s="229">
        <v>0.26419999999999999</v>
      </c>
      <c r="BT132" s="230">
        <v>2104774</v>
      </c>
      <c r="BU132" s="230">
        <v>1825137</v>
      </c>
      <c r="BV132" s="230">
        <v>279637</v>
      </c>
      <c r="BW132" s="229">
        <v>0.1532</v>
      </c>
      <c r="BX132" s="230">
        <v>12676200</v>
      </c>
      <c r="BY132" s="230">
        <v>12971400</v>
      </c>
      <c r="BZ132" s="230">
        <v>-295200</v>
      </c>
      <c r="CA132" s="229">
        <v>-2.2800000000000001E-2</v>
      </c>
      <c r="CB132" s="230">
        <v>12197500</v>
      </c>
      <c r="CC132" s="230">
        <v>12474375</v>
      </c>
      <c r="CD132" s="230">
        <v>-276875</v>
      </c>
      <c r="CE132" s="229">
        <v>-2.2200000000000001E-2</v>
      </c>
      <c r="CF132" s="230">
        <v>423125</v>
      </c>
      <c r="CG132" s="230">
        <v>438750</v>
      </c>
      <c r="CH132" s="230">
        <v>-15625</v>
      </c>
      <c r="CI132" s="229">
        <v>-3.56E-2</v>
      </c>
      <c r="CJ132" s="230">
        <v>55575</v>
      </c>
      <c r="CK132" s="230">
        <v>58275</v>
      </c>
      <c r="CL132" s="230">
        <v>-2700</v>
      </c>
      <c r="CM132" s="229">
        <v>-4.6300000000000001E-2</v>
      </c>
      <c r="CN132" s="230">
        <v>4812500</v>
      </c>
      <c r="CO132" s="230">
        <v>4919375</v>
      </c>
      <c r="CP132" s="230">
        <v>-106875</v>
      </c>
      <c r="CQ132" s="229">
        <v>-2.1700000000000001E-2</v>
      </c>
      <c r="CR132" s="230">
        <v>3738125</v>
      </c>
      <c r="CS132" s="230">
        <v>3386875</v>
      </c>
      <c r="CT132" s="230">
        <v>351250</v>
      </c>
      <c r="CU132" s="229">
        <v>0.1037</v>
      </c>
      <c r="CV132" s="230">
        <v>21226825</v>
      </c>
      <c r="CW132" s="230">
        <v>21277650</v>
      </c>
      <c r="CX132" s="230">
        <v>-50825</v>
      </c>
      <c r="CY132" s="229">
        <v>-2.3999999999999998E-3</v>
      </c>
      <c r="CZ132" s="228">
        <v>44.13</v>
      </c>
      <c r="DA132" s="228">
        <v>45.64</v>
      </c>
      <c r="DB132" s="228">
        <v>-1.51</v>
      </c>
      <c r="DC132" s="228">
        <v>-1.51</v>
      </c>
      <c r="DD132" s="228">
        <v>49.04</v>
      </c>
      <c r="DE132" s="228">
        <v>49.06</v>
      </c>
      <c r="DF132" s="228">
        <v>-4.91</v>
      </c>
      <c r="DG132" s="228">
        <v>-0.02</v>
      </c>
      <c r="DH132" s="228">
        <v>42.81</v>
      </c>
      <c r="DI132" s="228">
        <v>45.11</v>
      </c>
      <c r="DJ132" s="228">
        <v>-2.2999999999999998</v>
      </c>
      <c r="DK132" s="228">
        <v>-2.2999999999999998</v>
      </c>
      <c r="DL132" s="228">
        <v>46.22</v>
      </c>
      <c r="DM132" s="228">
        <v>46.46</v>
      </c>
      <c r="DN132" s="228">
        <v>-0.24</v>
      </c>
      <c r="DO132" s="228">
        <v>-0.24</v>
      </c>
      <c r="DP132" s="228">
        <v>0.78</v>
      </c>
      <c r="DQ132" s="228">
        <v>0.69</v>
      </c>
      <c r="DR132" s="228">
        <v>0.09</v>
      </c>
      <c r="DS132" s="229">
        <v>0.13039999999999999</v>
      </c>
      <c r="DT132" s="231">
        <v>3000</v>
      </c>
      <c r="DU132" s="231">
        <v>2800</v>
      </c>
      <c r="DV132" s="228">
        <v>0.63</v>
      </c>
      <c r="DW132" s="228">
        <v>0.64</v>
      </c>
      <c r="DX132" s="228">
        <v>-0.01</v>
      </c>
      <c r="DY132" s="229">
        <v>-1.5599999999999999E-2</v>
      </c>
      <c r="DZ132" s="229">
        <v>3.78E-2</v>
      </c>
      <c r="EA132" s="230">
        <v>497025</v>
      </c>
      <c r="EB132" s="229">
        <v>4.7000000000000002E-3</v>
      </c>
      <c r="EC132" s="229">
        <v>3.78E-2</v>
      </c>
      <c r="ED132" s="228">
        <v>17.07</v>
      </c>
      <c r="EE132" s="229">
        <v>5.7000000000000002E-3</v>
      </c>
      <c r="EF132" s="230">
        <v>901735</v>
      </c>
      <c r="EG132" s="230">
        <v>662747</v>
      </c>
      <c r="EH132" s="229">
        <v>0.36059999999999998</v>
      </c>
      <c r="EI132" s="229">
        <v>0.4284</v>
      </c>
      <c r="EJ132" s="231">
        <v>244654.17</v>
      </c>
      <c r="EK132" s="231">
        <v>137903.73000000001</v>
      </c>
      <c r="EL132" s="231">
        <v>82492.539999999994</v>
      </c>
      <c r="EM132" s="231">
        <v>5130</v>
      </c>
      <c r="EN132" s="231">
        <v>465050.44</v>
      </c>
      <c r="EO132" s="231">
        <v>364104.7</v>
      </c>
      <c r="EP132" s="231">
        <v>100945.74</v>
      </c>
      <c r="EQ132" s="229">
        <v>0.2772</v>
      </c>
      <c r="ER132" s="231">
        <v>146839</v>
      </c>
      <c r="ES132" s="231">
        <v>101938</v>
      </c>
      <c r="ET132" s="231">
        <v>378754</v>
      </c>
      <c r="EU132" s="231">
        <v>38177113</v>
      </c>
      <c r="EV132" s="231">
        <v>627532</v>
      </c>
      <c r="EW132" s="231">
        <v>619809</v>
      </c>
      <c r="EX132" s="231">
        <v>7723</v>
      </c>
      <c r="EY132" s="229">
        <v>1.2500000000000001E-2</v>
      </c>
      <c r="EZ132" s="229">
        <v>0.55600000000000005</v>
      </c>
      <c r="FA132" s="227" t="s">
        <v>691</v>
      </c>
      <c r="FB132" s="161">
        <f t="shared" si="2"/>
        <v>478700</v>
      </c>
    </row>
    <row r="133" spans="1:158" ht="17.25" thickBot="1" x14ac:dyDescent="0.3">
      <c r="A133" s="226">
        <v>46148</v>
      </c>
      <c r="B133" s="227" t="s">
        <v>175</v>
      </c>
      <c r="C133" s="227" t="s">
        <v>257</v>
      </c>
      <c r="D133" s="228">
        <v>400</v>
      </c>
      <c r="E133" s="231">
        <v>1663.9</v>
      </c>
      <c r="F133" s="231">
        <v>1605.5</v>
      </c>
      <c r="G133" s="228">
        <v>58.4</v>
      </c>
      <c r="H133" s="229">
        <v>3.6400000000000002E-2</v>
      </c>
      <c r="I133" s="231">
        <v>1652.8</v>
      </c>
      <c r="J133" s="231">
        <v>1596.2</v>
      </c>
      <c r="K133" s="228">
        <v>56.6</v>
      </c>
      <c r="L133" s="229">
        <v>3.5499999999999997E-2</v>
      </c>
      <c r="M133" s="231">
        <v>1663.9</v>
      </c>
      <c r="N133" s="231">
        <v>1605.5</v>
      </c>
      <c r="O133" s="228">
        <v>58.4</v>
      </c>
      <c r="P133" s="229">
        <v>3.6400000000000002E-2</v>
      </c>
      <c r="Q133" s="231">
        <v>1675.4</v>
      </c>
      <c r="R133" s="231">
        <v>1616.5</v>
      </c>
      <c r="S133" s="228">
        <v>58.9</v>
      </c>
      <c r="T133" s="229">
        <v>3.6400000000000002E-2</v>
      </c>
      <c r="U133" s="231">
        <v>1679</v>
      </c>
      <c r="V133" s="231">
        <v>1600</v>
      </c>
      <c r="W133" s="228">
        <v>79</v>
      </c>
      <c r="X133" s="229">
        <v>4.9399999999999999E-2</v>
      </c>
      <c r="Y133" s="228">
        <v>11.1</v>
      </c>
      <c r="Z133" s="228">
        <v>9.3000000000000007</v>
      </c>
      <c r="AA133" s="228">
        <v>1.8</v>
      </c>
      <c r="AB133" s="229">
        <v>6.7000000000000002E-3</v>
      </c>
      <c r="AC133" s="228">
        <v>11.1</v>
      </c>
      <c r="AD133" s="228">
        <v>9.3000000000000007</v>
      </c>
      <c r="AE133" s="228">
        <v>1.8</v>
      </c>
      <c r="AF133" s="229">
        <v>6.7000000000000002E-3</v>
      </c>
      <c r="AG133" s="228">
        <v>22.6</v>
      </c>
      <c r="AH133" s="228">
        <v>20.3</v>
      </c>
      <c r="AI133" s="228">
        <v>2.2999999999999998</v>
      </c>
      <c r="AJ133" s="229">
        <v>1.37E-2</v>
      </c>
      <c r="AK133" s="228">
        <v>26.2</v>
      </c>
      <c r="AL133" s="228">
        <v>3.8</v>
      </c>
      <c r="AM133" s="228">
        <v>22.4</v>
      </c>
      <c r="AN133" s="229">
        <v>1.5900000000000001E-2</v>
      </c>
      <c r="AO133" s="231">
        <v>1648.67</v>
      </c>
      <c r="AP133" s="231">
        <v>1652.4</v>
      </c>
      <c r="AQ133" s="228">
        <v>0</v>
      </c>
      <c r="AR133" s="230">
        <v>834400</v>
      </c>
      <c r="AS133" s="230">
        <v>592400</v>
      </c>
      <c r="AT133" s="230">
        <v>242000</v>
      </c>
      <c r="AU133" s="229">
        <v>0.40849999999999997</v>
      </c>
      <c r="AV133" s="230">
        <v>812800</v>
      </c>
      <c r="AW133" s="230">
        <v>584400</v>
      </c>
      <c r="AX133" s="230">
        <v>228400</v>
      </c>
      <c r="AY133" s="229">
        <v>0.39079999999999998</v>
      </c>
      <c r="AZ133" s="230">
        <v>20400</v>
      </c>
      <c r="BA133" s="230">
        <v>8000</v>
      </c>
      <c r="BB133" s="230">
        <v>12400</v>
      </c>
      <c r="BC133" s="229">
        <v>1.55</v>
      </c>
      <c r="BD133" s="230">
        <v>1200</v>
      </c>
      <c r="BE133" s="228">
        <v>0</v>
      </c>
      <c r="BF133" s="230">
        <v>1200</v>
      </c>
      <c r="BG133" s="229">
        <v>0</v>
      </c>
      <c r="BH133" s="230">
        <v>1326800</v>
      </c>
      <c r="BI133" s="230">
        <v>412800</v>
      </c>
      <c r="BJ133" s="230">
        <v>914000</v>
      </c>
      <c r="BK133" s="229">
        <v>2.2141000000000002</v>
      </c>
      <c r="BL133" s="230">
        <v>328400</v>
      </c>
      <c r="BM133" s="230">
        <v>148800</v>
      </c>
      <c r="BN133" s="230">
        <v>179600</v>
      </c>
      <c r="BO133" s="229">
        <v>1.2070000000000001</v>
      </c>
      <c r="BP133" s="230">
        <v>2489600</v>
      </c>
      <c r="BQ133" s="230">
        <v>1154000</v>
      </c>
      <c r="BR133" s="230">
        <v>1335600</v>
      </c>
      <c r="BS133" s="229">
        <v>1.1574</v>
      </c>
      <c r="BT133" s="230">
        <v>641761</v>
      </c>
      <c r="BU133" s="230">
        <v>425334</v>
      </c>
      <c r="BV133" s="230">
        <v>216427</v>
      </c>
      <c r="BW133" s="229">
        <v>0.50880000000000003</v>
      </c>
      <c r="BX133" s="230">
        <v>9425200</v>
      </c>
      <c r="BY133" s="230">
        <v>9309600</v>
      </c>
      <c r="BZ133" s="230">
        <v>115600</v>
      </c>
      <c r="CA133" s="229">
        <v>1.24E-2</v>
      </c>
      <c r="CB133" s="230">
        <v>9393600</v>
      </c>
      <c r="CC133" s="230">
        <v>9280000</v>
      </c>
      <c r="CD133" s="230">
        <v>113600</v>
      </c>
      <c r="CE133" s="229">
        <v>1.2200000000000001E-2</v>
      </c>
      <c r="CF133" s="230">
        <v>29600</v>
      </c>
      <c r="CG133" s="230">
        <v>28000</v>
      </c>
      <c r="CH133" s="230">
        <v>1600</v>
      </c>
      <c r="CI133" s="229">
        <v>5.7099999999999998E-2</v>
      </c>
      <c r="CJ133" s="230">
        <v>2000</v>
      </c>
      <c r="CK133" s="230">
        <v>1600</v>
      </c>
      <c r="CL133" s="228">
        <v>400</v>
      </c>
      <c r="CM133" s="229">
        <v>0.25</v>
      </c>
      <c r="CN133" s="230">
        <v>762000</v>
      </c>
      <c r="CO133" s="230">
        <v>484800</v>
      </c>
      <c r="CP133" s="230">
        <v>277200</v>
      </c>
      <c r="CQ133" s="229">
        <v>0.57179999999999997</v>
      </c>
      <c r="CR133" s="230">
        <v>389600</v>
      </c>
      <c r="CS133" s="230">
        <v>324000</v>
      </c>
      <c r="CT133" s="230">
        <v>65600</v>
      </c>
      <c r="CU133" s="229">
        <v>0.20250000000000001</v>
      </c>
      <c r="CV133" s="230">
        <v>10576800</v>
      </c>
      <c r="CW133" s="230">
        <v>10118400</v>
      </c>
      <c r="CX133" s="230">
        <v>458400</v>
      </c>
      <c r="CY133" s="229">
        <v>4.53E-2</v>
      </c>
      <c r="CZ133" s="228">
        <v>33.72</v>
      </c>
      <c r="DA133" s="228">
        <v>32.840000000000003</v>
      </c>
      <c r="DB133" s="228">
        <v>0.88</v>
      </c>
      <c r="DC133" s="228">
        <v>0.88</v>
      </c>
      <c r="DD133" s="228">
        <v>31.84</v>
      </c>
      <c r="DE133" s="228">
        <v>31.57</v>
      </c>
      <c r="DF133" s="228">
        <v>1.88</v>
      </c>
      <c r="DG133" s="228">
        <v>0.27</v>
      </c>
      <c r="DH133" s="228">
        <v>33.47</v>
      </c>
      <c r="DI133" s="228">
        <v>32.5</v>
      </c>
      <c r="DJ133" s="228">
        <v>0.97</v>
      </c>
      <c r="DK133" s="228">
        <v>0.97</v>
      </c>
      <c r="DL133" s="228">
        <v>34.71</v>
      </c>
      <c r="DM133" s="228">
        <v>33.770000000000003</v>
      </c>
      <c r="DN133" s="228">
        <v>0.94</v>
      </c>
      <c r="DO133" s="228">
        <v>0.94</v>
      </c>
      <c r="DP133" s="228">
        <v>0.51</v>
      </c>
      <c r="DQ133" s="228">
        <v>0.67</v>
      </c>
      <c r="DR133" s="228">
        <v>-0.16</v>
      </c>
      <c r="DS133" s="229">
        <v>-0.23880000000000001</v>
      </c>
      <c r="DT133" s="231">
        <v>1800</v>
      </c>
      <c r="DU133" s="231">
        <v>1600</v>
      </c>
      <c r="DV133" s="228">
        <v>0.25</v>
      </c>
      <c r="DW133" s="228">
        <v>0.36</v>
      </c>
      <c r="DX133" s="228">
        <v>-0.11</v>
      </c>
      <c r="DY133" s="229">
        <v>-0.30559999999999998</v>
      </c>
      <c r="DZ133" s="229">
        <v>3.3999999999999998E-3</v>
      </c>
      <c r="EA133" s="230">
        <v>29600</v>
      </c>
      <c r="EB133" s="229">
        <v>6.8999999999999999E-3</v>
      </c>
      <c r="EC133" s="229">
        <v>3.3999999999999998E-3</v>
      </c>
      <c r="ED133" s="228">
        <v>3.73</v>
      </c>
      <c r="EE133" s="229">
        <v>2.3E-3</v>
      </c>
      <c r="EF133" s="230">
        <v>316303</v>
      </c>
      <c r="EG133" s="230">
        <v>207289</v>
      </c>
      <c r="EH133" s="229">
        <v>0.52590000000000003</v>
      </c>
      <c r="EI133" s="229">
        <v>0.4929</v>
      </c>
      <c r="EJ133" s="231">
        <v>22961.040000000001</v>
      </c>
      <c r="EK133" s="231">
        <v>5297.78</v>
      </c>
      <c r="EL133" s="231">
        <v>13757.37</v>
      </c>
      <c r="EM133" s="231">
        <v>1079</v>
      </c>
      <c r="EN133" s="231">
        <v>42016.19</v>
      </c>
      <c r="EO133" s="231">
        <v>18881</v>
      </c>
      <c r="EP133" s="231">
        <v>23135.19</v>
      </c>
      <c r="EQ133" s="229">
        <v>1.2253000000000001</v>
      </c>
      <c r="ER133" s="231">
        <v>13014</v>
      </c>
      <c r="ES133" s="231">
        <v>6165</v>
      </c>
      <c r="ET133" s="231">
        <v>156830</v>
      </c>
      <c r="EU133" s="231">
        <v>35051266</v>
      </c>
      <c r="EV133" s="231">
        <v>176009</v>
      </c>
      <c r="EW133" s="231">
        <v>162789</v>
      </c>
      <c r="EX133" s="231">
        <v>13220</v>
      </c>
      <c r="EY133" s="229">
        <v>8.1199999999999994E-2</v>
      </c>
      <c r="EZ133" s="229">
        <v>0.30180000000000001</v>
      </c>
      <c r="FA133" s="227" t="s">
        <v>555</v>
      </c>
      <c r="FB133" s="161">
        <f t="shared" si="2"/>
        <v>31600</v>
      </c>
    </row>
    <row r="134" spans="1:158" ht="17.25" thickBot="1" x14ac:dyDescent="0.3">
      <c r="A134" s="226">
        <v>46148</v>
      </c>
      <c r="B134" s="227" t="s">
        <v>181</v>
      </c>
      <c r="C134" s="227" t="s">
        <v>562</v>
      </c>
      <c r="D134" s="228">
        <v>120</v>
      </c>
      <c r="E134" s="231">
        <v>14400.6</v>
      </c>
      <c r="F134" s="231">
        <v>14000.85</v>
      </c>
      <c r="G134" s="228">
        <v>399.75</v>
      </c>
      <c r="H134" s="229">
        <v>2.86E-2</v>
      </c>
      <c r="I134" s="231">
        <v>14312.9</v>
      </c>
      <c r="J134" s="231">
        <v>13950.25</v>
      </c>
      <c r="K134" s="228">
        <v>362.65</v>
      </c>
      <c r="L134" s="229">
        <v>2.5999999999999999E-2</v>
      </c>
      <c r="M134" s="231">
        <v>14400.6</v>
      </c>
      <c r="N134" s="231">
        <v>14000.85</v>
      </c>
      <c r="O134" s="228">
        <v>399.75</v>
      </c>
      <c r="P134" s="229">
        <v>2.86E-2</v>
      </c>
      <c r="Q134" s="231">
        <v>14440.15</v>
      </c>
      <c r="R134" s="231">
        <v>14047.75</v>
      </c>
      <c r="S134" s="228">
        <v>392.4</v>
      </c>
      <c r="T134" s="229">
        <v>2.7900000000000001E-2</v>
      </c>
      <c r="U134" s="231">
        <v>14470.4</v>
      </c>
      <c r="V134" s="231">
        <v>14095.55</v>
      </c>
      <c r="W134" s="228">
        <v>374.85</v>
      </c>
      <c r="X134" s="229">
        <v>2.6599999999999999E-2</v>
      </c>
      <c r="Y134" s="228">
        <v>87.7</v>
      </c>
      <c r="Z134" s="228">
        <v>50.6</v>
      </c>
      <c r="AA134" s="228">
        <v>37.1</v>
      </c>
      <c r="AB134" s="229">
        <v>6.1000000000000004E-3</v>
      </c>
      <c r="AC134" s="228">
        <v>87.7</v>
      </c>
      <c r="AD134" s="228">
        <v>50.6</v>
      </c>
      <c r="AE134" s="228">
        <v>37.1</v>
      </c>
      <c r="AF134" s="229">
        <v>6.1000000000000004E-3</v>
      </c>
      <c r="AG134" s="228">
        <v>127.25</v>
      </c>
      <c r="AH134" s="228">
        <v>97.5</v>
      </c>
      <c r="AI134" s="228">
        <v>29.75</v>
      </c>
      <c r="AJ134" s="229">
        <v>8.8999999999999999E-3</v>
      </c>
      <c r="AK134" s="228">
        <v>157.5</v>
      </c>
      <c r="AL134" s="228">
        <v>145.30000000000001</v>
      </c>
      <c r="AM134" s="228">
        <v>12.2</v>
      </c>
      <c r="AN134" s="229">
        <v>1.0999999999999999E-2</v>
      </c>
      <c r="AO134" s="231">
        <v>14279.9</v>
      </c>
      <c r="AP134" s="231">
        <v>14297.42</v>
      </c>
      <c r="AQ134" s="228">
        <v>0</v>
      </c>
      <c r="AR134" s="230">
        <v>850080</v>
      </c>
      <c r="AS134" s="230">
        <v>289320</v>
      </c>
      <c r="AT134" s="230">
        <v>560760</v>
      </c>
      <c r="AU134" s="229">
        <v>1.9381999999999999</v>
      </c>
      <c r="AV134" s="230">
        <v>794160</v>
      </c>
      <c r="AW134" s="230">
        <v>276840</v>
      </c>
      <c r="AX134" s="230">
        <v>517320</v>
      </c>
      <c r="AY134" s="229">
        <v>1.8687</v>
      </c>
      <c r="AZ134" s="230">
        <v>48000</v>
      </c>
      <c r="BA134" s="230">
        <v>11760</v>
      </c>
      <c r="BB134" s="230">
        <v>36240</v>
      </c>
      <c r="BC134" s="229">
        <v>3.0815999999999999</v>
      </c>
      <c r="BD134" s="230">
        <v>7920</v>
      </c>
      <c r="BE134" s="228">
        <v>720</v>
      </c>
      <c r="BF134" s="230">
        <v>7200</v>
      </c>
      <c r="BG134" s="229">
        <v>10</v>
      </c>
      <c r="BH134" s="230">
        <v>11003280</v>
      </c>
      <c r="BI134" s="230">
        <v>5757240</v>
      </c>
      <c r="BJ134" s="230">
        <v>5246040</v>
      </c>
      <c r="BK134" s="229">
        <v>0.91120000000000001</v>
      </c>
      <c r="BL134" s="230">
        <v>14823240</v>
      </c>
      <c r="BM134" s="230">
        <v>5369520</v>
      </c>
      <c r="BN134" s="230">
        <v>9453720</v>
      </c>
      <c r="BO134" s="229">
        <v>1.7605999999999999</v>
      </c>
      <c r="BP134" s="230">
        <v>26676600</v>
      </c>
      <c r="BQ134" s="230">
        <v>11416080</v>
      </c>
      <c r="BR134" s="230">
        <v>15260520</v>
      </c>
      <c r="BS134" s="229">
        <v>1.3368</v>
      </c>
      <c r="BT134" s="228">
        <v>0</v>
      </c>
      <c r="BU134" s="228">
        <v>0</v>
      </c>
      <c r="BV134" s="228">
        <v>0</v>
      </c>
      <c r="BW134" s="229">
        <v>0</v>
      </c>
      <c r="BX134" s="230">
        <v>2351760</v>
      </c>
      <c r="BY134" s="230">
        <v>2254680</v>
      </c>
      <c r="BZ134" s="230">
        <v>97080</v>
      </c>
      <c r="CA134" s="229">
        <v>4.3099999999999999E-2</v>
      </c>
      <c r="CB134" s="230">
        <v>2288040</v>
      </c>
      <c r="CC134" s="230">
        <v>2203320</v>
      </c>
      <c r="CD134" s="230">
        <v>84720</v>
      </c>
      <c r="CE134" s="229">
        <v>3.85E-2</v>
      </c>
      <c r="CF134" s="230">
        <v>58200</v>
      </c>
      <c r="CG134" s="230">
        <v>49200</v>
      </c>
      <c r="CH134" s="230">
        <v>9000</v>
      </c>
      <c r="CI134" s="229">
        <v>0.18290000000000001</v>
      </c>
      <c r="CJ134" s="230">
        <v>5520</v>
      </c>
      <c r="CK134" s="230">
        <v>2160</v>
      </c>
      <c r="CL134" s="230">
        <v>3360</v>
      </c>
      <c r="CM134" s="229">
        <v>1.5556000000000001</v>
      </c>
      <c r="CN134" s="230">
        <v>4194000</v>
      </c>
      <c r="CO134" s="230">
        <v>3642840</v>
      </c>
      <c r="CP134" s="230">
        <v>551160</v>
      </c>
      <c r="CQ134" s="229">
        <v>0.15129999999999999</v>
      </c>
      <c r="CR134" s="230">
        <v>5417160</v>
      </c>
      <c r="CS134" s="230">
        <v>4164960</v>
      </c>
      <c r="CT134" s="230">
        <v>1252200</v>
      </c>
      <c r="CU134" s="229">
        <v>0.30070000000000002</v>
      </c>
      <c r="CV134" s="230">
        <v>11962920</v>
      </c>
      <c r="CW134" s="230">
        <v>10062480</v>
      </c>
      <c r="CX134" s="230">
        <v>1900440</v>
      </c>
      <c r="CY134" s="229">
        <v>0.18890000000000001</v>
      </c>
      <c r="CZ134" s="228">
        <v>21.06</v>
      </c>
      <c r="DA134" s="228">
        <v>22.26</v>
      </c>
      <c r="DB134" s="228">
        <v>-1.2</v>
      </c>
      <c r="DC134" s="228">
        <v>-1.2</v>
      </c>
      <c r="DD134" s="228">
        <v>25.01</v>
      </c>
      <c r="DE134" s="228">
        <v>24.78</v>
      </c>
      <c r="DF134" s="228">
        <v>-3.95</v>
      </c>
      <c r="DG134" s="228">
        <v>0.23</v>
      </c>
      <c r="DH134" s="228">
        <v>18.29</v>
      </c>
      <c r="DI134" s="228">
        <v>20.68</v>
      </c>
      <c r="DJ134" s="228">
        <v>-2.39</v>
      </c>
      <c r="DK134" s="228">
        <v>-2.39</v>
      </c>
      <c r="DL134" s="228">
        <v>23.11</v>
      </c>
      <c r="DM134" s="228">
        <v>23.95</v>
      </c>
      <c r="DN134" s="228">
        <v>-0.84</v>
      </c>
      <c r="DO134" s="228">
        <v>-0.84</v>
      </c>
      <c r="DP134" s="228">
        <v>1.29</v>
      </c>
      <c r="DQ134" s="228">
        <v>1.1399999999999999</v>
      </c>
      <c r="DR134" s="228">
        <v>0.15</v>
      </c>
      <c r="DS134" s="229">
        <v>0.13159999999999999</v>
      </c>
      <c r="DT134" s="231">
        <v>15000</v>
      </c>
      <c r="DU134" s="231">
        <v>13000</v>
      </c>
      <c r="DV134" s="228">
        <v>1.35</v>
      </c>
      <c r="DW134" s="228">
        <v>0.93</v>
      </c>
      <c r="DX134" s="228">
        <v>0.42</v>
      </c>
      <c r="DY134" s="229">
        <v>0.4516</v>
      </c>
      <c r="DZ134" s="229">
        <v>2.7099999999999999E-2</v>
      </c>
      <c r="EA134" s="230">
        <v>51360</v>
      </c>
      <c r="EB134" s="229">
        <v>2.7000000000000001E-3</v>
      </c>
      <c r="EC134" s="229">
        <v>2.7099999999999999E-2</v>
      </c>
      <c r="ED134" s="228">
        <v>17.52</v>
      </c>
      <c r="EE134" s="229">
        <v>1.1999999999999999E-3</v>
      </c>
      <c r="EF134" s="228">
        <v>0</v>
      </c>
      <c r="EG134" s="228">
        <v>0</v>
      </c>
      <c r="EH134" s="229">
        <v>0</v>
      </c>
      <c r="EI134" s="229">
        <v>0</v>
      </c>
      <c r="EJ134" s="231">
        <v>1620748.6</v>
      </c>
      <c r="EK134" s="231">
        <v>2025949.62</v>
      </c>
      <c r="EL134" s="231">
        <v>121406.65</v>
      </c>
      <c r="EM134" s="228">
        <v>0</v>
      </c>
      <c r="EN134" s="231">
        <v>3768104.87</v>
      </c>
      <c r="EO134" s="231">
        <v>1602994.12</v>
      </c>
      <c r="EP134" s="231">
        <v>2165110.75</v>
      </c>
      <c r="EQ134" s="229">
        <v>1.3507</v>
      </c>
      <c r="ER134" s="231">
        <v>613218</v>
      </c>
      <c r="ES134" s="231">
        <v>720946</v>
      </c>
      <c r="ET134" s="231">
        <v>338694</v>
      </c>
      <c r="EU134" s="228">
        <v>0</v>
      </c>
      <c r="EV134" s="231">
        <v>1672859</v>
      </c>
      <c r="EW134" s="231">
        <v>1388742</v>
      </c>
      <c r="EX134" s="231">
        <v>284117</v>
      </c>
      <c r="EY134" s="229">
        <v>0.2046</v>
      </c>
      <c r="EZ134" s="229">
        <v>0</v>
      </c>
      <c r="FA134" s="227" t="s">
        <v>555</v>
      </c>
      <c r="FB134" s="161">
        <f t="shared" si="2"/>
        <v>63720</v>
      </c>
    </row>
    <row r="135" spans="1:158" ht="17.25" thickBot="1" x14ac:dyDescent="0.3">
      <c r="A135" s="226">
        <v>46148</v>
      </c>
      <c r="B135" s="227" t="s">
        <v>162</v>
      </c>
      <c r="C135" s="227" t="s">
        <v>558</v>
      </c>
      <c r="D135" s="228">
        <v>6150</v>
      </c>
      <c r="E135" s="228">
        <v>128.32</v>
      </c>
      <c r="F135" s="228">
        <v>121.1</v>
      </c>
      <c r="G135" s="228">
        <v>7.22</v>
      </c>
      <c r="H135" s="229">
        <v>5.96E-2</v>
      </c>
      <c r="I135" s="228">
        <v>127.41</v>
      </c>
      <c r="J135" s="228">
        <v>120.24</v>
      </c>
      <c r="K135" s="228">
        <v>7.17</v>
      </c>
      <c r="L135" s="229">
        <v>5.96E-2</v>
      </c>
      <c r="M135" s="228">
        <v>128.32</v>
      </c>
      <c r="N135" s="228">
        <v>121.1</v>
      </c>
      <c r="O135" s="228">
        <v>7.22</v>
      </c>
      <c r="P135" s="229">
        <v>5.96E-2</v>
      </c>
      <c r="Q135" s="228">
        <v>129.01</v>
      </c>
      <c r="R135" s="228">
        <v>122.07</v>
      </c>
      <c r="S135" s="228">
        <v>6.94</v>
      </c>
      <c r="T135" s="229">
        <v>5.6899999999999999E-2</v>
      </c>
      <c r="U135" s="228">
        <v>129.79</v>
      </c>
      <c r="V135" s="228">
        <v>122.15</v>
      </c>
      <c r="W135" s="228">
        <v>7.64</v>
      </c>
      <c r="X135" s="229">
        <v>6.25E-2</v>
      </c>
      <c r="Y135" s="228">
        <v>0.91</v>
      </c>
      <c r="Z135" s="228">
        <v>0.86</v>
      </c>
      <c r="AA135" s="228">
        <v>0.05</v>
      </c>
      <c r="AB135" s="229">
        <v>7.1000000000000004E-3</v>
      </c>
      <c r="AC135" s="228">
        <v>0.91</v>
      </c>
      <c r="AD135" s="228">
        <v>0.86</v>
      </c>
      <c r="AE135" s="228">
        <v>0.05</v>
      </c>
      <c r="AF135" s="229">
        <v>7.1000000000000004E-3</v>
      </c>
      <c r="AG135" s="228">
        <v>1.6</v>
      </c>
      <c r="AH135" s="228">
        <v>1.83</v>
      </c>
      <c r="AI135" s="228">
        <v>-0.23</v>
      </c>
      <c r="AJ135" s="229">
        <v>1.26E-2</v>
      </c>
      <c r="AK135" s="228">
        <v>2.38</v>
      </c>
      <c r="AL135" s="228">
        <v>1.91</v>
      </c>
      <c r="AM135" s="228">
        <v>0.47</v>
      </c>
      <c r="AN135" s="229">
        <v>1.8700000000000001E-2</v>
      </c>
      <c r="AO135" s="228">
        <v>126.38</v>
      </c>
      <c r="AP135" s="228">
        <v>127.16</v>
      </c>
      <c r="AQ135" s="228">
        <v>0</v>
      </c>
      <c r="AR135" s="230">
        <v>40270200</v>
      </c>
      <c r="AS135" s="230">
        <v>13277850</v>
      </c>
      <c r="AT135" s="230">
        <v>26992350</v>
      </c>
      <c r="AU135" s="229">
        <v>2.0329000000000002</v>
      </c>
      <c r="AV135" s="230">
        <v>38253000</v>
      </c>
      <c r="AW135" s="230">
        <v>12828900</v>
      </c>
      <c r="AX135" s="230">
        <v>25424100</v>
      </c>
      <c r="AY135" s="229">
        <v>1.9818</v>
      </c>
      <c r="AZ135" s="230">
        <v>1568250</v>
      </c>
      <c r="BA135" s="230">
        <v>375150</v>
      </c>
      <c r="BB135" s="230">
        <v>1193100</v>
      </c>
      <c r="BC135" s="229">
        <v>3.1802999999999999</v>
      </c>
      <c r="BD135" s="230">
        <v>448950</v>
      </c>
      <c r="BE135" s="230">
        <v>73800</v>
      </c>
      <c r="BF135" s="230">
        <v>375150</v>
      </c>
      <c r="BG135" s="229">
        <v>5.0833000000000004</v>
      </c>
      <c r="BH135" s="230">
        <v>51875250</v>
      </c>
      <c r="BI135" s="230">
        <v>14981400</v>
      </c>
      <c r="BJ135" s="230">
        <v>36893850</v>
      </c>
      <c r="BK135" s="229">
        <v>2.4626000000000001</v>
      </c>
      <c r="BL135" s="230">
        <v>17779650</v>
      </c>
      <c r="BM135" s="230">
        <v>8277900</v>
      </c>
      <c r="BN135" s="230">
        <v>9501750</v>
      </c>
      <c r="BO135" s="229">
        <v>1.1477999999999999</v>
      </c>
      <c r="BP135" s="230">
        <v>109925100</v>
      </c>
      <c r="BQ135" s="230">
        <v>36537150</v>
      </c>
      <c r="BR135" s="230">
        <v>73387950</v>
      </c>
      <c r="BS135" s="229">
        <v>2.0085999999999999</v>
      </c>
      <c r="BT135" s="230">
        <v>25796479</v>
      </c>
      <c r="BU135" s="230">
        <v>10854173</v>
      </c>
      <c r="BV135" s="230">
        <v>14942306</v>
      </c>
      <c r="BW135" s="229">
        <v>1.3766</v>
      </c>
      <c r="BX135" s="230">
        <v>139635750</v>
      </c>
      <c r="BY135" s="230">
        <v>135435300</v>
      </c>
      <c r="BZ135" s="230">
        <v>4200450</v>
      </c>
      <c r="CA135" s="229">
        <v>3.1E-2</v>
      </c>
      <c r="CB135" s="230">
        <v>129076200</v>
      </c>
      <c r="CC135" s="230">
        <v>125047950</v>
      </c>
      <c r="CD135" s="230">
        <v>4028250</v>
      </c>
      <c r="CE135" s="229">
        <v>3.2199999999999999E-2</v>
      </c>
      <c r="CF135" s="230">
        <v>10221300</v>
      </c>
      <c r="CG135" s="230">
        <v>10239750</v>
      </c>
      <c r="CH135" s="230">
        <v>-18450</v>
      </c>
      <c r="CI135" s="229">
        <v>-1.8E-3</v>
      </c>
      <c r="CJ135" s="230">
        <v>338250</v>
      </c>
      <c r="CK135" s="230">
        <v>147600</v>
      </c>
      <c r="CL135" s="230">
        <v>190650</v>
      </c>
      <c r="CM135" s="229">
        <v>1.2917000000000001</v>
      </c>
      <c r="CN135" s="230">
        <v>27945600</v>
      </c>
      <c r="CO135" s="230">
        <v>28240800</v>
      </c>
      <c r="CP135" s="230">
        <v>-295200</v>
      </c>
      <c r="CQ135" s="229">
        <v>-1.0500000000000001E-2</v>
      </c>
      <c r="CR135" s="230">
        <v>22035450</v>
      </c>
      <c r="CS135" s="230">
        <v>20374950</v>
      </c>
      <c r="CT135" s="230">
        <v>1660500</v>
      </c>
      <c r="CU135" s="229">
        <v>8.1500000000000003E-2</v>
      </c>
      <c r="CV135" s="230">
        <v>189616800</v>
      </c>
      <c r="CW135" s="230">
        <v>184051050</v>
      </c>
      <c r="CX135" s="230">
        <v>5565750</v>
      </c>
      <c r="CY135" s="229">
        <v>3.0200000000000001E-2</v>
      </c>
      <c r="CZ135" s="228">
        <v>42.37</v>
      </c>
      <c r="DA135" s="228">
        <v>41.25</v>
      </c>
      <c r="DB135" s="228">
        <v>1.1200000000000001</v>
      </c>
      <c r="DC135" s="228">
        <v>1.1200000000000001</v>
      </c>
      <c r="DD135" s="228">
        <v>43.89</v>
      </c>
      <c r="DE135" s="228">
        <v>43.3</v>
      </c>
      <c r="DF135" s="228">
        <v>-1.52</v>
      </c>
      <c r="DG135" s="228">
        <v>0.59</v>
      </c>
      <c r="DH135" s="228">
        <v>41.87</v>
      </c>
      <c r="DI135" s="228">
        <v>41.16</v>
      </c>
      <c r="DJ135" s="228">
        <v>0.71</v>
      </c>
      <c r="DK135" s="228">
        <v>0.71</v>
      </c>
      <c r="DL135" s="228">
        <v>43.82</v>
      </c>
      <c r="DM135" s="228">
        <v>41.42</v>
      </c>
      <c r="DN135" s="228">
        <v>2.4</v>
      </c>
      <c r="DO135" s="228">
        <v>2.4</v>
      </c>
      <c r="DP135" s="228">
        <v>0.79</v>
      </c>
      <c r="DQ135" s="228">
        <v>0.72</v>
      </c>
      <c r="DR135" s="228">
        <v>7.0000000000000007E-2</v>
      </c>
      <c r="DS135" s="229">
        <v>9.7199999999999995E-2</v>
      </c>
      <c r="DT135" s="228">
        <v>130</v>
      </c>
      <c r="DU135" s="228">
        <v>120</v>
      </c>
      <c r="DV135" s="228">
        <v>0.34</v>
      </c>
      <c r="DW135" s="228">
        <v>0.55000000000000004</v>
      </c>
      <c r="DX135" s="228">
        <v>-0.21</v>
      </c>
      <c r="DY135" s="229">
        <v>-0.38179999999999997</v>
      </c>
      <c r="DZ135" s="229">
        <v>7.5600000000000001E-2</v>
      </c>
      <c r="EA135" s="230">
        <v>10387350</v>
      </c>
      <c r="EB135" s="229">
        <v>5.4000000000000003E-3</v>
      </c>
      <c r="EC135" s="229">
        <v>7.5600000000000001E-2</v>
      </c>
      <c r="ED135" s="228">
        <v>0.78</v>
      </c>
      <c r="EE135" s="229">
        <v>6.1999999999999998E-3</v>
      </c>
      <c r="EF135" s="230">
        <v>12144551</v>
      </c>
      <c r="EG135" s="230">
        <v>4614885</v>
      </c>
      <c r="EH135" s="229">
        <v>1.6315999999999999</v>
      </c>
      <c r="EI135" s="229">
        <v>0.4708</v>
      </c>
      <c r="EJ135" s="231">
        <v>69318.55</v>
      </c>
      <c r="EK135" s="231">
        <v>21645.27</v>
      </c>
      <c r="EL135" s="231">
        <v>50907.839999999997</v>
      </c>
      <c r="EM135" s="231">
        <v>2614</v>
      </c>
      <c r="EN135" s="231">
        <v>141871.66</v>
      </c>
      <c r="EO135" s="231">
        <v>45918.55</v>
      </c>
      <c r="EP135" s="231">
        <v>95953.11</v>
      </c>
      <c r="EQ135" s="229">
        <v>2.0895999999999999</v>
      </c>
      <c r="ER135" s="231">
        <v>36981</v>
      </c>
      <c r="ES135" s="231">
        <v>26430</v>
      </c>
      <c r="ET135" s="231">
        <v>179256</v>
      </c>
      <c r="EU135" s="231">
        <v>588447385</v>
      </c>
      <c r="EV135" s="231">
        <v>242667</v>
      </c>
      <c r="EW135" s="231">
        <v>225683</v>
      </c>
      <c r="EX135" s="231">
        <v>16984</v>
      </c>
      <c r="EY135" s="229">
        <v>7.5300000000000006E-2</v>
      </c>
      <c r="EZ135" s="229">
        <v>0.32219999999999999</v>
      </c>
      <c r="FA135" s="227" t="s">
        <v>555</v>
      </c>
      <c r="FB135" s="161">
        <f t="shared" si="2"/>
        <v>10559550</v>
      </c>
    </row>
    <row r="136" spans="1:158" ht="17.25" thickBot="1" x14ac:dyDescent="0.3">
      <c r="A136" s="226">
        <v>46148</v>
      </c>
      <c r="B136" s="227" t="s">
        <v>175</v>
      </c>
      <c r="C136" s="227" t="s">
        <v>696</v>
      </c>
      <c r="D136" s="228">
        <v>775</v>
      </c>
      <c r="E136" s="228">
        <v>884.65</v>
      </c>
      <c r="F136" s="228">
        <v>848.05</v>
      </c>
      <c r="G136" s="228">
        <v>36.6</v>
      </c>
      <c r="H136" s="229">
        <v>4.3200000000000002E-2</v>
      </c>
      <c r="I136" s="228">
        <v>881.7</v>
      </c>
      <c r="J136" s="228">
        <v>843.7</v>
      </c>
      <c r="K136" s="228">
        <v>38</v>
      </c>
      <c r="L136" s="229">
        <v>4.4999999999999998E-2</v>
      </c>
      <c r="M136" s="228">
        <v>884.65</v>
      </c>
      <c r="N136" s="228">
        <v>848.05</v>
      </c>
      <c r="O136" s="228">
        <v>36.6</v>
      </c>
      <c r="P136" s="229">
        <v>4.3200000000000002E-2</v>
      </c>
      <c r="Q136" s="228">
        <v>888.75</v>
      </c>
      <c r="R136" s="228">
        <v>851.8</v>
      </c>
      <c r="S136" s="228">
        <v>36.950000000000003</v>
      </c>
      <c r="T136" s="229">
        <v>4.3400000000000001E-2</v>
      </c>
      <c r="U136" s="228">
        <v>889.25</v>
      </c>
      <c r="V136" s="228">
        <v>844</v>
      </c>
      <c r="W136" s="228">
        <v>45.25</v>
      </c>
      <c r="X136" s="229">
        <v>5.3600000000000002E-2</v>
      </c>
      <c r="Y136" s="228">
        <v>2.95</v>
      </c>
      <c r="Z136" s="228">
        <v>4.3499999999999996</v>
      </c>
      <c r="AA136" s="228">
        <v>-1.4</v>
      </c>
      <c r="AB136" s="229">
        <v>3.3E-3</v>
      </c>
      <c r="AC136" s="228">
        <v>2.95</v>
      </c>
      <c r="AD136" s="228">
        <v>4.3499999999999996</v>
      </c>
      <c r="AE136" s="228">
        <v>-1.4</v>
      </c>
      <c r="AF136" s="229">
        <v>3.3E-3</v>
      </c>
      <c r="AG136" s="228">
        <v>7.05</v>
      </c>
      <c r="AH136" s="228">
        <v>8.1</v>
      </c>
      <c r="AI136" s="228">
        <v>-1.05</v>
      </c>
      <c r="AJ136" s="229">
        <v>8.0000000000000002E-3</v>
      </c>
      <c r="AK136" s="228">
        <v>7.55</v>
      </c>
      <c r="AL136" s="228">
        <v>0.3</v>
      </c>
      <c r="AM136" s="228">
        <v>7.25</v>
      </c>
      <c r="AN136" s="229">
        <v>8.6E-3</v>
      </c>
      <c r="AO136" s="228">
        <v>873.26</v>
      </c>
      <c r="AP136" s="228">
        <v>874.43</v>
      </c>
      <c r="AQ136" s="228">
        <v>0</v>
      </c>
      <c r="AR136" s="230">
        <v>1399650</v>
      </c>
      <c r="AS136" s="230">
        <v>1022225</v>
      </c>
      <c r="AT136" s="230">
        <v>377425</v>
      </c>
      <c r="AU136" s="229">
        <v>0.36919999999999997</v>
      </c>
      <c r="AV136" s="230">
        <v>1360900</v>
      </c>
      <c r="AW136" s="230">
        <v>974950</v>
      </c>
      <c r="AX136" s="230">
        <v>385950</v>
      </c>
      <c r="AY136" s="229">
        <v>0.39589999999999997</v>
      </c>
      <c r="AZ136" s="230">
        <v>34100</v>
      </c>
      <c r="BA136" s="230">
        <v>34100</v>
      </c>
      <c r="BB136" s="228">
        <v>0</v>
      </c>
      <c r="BC136" s="229">
        <v>0</v>
      </c>
      <c r="BD136" s="230">
        <v>4650</v>
      </c>
      <c r="BE136" s="230">
        <v>13175</v>
      </c>
      <c r="BF136" s="230">
        <v>-8525</v>
      </c>
      <c r="BG136" s="229">
        <v>-0.64710000000000001</v>
      </c>
      <c r="BH136" s="230">
        <v>2986850</v>
      </c>
      <c r="BI136" s="230">
        <v>2795425</v>
      </c>
      <c r="BJ136" s="230">
        <v>191425</v>
      </c>
      <c r="BK136" s="229">
        <v>6.8500000000000005E-2</v>
      </c>
      <c r="BL136" s="230">
        <v>1497300</v>
      </c>
      <c r="BM136" s="230">
        <v>801350</v>
      </c>
      <c r="BN136" s="230">
        <v>695950</v>
      </c>
      <c r="BO136" s="229">
        <v>0.86850000000000005</v>
      </c>
      <c r="BP136" s="230">
        <v>5883800</v>
      </c>
      <c r="BQ136" s="230">
        <v>4619000</v>
      </c>
      <c r="BR136" s="230">
        <v>1264800</v>
      </c>
      <c r="BS136" s="229">
        <v>0.27379999999999999</v>
      </c>
      <c r="BT136" s="230">
        <v>2449452</v>
      </c>
      <c r="BU136" s="230">
        <v>1334404</v>
      </c>
      <c r="BV136" s="230">
        <v>1115048</v>
      </c>
      <c r="BW136" s="229">
        <v>0.83560000000000001</v>
      </c>
      <c r="BX136" s="230">
        <v>2946550</v>
      </c>
      <c r="BY136" s="230">
        <v>3115500</v>
      </c>
      <c r="BZ136" s="230">
        <v>-168950</v>
      </c>
      <c r="CA136" s="229">
        <v>-5.4199999999999998E-2</v>
      </c>
      <c r="CB136" s="230">
        <v>2878350</v>
      </c>
      <c r="CC136" s="230">
        <v>3053500</v>
      </c>
      <c r="CD136" s="230">
        <v>-175150</v>
      </c>
      <c r="CE136" s="229">
        <v>-5.74E-2</v>
      </c>
      <c r="CF136" s="230">
        <v>52700</v>
      </c>
      <c r="CG136" s="230">
        <v>47275</v>
      </c>
      <c r="CH136" s="230">
        <v>5425</v>
      </c>
      <c r="CI136" s="229">
        <v>0.1148</v>
      </c>
      <c r="CJ136" s="230">
        <v>15500</v>
      </c>
      <c r="CK136" s="230">
        <v>14725</v>
      </c>
      <c r="CL136" s="228">
        <v>775</v>
      </c>
      <c r="CM136" s="229">
        <v>5.2600000000000001E-2</v>
      </c>
      <c r="CN136" s="230">
        <v>2108000</v>
      </c>
      <c r="CO136" s="230">
        <v>2230450</v>
      </c>
      <c r="CP136" s="230">
        <v>-122450</v>
      </c>
      <c r="CQ136" s="229">
        <v>-5.4899999999999997E-2</v>
      </c>
      <c r="CR136" s="230">
        <v>1357800</v>
      </c>
      <c r="CS136" s="230">
        <v>1452350</v>
      </c>
      <c r="CT136" s="230">
        <v>-94550</v>
      </c>
      <c r="CU136" s="229">
        <v>-6.5100000000000005E-2</v>
      </c>
      <c r="CV136" s="230">
        <v>6412350</v>
      </c>
      <c r="CW136" s="230">
        <v>6798300</v>
      </c>
      <c r="CX136" s="230">
        <v>-385950</v>
      </c>
      <c r="CY136" s="229">
        <v>-5.6800000000000003E-2</v>
      </c>
      <c r="CZ136" s="228">
        <v>35.61</v>
      </c>
      <c r="DA136" s="228">
        <v>37.36</v>
      </c>
      <c r="DB136" s="228">
        <v>-1.75</v>
      </c>
      <c r="DC136" s="228">
        <v>-1.75</v>
      </c>
      <c r="DD136" s="228">
        <v>54.27</v>
      </c>
      <c r="DE136" s="228">
        <v>54.11</v>
      </c>
      <c r="DF136" s="228">
        <v>-18.66</v>
      </c>
      <c r="DG136" s="228">
        <v>0.16</v>
      </c>
      <c r="DH136" s="228">
        <v>33.76</v>
      </c>
      <c r="DI136" s="228">
        <v>36.4</v>
      </c>
      <c r="DJ136" s="228">
        <v>-2.64</v>
      </c>
      <c r="DK136" s="228">
        <v>-2.64</v>
      </c>
      <c r="DL136" s="228">
        <v>39.31</v>
      </c>
      <c r="DM136" s="228">
        <v>40.729999999999997</v>
      </c>
      <c r="DN136" s="228">
        <v>-1.42</v>
      </c>
      <c r="DO136" s="228">
        <v>-1.42</v>
      </c>
      <c r="DP136" s="228">
        <v>0.64</v>
      </c>
      <c r="DQ136" s="228">
        <v>0.65</v>
      </c>
      <c r="DR136" s="228">
        <v>-0.01</v>
      </c>
      <c r="DS136" s="229">
        <v>-1.54E-2</v>
      </c>
      <c r="DT136" s="228">
        <v>920</v>
      </c>
      <c r="DU136" s="228">
        <v>800</v>
      </c>
      <c r="DV136" s="228">
        <v>0.5</v>
      </c>
      <c r="DW136" s="228">
        <v>0.28999999999999998</v>
      </c>
      <c r="DX136" s="228">
        <v>0.21</v>
      </c>
      <c r="DY136" s="229">
        <v>0.72409999999999997</v>
      </c>
      <c r="DZ136" s="229">
        <v>2.3099999999999999E-2</v>
      </c>
      <c r="EA136" s="230">
        <v>62000</v>
      </c>
      <c r="EB136" s="229">
        <v>4.5999999999999999E-3</v>
      </c>
      <c r="EC136" s="229">
        <v>2.3099999999999999E-2</v>
      </c>
      <c r="ED136" s="228">
        <v>1.17</v>
      </c>
      <c r="EE136" s="229">
        <v>1.2999999999999999E-3</v>
      </c>
      <c r="EF136" s="230">
        <v>1064939</v>
      </c>
      <c r="EG136" s="230">
        <v>583707</v>
      </c>
      <c r="EH136" s="229">
        <v>0.82440000000000002</v>
      </c>
      <c r="EI136" s="229">
        <v>0.43480000000000002</v>
      </c>
      <c r="EJ136" s="231">
        <v>27163.09</v>
      </c>
      <c r="EK136" s="231">
        <v>12171.39</v>
      </c>
      <c r="EL136" s="231">
        <v>12223.33</v>
      </c>
      <c r="EM136" s="231">
        <v>2677</v>
      </c>
      <c r="EN136" s="231">
        <v>51557.81</v>
      </c>
      <c r="EO136" s="231">
        <v>39949.360000000001</v>
      </c>
      <c r="EP136" s="231">
        <v>11608.45</v>
      </c>
      <c r="EQ136" s="229">
        <v>0.29060000000000002</v>
      </c>
      <c r="ER136" s="231">
        <v>18040</v>
      </c>
      <c r="ES136" s="231">
        <v>10449</v>
      </c>
      <c r="ET136" s="231">
        <v>26070</v>
      </c>
      <c r="EU136" s="231">
        <v>29196111</v>
      </c>
      <c r="EV136" s="231">
        <v>54558</v>
      </c>
      <c r="EW136" s="231">
        <v>56578</v>
      </c>
      <c r="EX136" s="231">
        <v>-2020</v>
      </c>
      <c r="EY136" s="229">
        <v>-3.5700000000000003E-2</v>
      </c>
      <c r="EZ136" s="229">
        <v>0.21959999999999999</v>
      </c>
      <c r="FA136" s="227" t="s">
        <v>691</v>
      </c>
      <c r="FB136" s="161">
        <f t="shared" si="2"/>
        <v>68200</v>
      </c>
    </row>
    <row r="137" spans="1:158" ht="17.25" thickBot="1" x14ac:dyDescent="0.3">
      <c r="A137" s="226">
        <v>46148</v>
      </c>
      <c r="B137" s="227" t="s">
        <v>221</v>
      </c>
      <c r="C137" s="227" t="s">
        <v>487</v>
      </c>
      <c r="D137" s="228">
        <v>275</v>
      </c>
      <c r="E137" s="231">
        <v>2232.1999999999998</v>
      </c>
      <c r="F137" s="231">
        <v>2221.6</v>
      </c>
      <c r="G137" s="228">
        <v>10.6</v>
      </c>
      <c r="H137" s="229">
        <v>4.7999999999999996E-3</v>
      </c>
      <c r="I137" s="231">
        <v>2218.5</v>
      </c>
      <c r="J137" s="231">
        <v>2209.8000000000002</v>
      </c>
      <c r="K137" s="228">
        <v>8.6999999999999993</v>
      </c>
      <c r="L137" s="229">
        <v>3.8999999999999998E-3</v>
      </c>
      <c r="M137" s="231">
        <v>2232.1999999999998</v>
      </c>
      <c r="N137" s="231">
        <v>2221.6</v>
      </c>
      <c r="O137" s="228">
        <v>10.6</v>
      </c>
      <c r="P137" s="229">
        <v>4.7999999999999996E-3</v>
      </c>
      <c r="Q137" s="231">
        <v>2247.4</v>
      </c>
      <c r="R137" s="231">
        <v>2236.6</v>
      </c>
      <c r="S137" s="228">
        <v>10.8</v>
      </c>
      <c r="T137" s="229">
        <v>4.7999999999999996E-3</v>
      </c>
      <c r="U137" s="231">
        <v>2260</v>
      </c>
      <c r="V137" s="231">
        <v>2237.8000000000002</v>
      </c>
      <c r="W137" s="228">
        <v>22.2</v>
      </c>
      <c r="X137" s="229">
        <v>9.9000000000000008E-3</v>
      </c>
      <c r="Y137" s="228">
        <v>13.7</v>
      </c>
      <c r="Z137" s="228">
        <v>11.8</v>
      </c>
      <c r="AA137" s="228">
        <v>1.9</v>
      </c>
      <c r="AB137" s="229">
        <v>6.1999999999999998E-3</v>
      </c>
      <c r="AC137" s="228">
        <v>13.7</v>
      </c>
      <c r="AD137" s="228">
        <v>11.8</v>
      </c>
      <c r="AE137" s="228">
        <v>1.9</v>
      </c>
      <c r="AF137" s="229">
        <v>6.1999999999999998E-3</v>
      </c>
      <c r="AG137" s="228">
        <v>28.9</v>
      </c>
      <c r="AH137" s="228">
        <v>26.8</v>
      </c>
      <c r="AI137" s="228">
        <v>2.1</v>
      </c>
      <c r="AJ137" s="229">
        <v>1.2999999999999999E-2</v>
      </c>
      <c r="AK137" s="228">
        <v>41.5</v>
      </c>
      <c r="AL137" s="228">
        <v>28</v>
      </c>
      <c r="AM137" s="228">
        <v>13.5</v>
      </c>
      <c r="AN137" s="229">
        <v>1.8700000000000001E-2</v>
      </c>
      <c r="AO137" s="231">
        <v>2238.37</v>
      </c>
      <c r="AP137" s="231">
        <v>2255.9499999999998</v>
      </c>
      <c r="AQ137" s="228">
        <v>0</v>
      </c>
      <c r="AR137" s="230">
        <v>1138500</v>
      </c>
      <c r="AS137" s="230">
        <v>1026300</v>
      </c>
      <c r="AT137" s="230">
        <v>112200</v>
      </c>
      <c r="AU137" s="229">
        <v>0.10929999999999999</v>
      </c>
      <c r="AV137" s="230">
        <v>1105225</v>
      </c>
      <c r="AW137" s="230">
        <v>1009525</v>
      </c>
      <c r="AX137" s="230">
        <v>95700</v>
      </c>
      <c r="AY137" s="229">
        <v>9.4799999999999995E-2</v>
      </c>
      <c r="AZ137" s="230">
        <v>31350</v>
      </c>
      <c r="BA137" s="230">
        <v>14025</v>
      </c>
      <c r="BB137" s="230">
        <v>17325</v>
      </c>
      <c r="BC137" s="229">
        <v>1.2353000000000001</v>
      </c>
      <c r="BD137" s="230">
        <v>1925</v>
      </c>
      <c r="BE137" s="230">
        <v>2750</v>
      </c>
      <c r="BF137" s="228">
        <v>-825</v>
      </c>
      <c r="BG137" s="229">
        <v>-0.3</v>
      </c>
      <c r="BH137" s="230">
        <v>2814625</v>
      </c>
      <c r="BI137" s="230">
        <v>1560350</v>
      </c>
      <c r="BJ137" s="230">
        <v>1254275</v>
      </c>
      <c r="BK137" s="229">
        <v>0.80379999999999996</v>
      </c>
      <c r="BL137" s="230">
        <v>808775</v>
      </c>
      <c r="BM137" s="230">
        <v>749375</v>
      </c>
      <c r="BN137" s="230">
        <v>59400</v>
      </c>
      <c r="BO137" s="229">
        <v>7.9299999999999995E-2</v>
      </c>
      <c r="BP137" s="230">
        <v>4761900</v>
      </c>
      <c r="BQ137" s="230">
        <v>3336025</v>
      </c>
      <c r="BR137" s="230">
        <v>1425875</v>
      </c>
      <c r="BS137" s="229">
        <v>0.4274</v>
      </c>
      <c r="BT137" s="230">
        <v>435769</v>
      </c>
      <c r="BU137" s="230">
        <v>584632</v>
      </c>
      <c r="BV137" s="230">
        <v>-148863</v>
      </c>
      <c r="BW137" s="229">
        <v>-0.25459999999999999</v>
      </c>
      <c r="BX137" s="230">
        <v>4768775</v>
      </c>
      <c r="BY137" s="230">
        <v>4669775</v>
      </c>
      <c r="BZ137" s="230">
        <v>99000</v>
      </c>
      <c r="CA137" s="229">
        <v>2.12E-2</v>
      </c>
      <c r="CB137" s="230">
        <v>4716800</v>
      </c>
      <c r="CC137" s="230">
        <v>4629075</v>
      </c>
      <c r="CD137" s="230">
        <v>87725</v>
      </c>
      <c r="CE137" s="229">
        <v>1.9E-2</v>
      </c>
      <c r="CF137" s="230">
        <v>46750</v>
      </c>
      <c r="CG137" s="230">
        <v>36575</v>
      </c>
      <c r="CH137" s="230">
        <v>10175</v>
      </c>
      <c r="CI137" s="229">
        <v>0.2782</v>
      </c>
      <c r="CJ137" s="230">
        <v>5225</v>
      </c>
      <c r="CK137" s="230">
        <v>4125</v>
      </c>
      <c r="CL137" s="230">
        <v>1100</v>
      </c>
      <c r="CM137" s="229">
        <v>0.26669999999999999</v>
      </c>
      <c r="CN137" s="230">
        <v>1588400</v>
      </c>
      <c r="CO137" s="230">
        <v>1599125</v>
      </c>
      <c r="CP137" s="230">
        <v>-10725</v>
      </c>
      <c r="CQ137" s="229">
        <v>-6.7000000000000002E-3</v>
      </c>
      <c r="CR137" s="230">
        <v>947375</v>
      </c>
      <c r="CS137" s="230">
        <v>952600</v>
      </c>
      <c r="CT137" s="230">
        <v>-5225</v>
      </c>
      <c r="CU137" s="229">
        <v>-5.4999999999999997E-3</v>
      </c>
      <c r="CV137" s="230">
        <v>7304550</v>
      </c>
      <c r="CW137" s="230">
        <v>7221500</v>
      </c>
      <c r="CX137" s="230">
        <v>83050</v>
      </c>
      <c r="CY137" s="229">
        <v>1.15E-2</v>
      </c>
      <c r="CZ137" s="228">
        <v>35.25</v>
      </c>
      <c r="DA137" s="228">
        <v>36.369999999999997</v>
      </c>
      <c r="DB137" s="228">
        <v>-1.1200000000000001</v>
      </c>
      <c r="DC137" s="228">
        <v>-1.1200000000000001</v>
      </c>
      <c r="DD137" s="228">
        <v>37.090000000000003</v>
      </c>
      <c r="DE137" s="228">
        <v>37.18</v>
      </c>
      <c r="DF137" s="228">
        <v>-1.84</v>
      </c>
      <c r="DG137" s="228">
        <v>-0.09</v>
      </c>
      <c r="DH137" s="228">
        <v>35.1</v>
      </c>
      <c r="DI137" s="228">
        <v>35.92</v>
      </c>
      <c r="DJ137" s="228">
        <v>-0.82</v>
      </c>
      <c r="DK137" s="228">
        <v>-0.82</v>
      </c>
      <c r="DL137" s="228">
        <v>35.75</v>
      </c>
      <c r="DM137" s="228">
        <v>37.299999999999997</v>
      </c>
      <c r="DN137" s="228">
        <v>-1.55</v>
      </c>
      <c r="DO137" s="228">
        <v>-1.55</v>
      </c>
      <c r="DP137" s="228">
        <v>0.6</v>
      </c>
      <c r="DQ137" s="228">
        <v>0.6</v>
      </c>
      <c r="DR137" s="228">
        <v>0</v>
      </c>
      <c r="DS137" s="229">
        <v>0</v>
      </c>
      <c r="DT137" s="231">
        <v>2300</v>
      </c>
      <c r="DU137" s="231">
        <v>2200</v>
      </c>
      <c r="DV137" s="228">
        <v>0.28999999999999998</v>
      </c>
      <c r="DW137" s="228">
        <v>0.48</v>
      </c>
      <c r="DX137" s="228">
        <v>-0.19</v>
      </c>
      <c r="DY137" s="229">
        <v>-0.39579999999999999</v>
      </c>
      <c r="DZ137" s="229">
        <v>1.09E-2</v>
      </c>
      <c r="EA137" s="230">
        <v>40700</v>
      </c>
      <c r="EB137" s="229">
        <v>6.7999999999999996E-3</v>
      </c>
      <c r="EC137" s="229">
        <v>1.09E-2</v>
      </c>
      <c r="ED137" s="228">
        <v>17.579999999999998</v>
      </c>
      <c r="EE137" s="229">
        <v>7.9000000000000008E-3</v>
      </c>
      <c r="EF137" s="230">
        <v>108293</v>
      </c>
      <c r="EG137" s="230">
        <v>224493</v>
      </c>
      <c r="EH137" s="229">
        <v>-0.51759999999999995</v>
      </c>
      <c r="EI137" s="229">
        <v>0.2485</v>
      </c>
      <c r="EJ137" s="231">
        <v>66986.100000000006</v>
      </c>
      <c r="EK137" s="231">
        <v>17974.41</v>
      </c>
      <c r="EL137" s="231">
        <v>25489.67</v>
      </c>
      <c r="EM137" s="231">
        <v>5815</v>
      </c>
      <c r="EN137" s="231">
        <v>110450.18</v>
      </c>
      <c r="EO137" s="231">
        <v>77068.44</v>
      </c>
      <c r="EP137" s="231">
        <v>33381.74</v>
      </c>
      <c r="EQ137" s="229">
        <v>0.43309999999999998</v>
      </c>
      <c r="ER137" s="231">
        <v>37597</v>
      </c>
      <c r="ES137" s="231">
        <v>20724</v>
      </c>
      <c r="ET137" s="231">
        <v>106457</v>
      </c>
      <c r="EU137" s="231">
        <v>19838356</v>
      </c>
      <c r="EV137" s="231">
        <v>164778</v>
      </c>
      <c r="EW137" s="231">
        <v>162366</v>
      </c>
      <c r="EX137" s="231">
        <v>2412</v>
      </c>
      <c r="EY137" s="229">
        <v>1.49E-2</v>
      </c>
      <c r="EZ137" s="229">
        <v>0.36820000000000003</v>
      </c>
      <c r="FA137" s="227" t="s">
        <v>555</v>
      </c>
      <c r="FB137" s="161">
        <f t="shared" si="2"/>
        <v>51975</v>
      </c>
    </row>
    <row r="138" spans="1:158" ht="17.25" thickBot="1" x14ac:dyDescent="0.3">
      <c r="A138" s="226">
        <v>46148</v>
      </c>
      <c r="B138" s="227" t="s">
        <v>175</v>
      </c>
      <c r="C138" s="227" t="s">
        <v>262</v>
      </c>
      <c r="D138" s="228">
        <v>275</v>
      </c>
      <c r="E138" s="231">
        <v>3556.9</v>
      </c>
      <c r="F138" s="231">
        <v>3466.1</v>
      </c>
      <c r="G138" s="228">
        <v>90.8</v>
      </c>
      <c r="H138" s="229">
        <v>2.6200000000000001E-2</v>
      </c>
      <c r="I138" s="231">
        <v>3533.6</v>
      </c>
      <c r="J138" s="231">
        <v>3446.4</v>
      </c>
      <c r="K138" s="228">
        <v>87.2</v>
      </c>
      <c r="L138" s="229">
        <v>2.53E-2</v>
      </c>
      <c r="M138" s="231">
        <v>3556.9</v>
      </c>
      <c r="N138" s="231">
        <v>3466.1</v>
      </c>
      <c r="O138" s="228">
        <v>90.8</v>
      </c>
      <c r="P138" s="229">
        <v>2.6200000000000001E-2</v>
      </c>
      <c r="Q138" s="231">
        <v>3570.7</v>
      </c>
      <c r="R138" s="231">
        <v>3487.9</v>
      </c>
      <c r="S138" s="228">
        <v>82.8</v>
      </c>
      <c r="T138" s="229">
        <v>2.3699999999999999E-2</v>
      </c>
      <c r="U138" s="231">
        <v>3592.7</v>
      </c>
      <c r="V138" s="231">
        <v>3480</v>
      </c>
      <c r="W138" s="228">
        <v>112.7</v>
      </c>
      <c r="X138" s="229">
        <v>3.2399999999999998E-2</v>
      </c>
      <c r="Y138" s="228">
        <v>23.3</v>
      </c>
      <c r="Z138" s="228">
        <v>19.7</v>
      </c>
      <c r="AA138" s="228">
        <v>3.6</v>
      </c>
      <c r="AB138" s="229">
        <v>6.6E-3</v>
      </c>
      <c r="AC138" s="228">
        <v>23.3</v>
      </c>
      <c r="AD138" s="228">
        <v>19.7</v>
      </c>
      <c r="AE138" s="228">
        <v>3.6</v>
      </c>
      <c r="AF138" s="229">
        <v>6.6E-3</v>
      </c>
      <c r="AG138" s="228">
        <v>37.1</v>
      </c>
      <c r="AH138" s="228">
        <v>41.5</v>
      </c>
      <c r="AI138" s="228">
        <v>-4.4000000000000004</v>
      </c>
      <c r="AJ138" s="229">
        <v>1.0500000000000001E-2</v>
      </c>
      <c r="AK138" s="228">
        <v>59.1</v>
      </c>
      <c r="AL138" s="228">
        <v>33.6</v>
      </c>
      <c r="AM138" s="228">
        <v>25.5</v>
      </c>
      <c r="AN138" s="229">
        <v>1.67E-2</v>
      </c>
      <c r="AO138" s="231">
        <v>3526.45</v>
      </c>
      <c r="AP138" s="231">
        <v>3537.42</v>
      </c>
      <c r="AQ138" s="228">
        <v>0</v>
      </c>
      <c r="AR138" s="230">
        <v>845350</v>
      </c>
      <c r="AS138" s="230">
        <v>662200</v>
      </c>
      <c r="AT138" s="230">
        <v>183150</v>
      </c>
      <c r="AU138" s="229">
        <v>0.27660000000000001</v>
      </c>
      <c r="AV138" s="230">
        <v>812350</v>
      </c>
      <c r="AW138" s="230">
        <v>633325</v>
      </c>
      <c r="AX138" s="230">
        <v>179025</v>
      </c>
      <c r="AY138" s="229">
        <v>0.28270000000000001</v>
      </c>
      <c r="AZ138" s="230">
        <v>31350</v>
      </c>
      <c r="BA138" s="230">
        <v>25300</v>
      </c>
      <c r="BB138" s="230">
        <v>6050</v>
      </c>
      <c r="BC138" s="229">
        <v>0.23910000000000001</v>
      </c>
      <c r="BD138" s="230">
        <v>1650</v>
      </c>
      <c r="BE138" s="230">
        <v>3575</v>
      </c>
      <c r="BF138" s="230">
        <v>-1925</v>
      </c>
      <c r="BG138" s="229">
        <v>-0.53849999999999998</v>
      </c>
      <c r="BH138" s="230">
        <v>1413500</v>
      </c>
      <c r="BI138" s="230">
        <v>1211650</v>
      </c>
      <c r="BJ138" s="230">
        <v>201850</v>
      </c>
      <c r="BK138" s="229">
        <v>0.1666</v>
      </c>
      <c r="BL138" s="230">
        <v>717200</v>
      </c>
      <c r="BM138" s="230">
        <v>726550</v>
      </c>
      <c r="BN138" s="230">
        <v>-9350</v>
      </c>
      <c r="BO138" s="229">
        <v>-1.29E-2</v>
      </c>
      <c r="BP138" s="230">
        <v>2976050</v>
      </c>
      <c r="BQ138" s="230">
        <v>2600400</v>
      </c>
      <c r="BR138" s="230">
        <v>375650</v>
      </c>
      <c r="BS138" s="229">
        <v>0.14449999999999999</v>
      </c>
      <c r="BT138" s="230">
        <v>815297</v>
      </c>
      <c r="BU138" s="230">
        <v>457621</v>
      </c>
      <c r="BV138" s="230">
        <v>357676</v>
      </c>
      <c r="BW138" s="229">
        <v>0.78159999999999996</v>
      </c>
      <c r="BX138" s="230">
        <v>3777950</v>
      </c>
      <c r="BY138" s="230">
        <v>3776850</v>
      </c>
      <c r="BZ138" s="230">
        <v>1100</v>
      </c>
      <c r="CA138" s="229">
        <v>2.9999999999999997E-4</v>
      </c>
      <c r="CB138" s="230">
        <v>3714700</v>
      </c>
      <c r="CC138" s="230">
        <v>3708650</v>
      </c>
      <c r="CD138" s="230">
        <v>6050</v>
      </c>
      <c r="CE138" s="229">
        <v>1.6000000000000001E-3</v>
      </c>
      <c r="CF138" s="230">
        <v>59950</v>
      </c>
      <c r="CG138" s="230">
        <v>64900</v>
      </c>
      <c r="CH138" s="230">
        <v>-4950</v>
      </c>
      <c r="CI138" s="229">
        <v>-7.6300000000000007E-2</v>
      </c>
      <c r="CJ138" s="230">
        <v>3300</v>
      </c>
      <c r="CK138" s="230">
        <v>3300</v>
      </c>
      <c r="CL138" s="228">
        <v>0</v>
      </c>
      <c r="CM138" s="229">
        <v>0</v>
      </c>
      <c r="CN138" s="230">
        <v>1275725</v>
      </c>
      <c r="CO138" s="230">
        <v>1077450</v>
      </c>
      <c r="CP138" s="230">
        <v>198275</v>
      </c>
      <c r="CQ138" s="229">
        <v>0.184</v>
      </c>
      <c r="CR138" s="230">
        <v>846175</v>
      </c>
      <c r="CS138" s="230">
        <v>759000</v>
      </c>
      <c r="CT138" s="230">
        <v>87175</v>
      </c>
      <c r="CU138" s="229">
        <v>0.1149</v>
      </c>
      <c r="CV138" s="230">
        <v>5899850</v>
      </c>
      <c r="CW138" s="230">
        <v>5613300</v>
      </c>
      <c r="CX138" s="230">
        <v>286550</v>
      </c>
      <c r="CY138" s="229">
        <v>5.0999999999999997E-2</v>
      </c>
      <c r="CZ138" s="228">
        <v>40.18</v>
      </c>
      <c r="DA138" s="228">
        <v>41.12</v>
      </c>
      <c r="DB138" s="228">
        <v>-0.94</v>
      </c>
      <c r="DC138" s="228">
        <v>-0.94</v>
      </c>
      <c r="DD138" s="228">
        <v>43.43</v>
      </c>
      <c r="DE138" s="228">
        <v>43.4</v>
      </c>
      <c r="DF138" s="228">
        <v>-3.25</v>
      </c>
      <c r="DG138" s="228">
        <v>0.03</v>
      </c>
      <c r="DH138" s="228">
        <v>39.549999999999997</v>
      </c>
      <c r="DI138" s="228">
        <v>40.65</v>
      </c>
      <c r="DJ138" s="228">
        <v>-1.1000000000000001</v>
      </c>
      <c r="DK138" s="228">
        <v>-1.1000000000000001</v>
      </c>
      <c r="DL138" s="228">
        <v>41.42</v>
      </c>
      <c r="DM138" s="228">
        <v>41.91</v>
      </c>
      <c r="DN138" s="228">
        <v>-0.49</v>
      </c>
      <c r="DO138" s="228">
        <v>-0.49</v>
      </c>
      <c r="DP138" s="228">
        <v>0.66</v>
      </c>
      <c r="DQ138" s="228">
        <v>0.7</v>
      </c>
      <c r="DR138" s="228">
        <v>-0.04</v>
      </c>
      <c r="DS138" s="229">
        <v>-5.7099999999999998E-2</v>
      </c>
      <c r="DT138" s="231">
        <v>4000</v>
      </c>
      <c r="DU138" s="231">
        <v>3500</v>
      </c>
      <c r="DV138" s="228">
        <v>0.51</v>
      </c>
      <c r="DW138" s="228">
        <v>0.6</v>
      </c>
      <c r="DX138" s="228">
        <v>-0.09</v>
      </c>
      <c r="DY138" s="229">
        <v>-0.15</v>
      </c>
      <c r="DZ138" s="229">
        <v>1.67E-2</v>
      </c>
      <c r="EA138" s="230">
        <v>68200</v>
      </c>
      <c r="EB138" s="229">
        <v>3.8999999999999998E-3</v>
      </c>
      <c r="EC138" s="229">
        <v>1.67E-2</v>
      </c>
      <c r="ED138" s="228">
        <v>10.97</v>
      </c>
      <c r="EE138" s="229">
        <v>3.0999999999999999E-3</v>
      </c>
      <c r="EF138" s="230">
        <v>493442</v>
      </c>
      <c r="EG138" s="230">
        <v>134922</v>
      </c>
      <c r="EH138" s="229">
        <v>2.6572</v>
      </c>
      <c r="EI138" s="229">
        <v>0.60519999999999996</v>
      </c>
      <c r="EJ138" s="231">
        <v>53062.21</v>
      </c>
      <c r="EK138" s="231">
        <v>24525.200000000001</v>
      </c>
      <c r="EL138" s="231">
        <v>29814.99</v>
      </c>
      <c r="EM138" s="231">
        <v>1980</v>
      </c>
      <c r="EN138" s="231">
        <v>107402.4</v>
      </c>
      <c r="EO138" s="231">
        <v>92353.65</v>
      </c>
      <c r="EP138" s="231">
        <v>15048.75</v>
      </c>
      <c r="EQ138" s="229">
        <v>0.16289999999999999</v>
      </c>
      <c r="ER138" s="231">
        <v>46794</v>
      </c>
      <c r="ES138" s="231">
        <v>28591</v>
      </c>
      <c r="ET138" s="231">
        <v>134387</v>
      </c>
      <c r="EU138" s="231">
        <v>16050690</v>
      </c>
      <c r="EV138" s="231">
        <v>209772</v>
      </c>
      <c r="EW138" s="231">
        <v>196021</v>
      </c>
      <c r="EX138" s="231">
        <v>13751</v>
      </c>
      <c r="EY138" s="229">
        <v>7.0199999999999999E-2</v>
      </c>
      <c r="EZ138" s="229">
        <v>0.36759999999999998</v>
      </c>
      <c r="FA138" s="227" t="s">
        <v>555</v>
      </c>
      <c r="FB138" s="161">
        <f t="shared" si="2"/>
        <v>63250</v>
      </c>
    </row>
    <row r="139" spans="1:158" ht="17.25" thickBot="1" x14ac:dyDescent="0.3">
      <c r="A139" s="226">
        <v>46148</v>
      </c>
      <c r="B139" s="227" t="s">
        <v>175</v>
      </c>
      <c r="C139" s="227" t="s">
        <v>486</v>
      </c>
      <c r="D139" s="228">
        <v>625</v>
      </c>
      <c r="E139" s="231">
        <v>1093.3</v>
      </c>
      <c r="F139" s="231">
        <v>1054.2</v>
      </c>
      <c r="G139" s="228">
        <v>39.1</v>
      </c>
      <c r="H139" s="229">
        <v>3.7100000000000001E-2</v>
      </c>
      <c r="I139" s="231">
        <v>1094.2</v>
      </c>
      <c r="J139" s="231">
        <v>1052.8</v>
      </c>
      <c r="K139" s="228">
        <v>41.4</v>
      </c>
      <c r="L139" s="229">
        <v>3.9300000000000002E-2</v>
      </c>
      <c r="M139" s="231">
        <v>1093.3</v>
      </c>
      <c r="N139" s="231">
        <v>1054.2</v>
      </c>
      <c r="O139" s="228">
        <v>39.1</v>
      </c>
      <c r="P139" s="229">
        <v>3.7100000000000001E-2</v>
      </c>
      <c r="Q139" s="231">
        <v>1080</v>
      </c>
      <c r="R139" s="231">
        <v>1039.5</v>
      </c>
      <c r="S139" s="228">
        <v>40.5</v>
      </c>
      <c r="T139" s="229">
        <v>3.9E-2</v>
      </c>
      <c r="U139" s="228">
        <v>995</v>
      </c>
      <c r="V139" s="228">
        <v>995</v>
      </c>
      <c r="W139" s="228">
        <v>0</v>
      </c>
      <c r="X139" s="229">
        <v>0</v>
      </c>
      <c r="Y139" s="228">
        <v>-0.9</v>
      </c>
      <c r="Z139" s="228">
        <v>1.4</v>
      </c>
      <c r="AA139" s="228">
        <v>-2.2999999999999998</v>
      </c>
      <c r="AB139" s="229">
        <v>-8.0000000000000004E-4</v>
      </c>
      <c r="AC139" s="228">
        <v>-0.9</v>
      </c>
      <c r="AD139" s="228">
        <v>1.4</v>
      </c>
      <c r="AE139" s="228">
        <v>-2.2999999999999998</v>
      </c>
      <c r="AF139" s="229">
        <v>-8.0000000000000004E-4</v>
      </c>
      <c r="AG139" s="228">
        <v>-14.2</v>
      </c>
      <c r="AH139" s="228">
        <v>-13.3</v>
      </c>
      <c r="AI139" s="228">
        <v>-0.9</v>
      </c>
      <c r="AJ139" s="229">
        <v>-1.2999999999999999E-2</v>
      </c>
      <c r="AK139" s="228">
        <v>-99.2</v>
      </c>
      <c r="AL139" s="228">
        <v>-57.8</v>
      </c>
      <c r="AM139" s="228">
        <v>-41.4</v>
      </c>
      <c r="AN139" s="229">
        <v>-9.0700000000000003E-2</v>
      </c>
      <c r="AO139" s="231">
        <v>1082.6099999999999</v>
      </c>
      <c r="AP139" s="231">
        <v>1067.8699999999999</v>
      </c>
      <c r="AQ139" s="228">
        <v>0</v>
      </c>
      <c r="AR139" s="230">
        <v>1629375</v>
      </c>
      <c r="AS139" s="230">
        <v>1110625</v>
      </c>
      <c r="AT139" s="230">
        <v>518750</v>
      </c>
      <c r="AU139" s="229">
        <v>0.46710000000000002</v>
      </c>
      <c r="AV139" s="230">
        <v>1519375</v>
      </c>
      <c r="AW139" s="230">
        <v>1072500</v>
      </c>
      <c r="AX139" s="230">
        <v>446875</v>
      </c>
      <c r="AY139" s="229">
        <v>0.41670000000000001</v>
      </c>
      <c r="AZ139" s="230">
        <v>110000</v>
      </c>
      <c r="BA139" s="230">
        <v>38125</v>
      </c>
      <c r="BB139" s="230">
        <v>71875</v>
      </c>
      <c r="BC139" s="229">
        <v>1.8852</v>
      </c>
      <c r="BD139" s="228">
        <v>0</v>
      </c>
      <c r="BE139" s="228">
        <v>0</v>
      </c>
      <c r="BF139" s="228">
        <v>0</v>
      </c>
      <c r="BG139" s="229">
        <v>0</v>
      </c>
      <c r="BH139" s="230">
        <v>4650000</v>
      </c>
      <c r="BI139" s="230">
        <v>3765000</v>
      </c>
      <c r="BJ139" s="230">
        <v>885000</v>
      </c>
      <c r="BK139" s="229">
        <v>0.2351</v>
      </c>
      <c r="BL139" s="230">
        <v>898125</v>
      </c>
      <c r="BM139" s="230">
        <v>593750</v>
      </c>
      <c r="BN139" s="230">
        <v>304375</v>
      </c>
      <c r="BO139" s="229">
        <v>0.51259999999999994</v>
      </c>
      <c r="BP139" s="230">
        <v>7177500</v>
      </c>
      <c r="BQ139" s="230">
        <v>5469375</v>
      </c>
      <c r="BR139" s="230">
        <v>1708125</v>
      </c>
      <c r="BS139" s="229">
        <v>0.31230000000000002</v>
      </c>
      <c r="BT139" s="230">
        <v>1691169</v>
      </c>
      <c r="BU139" s="230">
        <v>1240121</v>
      </c>
      <c r="BV139" s="230">
        <v>451048</v>
      </c>
      <c r="BW139" s="229">
        <v>0.36370000000000002</v>
      </c>
      <c r="BX139" s="230">
        <v>3794375</v>
      </c>
      <c r="BY139" s="230">
        <v>3403750</v>
      </c>
      <c r="BZ139" s="230">
        <v>390625</v>
      </c>
      <c r="CA139" s="229">
        <v>0.1148</v>
      </c>
      <c r="CB139" s="230">
        <v>3685000</v>
      </c>
      <c r="CC139" s="230">
        <v>3343750</v>
      </c>
      <c r="CD139" s="230">
        <v>341250</v>
      </c>
      <c r="CE139" s="229">
        <v>0.1021</v>
      </c>
      <c r="CF139" s="230">
        <v>108125</v>
      </c>
      <c r="CG139" s="230">
        <v>58750</v>
      </c>
      <c r="CH139" s="230">
        <v>49375</v>
      </c>
      <c r="CI139" s="229">
        <v>0.84040000000000004</v>
      </c>
      <c r="CJ139" s="230">
        <v>1250</v>
      </c>
      <c r="CK139" s="230">
        <v>1250</v>
      </c>
      <c r="CL139" s="228">
        <v>0</v>
      </c>
      <c r="CM139" s="229">
        <v>0</v>
      </c>
      <c r="CN139" s="230">
        <v>1342500</v>
      </c>
      <c r="CO139" s="230">
        <v>1413750</v>
      </c>
      <c r="CP139" s="230">
        <v>-71250</v>
      </c>
      <c r="CQ139" s="229">
        <v>-5.04E-2</v>
      </c>
      <c r="CR139" s="230">
        <v>535625</v>
      </c>
      <c r="CS139" s="230">
        <v>550625</v>
      </c>
      <c r="CT139" s="230">
        <v>-15000</v>
      </c>
      <c r="CU139" s="229">
        <v>-2.7199999999999998E-2</v>
      </c>
      <c r="CV139" s="230">
        <v>5672500</v>
      </c>
      <c r="CW139" s="230">
        <v>5368125</v>
      </c>
      <c r="CX139" s="230">
        <v>304375</v>
      </c>
      <c r="CY139" s="229">
        <v>5.67E-2</v>
      </c>
      <c r="CZ139" s="228">
        <v>36.76</v>
      </c>
      <c r="DA139" s="228">
        <v>39.33</v>
      </c>
      <c r="DB139" s="228">
        <v>-2.57</v>
      </c>
      <c r="DC139" s="228">
        <v>-2.57</v>
      </c>
      <c r="DD139" s="228">
        <v>50.38</v>
      </c>
      <c r="DE139" s="228">
        <v>50.23</v>
      </c>
      <c r="DF139" s="228">
        <v>-13.62</v>
      </c>
      <c r="DG139" s="228">
        <v>0.15</v>
      </c>
      <c r="DH139" s="228">
        <v>35.97</v>
      </c>
      <c r="DI139" s="228">
        <v>39.06</v>
      </c>
      <c r="DJ139" s="228">
        <v>-3.09</v>
      </c>
      <c r="DK139" s="228">
        <v>-3.09</v>
      </c>
      <c r="DL139" s="228">
        <v>40.880000000000003</v>
      </c>
      <c r="DM139" s="228">
        <v>41.08</v>
      </c>
      <c r="DN139" s="228">
        <v>-0.2</v>
      </c>
      <c r="DO139" s="228">
        <v>-0.2</v>
      </c>
      <c r="DP139" s="228">
        <v>0.4</v>
      </c>
      <c r="DQ139" s="228">
        <v>0.39</v>
      </c>
      <c r="DR139" s="228">
        <v>0.01</v>
      </c>
      <c r="DS139" s="229">
        <v>2.5600000000000001E-2</v>
      </c>
      <c r="DT139" s="231">
        <v>1200</v>
      </c>
      <c r="DU139" s="231">
        <v>1000</v>
      </c>
      <c r="DV139" s="228">
        <v>0.19</v>
      </c>
      <c r="DW139" s="228">
        <v>0.16</v>
      </c>
      <c r="DX139" s="228">
        <v>0.03</v>
      </c>
      <c r="DY139" s="229">
        <v>0.1875</v>
      </c>
      <c r="DZ139" s="229">
        <v>2.8799999999999999E-2</v>
      </c>
      <c r="EA139" s="230">
        <v>60000</v>
      </c>
      <c r="EB139" s="229">
        <v>-1.2200000000000001E-2</v>
      </c>
      <c r="EC139" s="229">
        <v>2.8799999999999999E-2</v>
      </c>
      <c r="ED139" s="228">
        <v>-14.74</v>
      </c>
      <c r="EE139" s="229">
        <v>-1.3599999999999999E-2</v>
      </c>
      <c r="EF139" s="230">
        <v>795599</v>
      </c>
      <c r="EG139" s="230">
        <v>457216</v>
      </c>
      <c r="EH139" s="229">
        <v>0.74009999999999998</v>
      </c>
      <c r="EI139" s="229">
        <v>0.47039999999999998</v>
      </c>
      <c r="EJ139" s="231">
        <v>53226.69</v>
      </c>
      <c r="EK139" s="231">
        <v>9052.74</v>
      </c>
      <c r="EL139" s="231">
        <v>17623.52</v>
      </c>
      <c r="EM139" s="231">
        <v>1266</v>
      </c>
      <c r="EN139" s="231">
        <v>79902.95</v>
      </c>
      <c r="EO139" s="231">
        <v>60413.97</v>
      </c>
      <c r="EP139" s="231">
        <v>19488.98</v>
      </c>
      <c r="EQ139" s="229">
        <v>0.3226</v>
      </c>
      <c r="ER139" s="231">
        <v>15120</v>
      </c>
      <c r="ES139" s="231">
        <v>5245</v>
      </c>
      <c r="ET139" s="231">
        <v>41468</v>
      </c>
      <c r="EU139" s="231">
        <v>26709548</v>
      </c>
      <c r="EV139" s="231">
        <v>61834</v>
      </c>
      <c r="EW139" s="231">
        <v>56921</v>
      </c>
      <c r="EX139" s="231">
        <v>4913</v>
      </c>
      <c r="EY139" s="229">
        <v>8.6300000000000002E-2</v>
      </c>
      <c r="EZ139" s="229">
        <v>0.21240000000000001</v>
      </c>
      <c r="FA139" s="227" t="s">
        <v>555</v>
      </c>
      <c r="FB139" s="161">
        <f>BX139-CB139</f>
        <v>109375</v>
      </c>
    </row>
    <row r="140" spans="1:158" ht="17.25" thickBot="1" x14ac:dyDescent="0.3">
      <c r="A140" s="226">
        <v>46148</v>
      </c>
      <c r="B140" s="227" t="s">
        <v>227</v>
      </c>
      <c r="C140" s="227" t="s">
        <v>263</v>
      </c>
      <c r="D140" s="228">
        <v>1875</v>
      </c>
      <c r="E140" s="228">
        <v>407</v>
      </c>
      <c r="F140" s="228">
        <v>414.05</v>
      </c>
      <c r="G140" s="228">
        <v>-7.05</v>
      </c>
      <c r="H140" s="229">
        <v>-1.7000000000000001E-2</v>
      </c>
      <c r="I140" s="228">
        <v>406.55</v>
      </c>
      <c r="J140" s="228">
        <v>413.6</v>
      </c>
      <c r="K140" s="228">
        <v>-7.05</v>
      </c>
      <c r="L140" s="229">
        <v>-1.7000000000000001E-2</v>
      </c>
      <c r="M140" s="228">
        <v>407</v>
      </c>
      <c r="N140" s="228">
        <v>414.05</v>
      </c>
      <c r="O140" s="228">
        <v>-7.05</v>
      </c>
      <c r="P140" s="229">
        <v>-1.7000000000000001E-2</v>
      </c>
      <c r="Q140" s="228">
        <v>408.85</v>
      </c>
      <c r="R140" s="228">
        <v>416.05</v>
      </c>
      <c r="S140" s="228">
        <v>-7.2</v>
      </c>
      <c r="T140" s="229">
        <v>-1.7299999999999999E-2</v>
      </c>
      <c r="U140" s="228">
        <v>410.85</v>
      </c>
      <c r="V140" s="228">
        <v>417.35</v>
      </c>
      <c r="W140" s="228">
        <v>-6.5</v>
      </c>
      <c r="X140" s="229">
        <v>-1.5599999999999999E-2</v>
      </c>
      <c r="Y140" s="228">
        <v>0.45</v>
      </c>
      <c r="Z140" s="228">
        <v>0.45</v>
      </c>
      <c r="AA140" s="228">
        <v>0</v>
      </c>
      <c r="AB140" s="229">
        <v>1.1000000000000001E-3</v>
      </c>
      <c r="AC140" s="228">
        <v>0.45</v>
      </c>
      <c r="AD140" s="228">
        <v>0.45</v>
      </c>
      <c r="AE140" s="228">
        <v>0</v>
      </c>
      <c r="AF140" s="229">
        <v>1.1000000000000001E-3</v>
      </c>
      <c r="AG140" s="228">
        <v>2.2999999999999998</v>
      </c>
      <c r="AH140" s="228">
        <v>2.4500000000000002</v>
      </c>
      <c r="AI140" s="228">
        <v>-0.15</v>
      </c>
      <c r="AJ140" s="229">
        <v>5.7000000000000002E-3</v>
      </c>
      <c r="AK140" s="228">
        <v>4.3</v>
      </c>
      <c r="AL140" s="228">
        <v>3.75</v>
      </c>
      <c r="AM140" s="228">
        <v>0.55000000000000004</v>
      </c>
      <c r="AN140" s="229">
        <v>1.06E-2</v>
      </c>
      <c r="AO140" s="228">
        <v>412.53</v>
      </c>
      <c r="AP140" s="228">
        <v>413.36</v>
      </c>
      <c r="AQ140" s="228">
        <v>0</v>
      </c>
      <c r="AR140" s="230">
        <v>14362500</v>
      </c>
      <c r="AS140" s="230">
        <v>11625000</v>
      </c>
      <c r="AT140" s="230">
        <v>2737500</v>
      </c>
      <c r="AU140" s="229">
        <v>0.23549999999999999</v>
      </c>
      <c r="AV140" s="230">
        <v>13768125</v>
      </c>
      <c r="AW140" s="230">
        <v>11201250</v>
      </c>
      <c r="AX140" s="230">
        <v>2566875</v>
      </c>
      <c r="AY140" s="229">
        <v>0.22919999999999999</v>
      </c>
      <c r="AZ140" s="230">
        <v>511875</v>
      </c>
      <c r="BA140" s="230">
        <v>352500</v>
      </c>
      <c r="BB140" s="230">
        <v>159375</v>
      </c>
      <c r="BC140" s="229">
        <v>0.4521</v>
      </c>
      <c r="BD140" s="230">
        <v>82500</v>
      </c>
      <c r="BE140" s="230">
        <v>71250</v>
      </c>
      <c r="BF140" s="230">
        <v>11250</v>
      </c>
      <c r="BG140" s="229">
        <v>0.15790000000000001</v>
      </c>
      <c r="BH140" s="230">
        <v>31479375</v>
      </c>
      <c r="BI140" s="230">
        <v>34153125</v>
      </c>
      <c r="BJ140" s="230">
        <v>-2673750</v>
      </c>
      <c r="BK140" s="229">
        <v>-7.8299999999999995E-2</v>
      </c>
      <c r="BL140" s="230">
        <v>16006875</v>
      </c>
      <c r="BM140" s="230">
        <v>14872500</v>
      </c>
      <c r="BN140" s="230">
        <v>1134375</v>
      </c>
      <c r="BO140" s="229">
        <v>7.6300000000000007E-2</v>
      </c>
      <c r="BP140" s="230">
        <v>61848750</v>
      </c>
      <c r="BQ140" s="230">
        <v>60650625</v>
      </c>
      <c r="BR140" s="230">
        <v>1198125</v>
      </c>
      <c r="BS140" s="229">
        <v>1.9800000000000002E-2</v>
      </c>
      <c r="BT140" s="230">
        <v>8584416</v>
      </c>
      <c r="BU140" s="230">
        <v>8242720</v>
      </c>
      <c r="BV140" s="230">
        <v>341696</v>
      </c>
      <c r="BW140" s="229">
        <v>4.1500000000000002E-2</v>
      </c>
      <c r="BX140" s="230">
        <v>53060625</v>
      </c>
      <c r="BY140" s="230">
        <v>52340625</v>
      </c>
      <c r="BZ140" s="230">
        <v>720000</v>
      </c>
      <c r="CA140" s="229">
        <v>1.38E-2</v>
      </c>
      <c r="CB140" s="230">
        <v>51603750</v>
      </c>
      <c r="CC140" s="230">
        <v>51052500</v>
      </c>
      <c r="CD140" s="230">
        <v>551250</v>
      </c>
      <c r="CE140" s="229">
        <v>1.0800000000000001E-2</v>
      </c>
      <c r="CF140" s="230">
        <v>1265625</v>
      </c>
      <c r="CG140" s="230">
        <v>1126875</v>
      </c>
      <c r="CH140" s="230">
        <v>138750</v>
      </c>
      <c r="CI140" s="229">
        <v>0.1231</v>
      </c>
      <c r="CJ140" s="230">
        <v>191250</v>
      </c>
      <c r="CK140" s="230">
        <v>161250</v>
      </c>
      <c r="CL140" s="230">
        <v>30000</v>
      </c>
      <c r="CM140" s="229">
        <v>0.186</v>
      </c>
      <c r="CN140" s="230">
        <v>29827500</v>
      </c>
      <c r="CO140" s="230">
        <v>28620000</v>
      </c>
      <c r="CP140" s="230">
        <v>1207500</v>
      </c>
      <c r="CQ140" s="229">
        <v>4.2200000000000001E-2</v>
      </c>
      <c r="CR140" s="230">
        <v>15761250</v>
      </c>
      <c r="CS140" s="230">
        <v>15581250</v>
      </c>
      <c r="CT140" s="230">
        <v>180000</v>
      </c>
      <c r="CU140" s="229">
        <v>1.1599999999999999E-2</v>
      </c>
      <c r="CV140" s="230">
        <v>98649375</v>
      </c>
      <c r="CW140" s="230">
        <v>96541875</v>
      </c>
      <c r="CX140" s="230">
        <v>2107500</v>
      </c>
      <c r="CY140" s="229">
        <v>2.18E-2</v>
      </c>
      <c r="CZ140" s="228">
        <v>38.630000000000003</v>
      </c>
      <c r="DA140" s="228">
        <v>38.78</v>
      </c>
      <c r="DB140" s="228">
        <v>-0.15</v>
      </c>
      <c r="DC140" s="228">
        <v>-0.15</v>
      </c>
      <c r="DD140" s="228">
        <v>51.89</v>
      </c>
      <c r="DE140" s="228">
        <v>51.97</v>
      </c>
      <c r="DF140" s="228">
        <v>-13.26</v>
      </c>
      <c r="DG140" s="228">
        <v>-0.08</v>
      </c>
      <c r="DH140" s="228">
        <v>38.67</v>
      </c>
      <c r="DI140" s="228">
        <v>38.57</v>
      </c>
      <c r="DJ140" s="228">
        <v>0.1</v>
      </c>
      <c r="DK140" s="228">
        <v>0.1</v>
      </c>
      <c r="DL140" s="228">
        <v>38.54</v>
      </c>
      <c r="DM140" s="228">
        <v>39.270000000000003</v>
      </c>
      <c r="DN140" s="228">
        <v>-0.73</v>
      </c>
      <c r="DO140" s="228">
        <v>-0.73</v>
      </c>
      <c r="DP140" s="228">
        <v>0.53</v>
      </c>
      <c r="DQ140" s="228">
        <v>0.54</v>
      </c>
      <c r="DR140" s="228">
        <v>-0.01</v>
      </c>
      <c r="DS140" s="229">
        <v>-1.8499999999999999E-2</v>
      </c>
      <c r="DT140" s="228">
        <v>450</v>
      </c>
      <c r="DU140" s="228">
        <v>400</v>
      </c>
      <c r="DV140" s="228">
        <v>0.51</v>
      </c>
      <c r="DW140" s="228">
        <v>0.44</v>
      </c>
      <c r="DX140" s="228">
        <v>7.0000000000000007E-2</v>
      </c>
      <c r="DY140" s="229">
        <v>0.15909999999999999</v>
      </c>
      <c r="DZ140" s="229">
        <v>2.75E-2</v>
      </c>
      <c r="EA140" s="230">
        <v>1288125</v>
      </c>
      <c r="EB140" s="229">
        <v>4.4999999999999997E-3</v>
      </c>
      <c r="EC140" s="229">
        <v>2.75E-2</v>
      </c>
      <c r="ED140" s="228">
        <v>0.83</v>
      </c>
      <c r="EE140" s="229">
        <v>2E-3</v>
      </c>
      <c r="EF140" s="230">
        <v>3166164</v>
      </c>
      <c r="EG140" s="230">
        <v>2925192</v>
      </c>
      <c r="EH140" s="229">
        <v>8.2400000000000001E-2</v>
      </c>
      <c r="EI140" s="229">
        <v>0.36880000000000002</v>
      </c>
      <c r="EJ140" s="231">
        <v>139065.87</v>
      </c>
      <c r="EK140" s="231">
        <v>65331.7</v>
      </c>
      <c r="EL140" s="231">
        <v>59258.85</v>
      </c>
      <c r="EM140" s="231">
        <v>10228</v>
      </c>
      <c r="EN140" s="231">
        <v>263656.42</v>
      </c>
      <c r="EO140" s="231">
        <v>259133.33</v>
      </c>
      <c r="EP140" s="231">
        <v>4523.09</v>
      </c>
      <c r="EQ140" s="229">
        <v>1.7500000000000002E-2</v>
      </c>
      <c r="ER140" s="231">
        <v>132638</v>
      </c>
      <c r="ES140" s="231">
        <v>63951</v>
      </c>
      <c r="ET140" s="231">
        <v>215988</v>
      </c>
      <c r="EU140" s="231">
        <v>134225816</v>
      </c>
      <c r="EV140" s="231">
        <v>412576</v>
      </c>
      <c r="EW140" s="231">
        <v>407510</v>
      </c>
      <c r="EX140" s="231">
        <v>5066</v>
      </c>
      <c r="EY140" s="229">
        <v>1.24E-2</v>
      </c>
      <c r="EZ140" s="229">
        <v>0.73499999999999999</v>
      </c>
      <c r="FA140" s="227" t="s">
        <v>566</v>
      </c>
      <c r="FB140" s="161">
        <f>BX140-CB140</f>
        <v>1456875</v>
      </c>
    </row>
    <row r="141" spans="1:158" ht="17.25" thickBot="1" x14ac:dyDescent="0.3">
      <c r="A141" s="226">
        <v>46148</v>
      </c>
      <c r="B141" s="227" t="s">
        <v>614</v>
      </c>
      <c r="C141" s="227" t="s">
        <v>264</v>
      </c>
      <c r="D141" s="228">
        <v>375</v>
      </c>
      <c r="E141" s="228">
        <v>988.7</v>
      </c>
      <c r="F141" s="228">
        <v>969.4</v>
      </c>
      <c r="G141" s="228">
        <v>19.3</v>
      </c>
      <c r="H141" s="229">
        <v>1.9900000000000001E-2</v>
      </c>
      <c r="I141" s="228">
        <v>981.4</v>
      </c>
      <c r="J141" s="228">
        <v>963.95</v>
      </c>
      <c r="K141" s="228">
        <v>17.45</v>
      </c>
      <c r="L141" s="229">
        <v>1.8100000000000002E-2</v>
      </c>
      <c r="M141" s="228">
        <v>988.7</v>
      </c>
      <c r="N141" s="228">
        <v>969.4</v>
      </c>
      <c r="O141" s="228">
        <v>19.3</v>
      </c>
      <c r="P141" s="229">
        <v>1.9900000000000001E-2</v>
      </c>
      <c r="Q141" s="228">
        <v>995.7</v>
      </c>
      <c r="R141" s="228">
        <v>974.45</v>
      </c>
      <c r="S141" s="228">
        <v>21.25</v>
      </c>
      <c r="T141" s="229">
        <v>2.18E-2</v>
      </c>
      <c r="U141" s="228">
        <v>996</v>
      </c>
      <c r="V141" s="228">
        <v>978</v>
      </c>
      <c r="W141" s="228">
        <v>18</v>
      </c>
      <c r="X141" s="229">
        <v>1.84E-2</v>
      </c>
      <c r="Y141" s="228">
        <v>7.3</v>
      </c>
      <c r="Z141" s="228">
        <v>5.45</v>
      </c>
      <c r="AA141" s="228">
        <v>1.85</v>
      </c>
      <c r="AB141" s="229">
        <v>7.4000000000000003E-3</v>
      </c>
      <c r="AC141" s="228">
        <v>7.3</v>
      </c>
      <c r="AD141" s="228">
        <v>5.45</v>
      </c>
      <c r="AE141" s="228">
        <v>1.85</v>
      </c>
      <c r="AF141" s="229">
        <v>7.4000000000000003E-3</v>
      </c>
      <c r="AG141" s="228">
        <v>14.3</v>
      </c>
      <c r="AH141" s="228">
        <v>10.5</v>
      </c>
      <c r="AI141" s="228">
        <v>3.8</v>
      </c>
      <c r="AJ141" s="229">
        <v>1.46E-2</v>
      </c>
      <c r="AK141" s="228">
        <v>14.6</v>
      </c>
      <c r="AL141" s="228">
        <v>14.05</v>
      </c>
      <c r="AM141" s="228">
        <v>0.55000000000000004</v>
      </c>
      <c r="AN141" s="229">
        <v>1.49E-2</v>
      </c>
      <c r="AO141" s="228">
        <v>982.89</v>
      </c>
      <c r="AP141" s="228">
        <v>988.13</v>
      </c>
      <c r="AQ141" s="228">
        <v>0</v>
      </c>
      <c r="AR141" s="230">
        <v>1900875</v>
      </c>
      <c r="AS141" s="230">
        <v>1291125</v>
      </c>
      <c r="AT141" s="230">
        <v>609750</v>
      </c>
      <c r="AU141" s="229">
        <v>0.4723</v>
      </c>
      <c r="AV141" s="230">
        <v>1829625</v>
      </c>
      <c r="AW141" s="230">
        <v>1266000</v>
      </c>
      <c r="AX141" s="230">
        <v>563625</v>
      </c>
      <c r="AY141" s="229">
        <v>0.44519999999999998</v>
      </c>
      <c r="AZ141" s="230">
        <v>66375</v>
      </c>
      <c r="BA141" s="230">
        <v>24000</v>
      </c>
      <c r="BB141" s="230">
        <v>42375</v>
      </c>
      <c r="BC141" s="229">
        <v>1.7656000000000001</v>
      </c>
      <c r="BD141" s="230">
        <v>4875</v>
      </c>
      <c r="BE141" s="230">
        <v>1125</v>
      </c>
      <c r="BF141" s="230">
        <v>3750</v>
      </c>
      <c r="BG141" s="229">
        <v>3.3332999999999999</v>
      </c>
      <c r="BH141" s="230">
        <v>2315625</v>
      </c>
      <c r="BI141" s="230">
        <v>2266500</v>
      </c>
      <c r="BJ141" s="230">
        <v>49125</v>
      </c>
      <c r="BK141" s="229">
        <v>2.1700000000000001E-2</v>
      </c>
      <c r="BL141" s="230">
        <v>779250</v>
      </c>
      <c r="BM141" s="230">
        <v>843750</v>
      </c>
      <c r="BN141" s="230">
        <v>-64500</v>
      </c>
      <c r="BO141" s="229">
        <v>-7.6399999999999996E-2</v>
      </c>
      <c r="BP141" s="230">
        <v>4995750</v>
      </c>
      <c r="BQ141" s="230">
        <v>4401375</v>
      </c>
      <c r="BR141" s="230">
        <v>594375</v>
      </c>
      <c r="BS141" s="229">
        <v>0.13500000000000001</v>
      </c>
      <c r="BT141" s="230">
        <v>2326500</v>
      </c>
      <c r="BU141" s="230">
        <v>1366818</v>
      </c>
      <c r="BV141" s="230">
        <v>959682</v>
      </c>
      <c r="BW141" s="229">
        <v>0.70209999999999995</v>
      </c>
      <c r="BX141" s="230">
        <v>11075500</v>
      </c>
      <c r="BY141" s="230">
        <v>10568600</v>
      </c>
      <c r="BZ141" s="230">
        <v>506900</v>
      </c>
      <c r="CA141" s="229">
        <v>4.8000000000000001E-2</v>
      </c>
      <c r="CB141" s="230">
        <v>10918875</v>
      </c>
      <c r="CC141" s="230">
        <v>10431750</v>
      </c>
      <c r="CD141" s="230">
        <v>487125</v>
      </c>
      <c r="CE141" s="229">
        <v>4.6699999999999998E-2</v>
      </c>
      <c r="CF141" s="230">
        <v>142875</v>
      </c>
      <c r="CG141" s="230">
        <v>127500</v>
      </c>
      <c r="CH141" s="230">
        <v>15375</v>
      </c>
      <c r="CI141" s="229">
        <v>0.1206</v>
      </c>
      <c r="CJ141" s="230">
        <v>13750</v>
      </c>
      <c r="CK141" s="230">
        <v>9350</v>
      </c>
      <c r="CL141" s="230">
        <v>4400</v>
      </c>
      <c r="CM141" s="229">
        <v>0.47060000000000002</v>
      </c>
      <c r="CN141" s="230">
        <v>2840250</v>
      </c>
      <c r="CO141" s="230">
        <v>2611875</v>
      </c>
      <c r="CP141" s="230">
        <v>228375</v>
      </c>
      <c r="CQ141" s="229">
        <v>8.7400000000000005E-2</v>
      </c>
      <c r="CR141" s="230">
        <v>988125</v>
      </c>
      <c r="CS141" s="230">
        <v>1003125</v>
      </c>
      <c r="CT141" s="230">
        <v>-15000</v>
      </c>
      <c r="CU141" s="229">
        <v>-1.4999999999999999E-2</v>
      </c>
      <c r="CV141" s="230">
        <v>14903875</v>
      </c>
      <c r="CW141" s="230">
        <v>14183600</v>
      </c>
      <c r="CX141" s="230">
        <v>720275</v>
      </c>
      <c r="CY141" s="229">
        <v>5.0799999999999998E-2</v>
      </c>
      <c r="CZ141" s="228">
        <v>33.99</v>
      </c>
      <c r="DA141" s="228">
        <v>34.520000000000003</v>
      </c>
      <c r="DB141" s="228">
        <v>-0.53</v>
      </c>
      <c r="DC141" s="228">
        <v>-0.53</v>
      </c>
      <c r="DD141" s="228">
        <v>36.56</v>
      </c>
      <c r="DE141" s="228">
        <v>36.56</v>
      </c>
      <c r="DF141" s="228">
        <v>-2.57</v>
      </c>
      <c r="DG141" s="228">
        <v>0</v>
      </c>
      <c r="DH141" s="228">
        <v>33.64</v>
      </c>
      <c r="DI141" s="228">
        <v>34.39</v>
      </c>
      <c r="DJ141" s="228">
        <v>-0.75</v>
      </c>
      <c r="DK141" s="228">
        <v>-0.75</v>
      </c>
      <c r="DL141" s="228">
        <v>35.049999999999997</v>
      </c>
      <c r="DM141" s="228">
        <v>34.89</v>
      </c>
      <c r="DN141" s="228">
        <v>0.16</v>
      </c>
      <c r="DO141" s="228">
        <v>0.16</v>
      </c>
      <c r="DP141" s="228">
        <v>0.35</v>
      </c>
      <c r="DQ141" s="228">
        <v>0.38</v>
      </c>
      <c r="DR141" s="228">
        <v>-0.03</v>
      </c>
      <c r="DS141" s="229">
        <v>-7.8899999999999998E-2</v>
      </c>
      <c r="DT141" s="231">
        <v>1000</v>
      </c>
      <c r="DU141" s="228">
        <v>900</v>
      </c>
      <c r="DV141" s="228">
        <v>0.34</v>
      </c>
      <c r="DW141" s="228">
        <v>0.37</v>
      </c>
      <c r="DX141" s="228">
        <v>-0.03</v>
      </c>
      <c r="DY141" s="229">
        <v>-8.1100000000000005E-2</v>
      </c>
      <c r="DZ141" s="229">
        <v>1.41E-2</v>
      </c>
      <c r="EA141" s="230">
        <v>136850</v>
      </c>
      <c r="EB141" s="229">
        <v>7.1000000000000004E-3</v>
      </c>
      <c r="EC141" s="229">
        <v>1.41E-2</v>
      </c>
      <c r="ED141" s="228">
        <v>5.24</v>
      </c>
      <c r="EE141" s="229">
        <v>5.3E-3</v>
      </c>
      <c r="EF141" s="230">
        <v>1601517</v>
      </c>
      <c r="EG141" s="230">
        <v>909588</v>
      </c>
      <c r="EH141" s="229">
        <v>0.76070000000000004</v>
      </c>
      <c r="EI141" s="229">
        <v>0.68840000000000001</v>
      </c>
      <c r="EJ141" s="231">
        <v>24200.67</v>
      </c>
      <c r="EK141" s="231">
        <v>7648.42</v>
      </c>
      <c r="EL141" s="231">
        <v>18709.919999999998</v>
      </c>
      <c r="EM141" s="231">
        <v>3829</v>
      </c>
      <c r="EN141" s="231">
        <v>50559.01</v>
      </c>
      <c r="EO141" s="231">
        <v>44938.19</v>
      </c>
      <c r="EP141" s="231">
        <v>5620.82</v>
      </c>
      <c r="EQ141" s="229">
        <v>0.12509999999999999</v>
      </c>
      <c r="ER141" s="231">
        <v>29778</v>
      </c>
      <c r="ES141" s="231">
        <v>9500</v>
      </c>
      <c r="ET141" s="231">
        <v>109514</v>
      </c>
      <c r="EU141" s="231">
        <v>60562281</v>
      </c>
      <c r="EV141" s="231">
        <v>148793</v>
      </c>
      <c r="EW141" s="231">
        <v>139427</v>
      </c>
      <c r="EX141" s="231">
        <v>9366</v>
      </c>
      <c r="EY141" s="229">
        <v>6.7199999999999996E-2</v>
      </c>
      <c r="EZ141" s="229">
        <v>0.24610000000000001</v>
      </c>
      <c r="FA141" s="227" t="s">
        <v>555</v>
      </c>
      <c r="FB141" s="161">
        <f>BX216-CB216</f>
        <v>329400</v>
      </c>
    </row>
    <row r="142" spans="1:158" ht="17.25" thickBot="1" x14ac:dyDescent="0.3">
      <c r="A142" s="226">
        <v>46148</v>
      </c>
      <c r="B142" s="227" t="s">
        <v>206</v>
      </c>
      <c r="C142" s="227" t="s">
        <v>550</v>
      </c>
      <c r="D142" s="228">
        <v>6500</v>
      </c>
      <c r="E142" s="228">
        <v>95.59</v>
      </c>
      <c r="F142" s="228">
        <v>93.18</v>
      </c>
      <c r="G142" s="228">
        <v>2.41</v>
      </c>
      <c r="H142" s="229">
        <v>2.5899999999999999E-2</v>
      </c>
      <c r="I142" s="228">
        <v>94.94</v>
      </c>
      <c r="J142" s="228">
        <v>92.92</v>
      </c>
      <c r="K142" s="228">
        <v>2.02</v>
      </c>
      <c r="L142" s="229">
        <v>2.1700000000000001E-2</v>
      </c>
      <c r="M142" s="228">
        <v>95.59</v>
      </c>
      <c r="N142" s="228">
        <v>93.18</v>
      </c>
      <c r="O142" s="228">
        <v>2.41</v>
      </c>
      <c r="P142" s="229">
        <v>2.5899999999999999E-2</v>
      </c>
      <c r="Q142" s="228">
        <v>96.19</v>
      </c>
      <c r="R142" s="228">
        <v>93.69</v>
      </c>
      <c r="S142" s="228">
        <v>2.5</v>
      </c>
      <c r="T142" s="229">
        <v>2.6700000000000002E-2</v>
      </c>
      <c r="U142" s="228">
        <v>96.8</v>
      </c>
      <c r="V142" s="228">
        <v>95</v>
      </c>
      <c r="W142" s="228">
        <v>1.8</v>
      </c>
      <c r="X142" s="229">
        <v>1.89E-2</v>
      </c>
      <c r="Y142" s="228">
        <v>0.65</v>
      </c>
      <c r="Z142" s="228">
        <v>0.26</v>
      </c>
      <c r="AA142" s="228">
        <v>0.39</v>
      </c>
      <c r="AB142" s="229">
        <v>6.7999999999999996E-3</v>
      </c>
      <c r="AC142" s="228">
        <v>0.65</v>
      </c>
      <c r="AD142" s="228">
        <v>0.26</v>
      </c>
      <c r="AE142" s="228">
        <v>0.39</v>
      </c>
      <c r="AF142" s="229">
        <v>6.7999999999999996E-3</v>
      </c>
      <c r="AG142" s="228">
        <v>1.25</v>
      </c>
      <c r="AH142" s="228">
        <v>0.77</v>
      </c>
      <c r="AI142" s="228">
        <v>0.48</v>
      </c>
      <c r="AJ142" s="229">
        <v>1.32E-2</v>
      </c>
      <c r="AK142" s="228">
        <v>1.86</v>
      </c>
      <c r="AL142" s="228">
        <v>2.08</v>
      </c>
      <c r="AM142" s="228">
        <v>-0.22</v>
      </c>
      <c r="AN142" s="229">
        <v>1.9599999999999999E-2</v>
      </c>
      <c r="AO142" s="228">
        <v>95.45</v>
      </c>
      <c r="AP142" s="228">
        <v>95.99</v>
      </c>
      <c r="AQ142" s="228">
        <v>0</v>
      </c>
      <c r="AR142" s="230">
        <v>16867500</v>
      </c>
      <c r="AS142" s="230">
        <v>4329000</v>
      </c>
      <c r="AT142" s="230">
        <v>12538500</v>
      </c>
      <c r="AU142" s="229">
        <v>2.8963999999999999</v>
      </c>
      <c r="AV142" s="230">
        <v>16061500</v>
      </c>
      <c r="AW142" s="230">
        <v>4056000</v>
      </c>
      <c r="AX142" s="230">
        <v>12005500</v>
      </c>
      <c r="AY142" s="229">
        <v>2.9599000000000002</v>
      </c>
      <c r="AZ142" s="230">
        <v>741000</v>
      </c>
      <c r="BA142" s="230">
        <v>273000</v>
      </c>
      <c r="BB142" s="230">
        <v>468000</v>
      </c>
      <c r="BC142" s="229">
        <v>1.7142999999999999</v>
      </c>
      <c r="BD142" s="230">
        <v>65000</v>
      </c>
      <c r="BE142" s="228">
        <v>0</v>
      </c>
      <c r="BF142" s="230">
        <v>65000</v>
      </c>
      <c r="BG142" s="229">
        <v>0</v>
      </c>
      <c r="BH142" s="230">
        <v>29334500</v>
      </c>
      <c r="BI142" s="230">
        <v>6890000</v>
      </c>
      <c r="BJ142" s="230">
        <v>22444500</v>
      </c>
      <c r="BK142" s="229">
        <v>3.2574999999999998</v>
      </c>
      <c r="BL142" s="230">
        <v>10432500</v>
      </c>
      <c r="BM142" s="230">
        <v>3503500</v>
      </c>
      <c r="BN142" s="230">
        <v>6929000</v>
      </c>
      <c r="BO142" s="229">
        <v>1.9777</v>
      </c>
      <c r="BP142" s="230">
        <v>56634500</v>
      </c>
      <c r="BQ142" s="230">
        <v>14722500</v>
      </c>
      <c r="BR142" s="230">
        <v>41912000</v>
      </c>
      <c r="BS142" s="229">
        <v>2.8468</v>
      </c>
      <c r="BT142" s="230">
        <v>13964761</v>
      </c>
      <c r="BU142" s="230">
        <v>6407083</v>
      </c>
      <c r="BV142" s="230">
        <v>7557678</v>
      </c>
      <c r="BW142" s="229">
        <v>1.1796</v>
      </c>
      <c r="BX142" s="230">
        <v>76414000</v>
      </c>
      <c r="BY142" s="230">
        <v>73632000</v>
      </c>
      <c r="BZ142" s="230">
        <v>2782000</v>
      </c>
      <c r="CA142" s="229">
        <v>3.78E-2</v>
      </c>
      <c r="CB142" s="230">
        <v>74490000</v>
      </c>
      <c r="CC142" s="230">
        <v>71870500</v>
      </c>
      <c r="CD142" s="230">
        <v>2619500</v>
      </c>
      <c r="CE142" s="229">
        <v>3.6400000000000002E-2</v>
      </c>
      <c r="CF142" s="230">
        <v>1833000</v>
      </c>
      <c r="CG142" s="230">
        <v>1703000</v>
      </c>
      <c r="CH142" s="230">
        <v>130000</v>
      </c>
      <c r="CI142" s="229">
        <v>7.6300000000000007E-2</v>
      </c>
      <c r="CJ142" s="230">
        <v>91000</v>
      </c>
      <c r="CK142" s="230">
        <v>58500</v>
      </c>
      <c r="CL142" s="230">
        <v>32500</v>
      </c>
      <c r="CM142" s="229">
        <v>0.55559999999999998</v>
      </c>
      <c r="CN142" s="230">
        <v>16451500</v>
      </c>
      <c r="CO142" s="230">
        <v>15223000</v>
      </c>
      <c r="CP142" s="230">
        <v>1228500</v>
      </c>
      <c r="CQ142" s="229">
        <v>8.0699999999999994E-2</v>
      </c>
      <c r="CR142" s="230">
        <v>12941500</v>
      </c>
      <c r="CS142" s="230">
        <v>11134500</v>
      </c>
      <c r="CT142" s="230">
        <v>1807000</v>
      </c>
      <c r="CU142" s="229">
        <v>0.1623</v>
      </c>
      <c r="CV142" s="230">
        <v>105807000</v>
      </c>
      <c r="CW142" s="230">
        <v>99989500</v>
      </c>
      <c r="CX142" s="230">
        <v>5817500</v>
      </c>
      <c r="CY142" s="229">
        <v>5.8200000000000002E-2</v>
      </c>
      <c r="CZ142" s="228">
        <v>39.700000000000003</v>
      </c>
      <c r="DA142" s="228">
        <v>40.31</v>
      </c>
      <c r="DB142" s="228">
        <v>-0.61</v>
      </c>
      <c r="DC142" s="228">
        <v>-0.61</v>
      </c>
      <c r="DD142" s="228">
        <v>50.7</v>
      </c>
      <c r="DE142" s="228">
        <v>50.71</v>
      </c>
      <c r="DF142" s="228">
        <v>-11</v>
      </c>
      <c r="DG142" s="228">
        <v>-0.01</v>
      </c>
      <c r="DH142" s="228">
        <v>39.72</v>
      </c>
      <c r="DI142" s="228">
        <v>40.229999999999997</v>
      </c>
      <c r="DJ142" s="228">
        <v>-0.51</v>
      </c>
      <c r="DK142" s="228">
        <v>-0.51</v>
      </c>
      <c r="DL142" s="228">
        <v>39.64</v>
      </c>
      <c r="DM142" s="228">
        <v>40.450000000000003</v>
      </c>
      <c r="DN142" s="228">
        <v>-0.81</v>
      </c>
      <c r="DO142" s="228">
        <v>-0.81</v>
      </c>
      <c r="DP142" s="228">
        <v>0.79</v>
      </c>
      <c r="DQ142" s="228">
        <v>0.73</v>
      </c>
      <c r="DR142" s="228">
        <v>0.06</v>
      </c>
      <c r="DS142" s="229">
        <v>8.2199999999999995E-2</v>
      </c>
      <c r="DT142" s="228">
        <v>100</v>
      </c>
      <c r="DU142" s="228">
        <v>90</v>
      </c>
      <c r="DV142" s="228">
        <v>0.36</v>
      </c>
      <c r="DW142" s="228">
        <v>0.51</v>
      </c>
      <c r="DX142" s="228">
        <v>-0.15</v>
      </c>
      <c r="DY142" s="229">
        <v>-0.29409999999999997</v>
      </c>
      <c r="DZ142" s="229">
        <v>2.52E-2</v>
      </c>
      <c r="EA142" s="230">
        <v>1761500</v>
      </c>
      <c r="EB142" s="229">
        <v>6.3E-3</v>
      </c>
      <c r="EC142" s="229">
        <v>2.52E-2</v>
      </c>
      <c r="ED142" s="228">
        <v>0.54</v>
      </c>
      <c r="EE142" s="229">
        <v>5.7000000000000002E-3</v>
      </c>
      <c r="EF142" s="230">
        <v>3562377</v>
      </c>
      <c r="EG142" s="230">
        <v>1581461</v>
      </c>
      <c r="EH142" s="229">
        <v>1.2525999999999999</v>
      </c>
      <c r="EI142" s="229">
        <v>0.25509999999999999</v>
      </c>
      <c r="EJ142" s="231">
        <v>29703.63</v>
      </c>
      <c r="EK142" s="231">
        <v>9679.4</v>
      </c>
      <c r="EL142" s="231">
        <v>16105.22</v>
      </c>
      <c r="EM142" s="231">
        <v>1053</v>
      </c>
      <c r="EN142" s="231">
        <v>55488.25</v>
      </c>
      <c r="EO142" s="231">
        <v>13951.44</v>
      </c>
      <c r="EP142" s="231">
        <v>41536.81</v>
      </c>
      <c r="EQ142" s="229">
        <v>2.9771999999999998</v>
      </c>
      <c r="ER142" s="231">
        <v>16143</v>
      </c>
      <c r="ES142" s="231">
        <v>11968</v>
      </c>
      <c r="ET142" s="231">
        <v>73056</v>
      </c>
      <c r="EU142" s="231">
        <v>154894704</v>
      </c>
      <c r="EV142" s="231">
        <v>101167</v>
      </c>
      <c r="EW142" s="231">
        <v>93762</v>
      </c>
      <c r="EX142" s="231">
        <v>7405</v>
      </c>
      <c r="EY142" s="229">
        <v>7.9000000000000001E-2</v>
      </c>
      <c r="EZ142" s="229">
        <v>0.68310000000000004</v>
      </c>
      <c r="FA142" s="227" t="s">
        <v>555</v>
      </c>
      <c r="FB142" s="161">
        <f t="shared" ref="FB142:FB161" si="3">BX217-CB217</f>
        <v>0</v>
      </c>
    </row>
    <row r="143" spans="1:158" ht="17.25" thickBot="1" x14ac:dyDescent="0.3">
      <c r="A143" s="226">
        <v>46148</v>
      </c>
      <c r="B143" s="227" t="s">
        <v>168</v>
      </c>
      <c r="C143" s="227" t="s">
        <v>265</v>
      </c>
      <c r="D143" s="228">
        <v>500</v>
      </c>
      <c r="E143" s="231">
        <v>1490.7</v>
      </c>
      <c r="F143" s="231">
        <v>1479.8</v>
      </c>
      <c r="G143" s="228">
        <v>10.9</v>
      </c>
      <c r="H143" s="229">
        <v>7.4000000000000003E-3</v>
      </c>
      <c r="I143" s="231">
        <v>1486.1</v>
      </c>
      <c r="J143" s="231">
        <v>1477.8</v>
      </c>
      <c r="K143" s="228">
        <v>8.3000000000000007</v>
      </c>
      <c r="L143" s="229">
        <v>5.5999999999999999E-3</v>
      </c>
      <c r="M143" s="231">
        <v>1490.7</v>
      </c>
      <c r="N143" s="231">
        <v>1479.8</v>
      </c>
      <c r="O143" s="228">
        <v>10.9</v>
      </c>
      <c r="P143" s="229">
        <v>7.4000000000000003E-3</v>
      </c>
      <c r="Q143" s="231">
        <v>1499.1</v>
      </c>
      <c r="R143" s="231">
        <v>1488.7</v>
      </c>
      <c r="S143" s="228">
        <v>10.4</v>
      </c>
      <c r="T143" s="229">
        <v>7.0000000000000001E-3</v>
      </c>
      <c r="U143" s="231">
        <v>1503.8</v>
      </c>
      <c r="V143" s="231">
        <v>1492.9</v>
      </c>
      <c r="W143" s="228">
        <v>10.9</v>
      </c>
      <c r="X143" s="229">
        <v>7.3000000000000001E-3</v>
      </c>
      <c r="Y143" s="228">
        <v>4.5999999999999996</v>
      </c>
      <c r="Z143" s="228">
        <v>2</v>
      </c>
      <c r="AA143" s="228">
        <v>2.6</v>
      </c>
      <c r="AB143" s="229">
        <v>3.0999999999999999E-3</v>
      </c>
      <c r="AC143" s="228">
        <v>4.5999999999999996</v>
      </c>
      <c r="AD143" s="228">
        <v>2</v>
      </c>
      <c r="AE143" s="228">
        <v>2.6</v>
      </c>
      <c r="AF143" s="229">
        <v>3.0999999999999999E-3</v>
      </c>
      <c r="AG143" s="228">
        <v>13</v>
      </c>
      <c r="AH143" s="228">
        <v>10.9</v>
      </c>
      <c r="AI143" s="228">
        <v>2.1</v>
      </c>
      <c r="AJ143" s="229">
        <v>8.6999999999999994E-3</v>
      </c>
      <c r="AK143" s="228">
        <v>17.7</v>
      </c>
      <c r="AL143" s="228">
        <v>15.1</v>
      </c>
      <c r="AM143" s="228">
        <v>2.6</v>
      </c>
      <c r="AN143" s="229">
        <v>1.1900000000000001E-2</v>
      </c>
      <c r="AO143" s="231">
        <v>1484.3</v>
      </c>
      <c r="AP143" s="231">
        <v>1492.74</v>
      </c>
      <c r="AQ143" s="228">
        <v>0</v>
      </c>
      <c r="AR143" s="230">
        <v>2249500</v>
      </c>
      <c r="AS143" s="230">
        <v>2279500</v>
      </c>
      <c r="AT143" s="230">
        <v>-30000</v>
      </c>
      <c r="AU143" s="229">
        <v>-1.32E-2</v>
      </c>
      <c r="AV143" s="230">
        <v>2087000</v>
      </c>
      <c r="AW143" s="230">
        <v>2190500</v>
      </c>
      <c r="AX143" s="230">
        <v>-103500</v>
      </c>
      <c r="AY143" s="229">
        <v>-4.7199999999999999E-2</v>
      </c>
      <c r="AZ143" s="230">
        <v>77500</v>
      </c>
      <c r="BA143" s="230">
        <v>80500</v>
      </c>
      <c r="BB143" s="230">
        <v>-3000</v>
      </c>
      <c r="BC143" s="229">
        <v>-3.73E-2</v>
      </c>
      <c r="BD143" s="230">
        <v>85000</v>
      </c>
      <c r="BE143" s="230">
        <v>8500</v>
      </c>
      <c r="BF143" s="230">
        <v>76500</v>
      </c>
      <c r="BG143" s="229">
        <v>9</v>
      </c>
      <c r="BH143" s="230">
        <v>4954500</v>
      </c>
      <c r="BI143" s="230">
        <v>4712000</v>
      </c>
      <c r="BJ143" s="230">
        <v>242500</v>
      </c>
      <c r="BK143" s="229">
        <v>5.1499999999999997E-2</v>
      </c>
      <c r="BL143" s="230">
        <v>4701000</v>
      </c>
      <c r="BM143" s="230">
        <v>3295500</v>
      </c>
      <c r="BN143" s="230">
        <v>1405500</v>
      </c>
      <c r="BO143" s="229">
        <v>0.42649999999999999</v>
      </c>
      <c r="BP143" s="230">
        <v>11905000</v>
      </c>
      <c r="BQ143" s="230">
        <v>10287000</v>
      </c>
      <c r="BR143" s="230">
        <v>1618000</v>
      </c>
      <c r="BS143" s="229">
        <v>0.1573</v>
      </c>
      <c r="BT143" s="230">
        <v>2300779</v>
      </c>
      <c r="BU143" s="230">
        <v>2630637</v>
      </c>
      <c r="BV143" s="230">
        <v>-329858</v>
      </c>
      <c r="BW143" s="229">
        <v>-0.12540000000000001</v>
      </c>
      <c r="BX143" s="230">
        <v>14470000</v>
      </c>
      <c r="BY143" s="230">
        <v>14404000</v>
      </c>
      <c r="BZ143" s="230">
        <v>66000</v>
      </c>
      <c r="CA143" s="229">
        <v>4.5999999999999999E-3</v>
      </c>
      <c r="CB143" s="230">
        <v>13296500</v>
      </c>
      <c r="CC143" s="230">
        <v>13316500</v>
      </c>
      <c r="CD143" s="230">
        <v>-20000</v>
      </c>
      <c r="CE143" s="229">
        <v>-1.5E-3</v>
      </c>
      <c r="CF143" s="230">
        <v>1090000</v>
      </c>
      <c r="CG143" s="230">
        <v>1073000</v>
      </c>
      <c r="CH143" s="230">
        <v>17000</v>
      </c>
      <c r="CI143" s="229">
        <v>1.5800000000000002E-2</v>
      </c>
      <c r="CJ143" s="230">
        <v>83500</v>
      </c>
      <c r="CK143" s="230">
        <v>14500</v>
      </c>
      <c r="CL143" s="230">
        <v>69000</v>
      </c>
      <c r="CM143" s="229">
        <v>4.7586000000000004</v>
      </c>
      <c r="CN143" s="230">
        <v>4218000</v>
      </c>
      <c r="CO143" s="230">
        <v>4013000</v>
      </c>
      <c r="CP143" s="230">
        <v>205000</v>
      </c>
      <c r="CQ143" s="229">
        <v>5.11E-2</v>
      </c>
      <c r="CR143" s="230">
        <v>4548000</v>
      </c>
      <c r="CS143" s="230">
        <v>3740000</v>
      </c>
      <c r="CT143" s="230">
        <v>808000</v>
      </c>
      <c r="CU143" s="229">
        <v>0.216</v>
      </c>
      <c r="CV143" s="230">
        <v>23236000</v>
      </c>
      <c r="CW143" s="230">
        <v>22157000</v>
      </c>
      <c r="CX143" s="230">
        <v>1079000</v>
      </c>
      <c r="CY143" s="229">
        <v>4.87E-2</v>
      </c>
      <c r="CZ143" s="228">
        <v>22.25</v>
      </c>
      <c r="DA143" s="228">
        <v>22.43</v>
      </c>
      <c r="DB143" s="228">
        <v>-0.18</v>
      </c>
      <c r="DC143" s="228">
        <v>-0.18</v>
      </c>
      <c r="DD143" s="228">
        <v>25.07</v>
      </c>
      <c r="DE143" s="228">
        <v>25.13</v>
      </c>
      <c r="DF143" s="228">
        <v>-2.82</v>
      </c>
      <c r="DG143" s="228">
        <v>-0.06</v>
      </c>
      <c r="DH143" s="228">
        <v>20.420000000000002</v>
      </c>
      <c r="DI143" s="228">
        <v>21.48</v>
      </c>
      <c r="DJ143" s="228">
        <v>-1.06</v>
      </c>
      <c r="DK143" s="228">
        <v>-1.06</v>
      </c>
      <c r="DL143" s="228">
        <v>24.17</v>
      </c>
      <c r="DM143" s="228">
        <v>23.8</v>
      </c>
      <c r="DN143" s="228">
        <v>0.37</v>
      </c>
      <c r="DO143" s="228">
        <v>0.37</v>
      </c>
      <c r="DP143" s="228">
        <v>1.08</v>
      </c>
      <c r="DQ143" s="228">
        <v>0.93</v>
      </c>
      <c r="DR143" s="228">
        <v>0.15</v>
      </c>
      <c r="DS143" s="229">
        <v>0.1613</v>
      </c>
      <c r="DT143" s="231">
        <v>1480</v>
      </c>
      <c r="DU143" s="231">
        <v>1400</v>
      </c>
      <c r="DV143" s="228">
        <v>0.95</v>
      </c>
      <c r="DW143" s="228">
        <v>0.7</v>
      </c>
      <c r="DX143" s="228">
        <v>0.25</v>
      </c>
      <c r="DY143" s="229">
        <v>0.35709999999999997</v>
      </c>
      <c r="DZ143" s="229">
        <v>8.1100000000000005E-2</v>
      </c>
      <c r="EA143" s="230">
        <v>1087500</v>
      </c>
      <c r="EB143" s="229">
        <v>5.5999999999999999E-3</v>
      </c>
      <c r="EC143" s="229">
        <v>8.1100000000000005E-2</v>
      </c>
      <c r="ED143" s="228">
        <v>8.44</v>
      </c>
      <c r="EE143" s="229">
        <v>5.7000000000000002E-3</v>
      </c>
      <c r="EF143" s="230">
        <v>1635787</v>
      </c>
      <c r="EG143" s="230">
        <v>1755470</v>
      </c>
      <c r="EH143" s="229">
        <v>-6.8199999999999997E-2</v>
      </c>
      <c r="EI143" s="229">
        <v>0.71099999999999997</v>
      </c>
      <c r="EJ143" s="231">
        <v>75776.3</v>
      </c>
      <c r="EK143" s="231">
        <v>68056.77</v>
      </c>
      <c r="EL143" s="231">
        <v>33402.639999999999</v>
      </c>
      <c r="EM143" s="231">
        <v>3946</v>
      </c>
      <c r="EN143" s="231">
        <v>177235.71</v>
      </c>
      <c r="EO143" s="231">
        <v>153043.6</v>
      </c>
      <c r="EP143" s="231">
        <v>24192.11</v>
      </c>
      <c r="EQ143" s="229">
        <v>0.15809999999999999</v>
      </c>
      <c r="ER143" s="231">
        <v>62483</v>
      </c>
      <c r="ES143" s="231">
        <v>63938</v>
      </c>
      <c r="ET143" s="231">
        <v>215807</v>
      </c>
      <c r="EU143" s="231">
        <v>71801274</v>
      </c>
      <c r="EV143" s="231">
        <v>342227</v>
      </c>
      <c r="EW143" s="231">
        <v>324714</v>
      </c>
      <c r="EX143" s="231">
        <v>17513</v>
      </c>
      <c r="EY143" s="229">
        <v>5.3900000000000003E-2</v>
      </c>
      <c r="EZ143" s="229">
        <v>0.3236</v>
      </c>
      <c r="FA143" s="227" t="s">
        <v>555</v>
      </c>
      <c r="FB143" s="161">
        <f t="shared" si="3"/>
        <v>0</v>
      </c>
    </row>
    <row r="144" spans="1:158" ht="17.25" thickBot="1" x14ac:dyDescent="0.3">
      <c r="A144" s="226">
        <v>46148</v>
      </c>
      <c r="B144" s="227" t="s">
        <v>161</v>
      </c>
      <c r="C144" s="227" t="s">
        <v>584</v>
      </c>
      <c r="D144" s="228">
        <v>6400</v>
      </c>
      <c r="E144" s="228">
        <v>83.06</v>
      </c>
      <c r="F144" s="228">
        <v>82.56</v>
      </c>
      <c r="G144" s="228">
        <v>0.5</v>
      </c>
      <c r="H144" s="229">
        <v>6.1000000000000004E-3</v>
      </c>
      <c r="I144" s="228">
        <v>83.66</v>
      </c>
      <c r="J144" s="228">
        <v>83.17</v>
      </c>
      <c r="K144" s="228">
        <v>0.49</v>
      </c>
      <c r="L144" s="229">
        <v>5.8999999999999999E-3</v>
      </c>
      <c r="M144" s="228">
        <v>83.06</v>
      </c>
      <c r="N144" s="228">
        <v>82.56</v>
      </c>
      <c r="O144" s="228">
        <v>0.5</v>
      </c>
      <c r="P144" s="229">
        <v>6.1000000000000004E-3</v>
      </c>
      <c r="Q144" s="228">
        <v>82.68</v>
      </c>
      <c r="R144" s="228">
        <v>82.04</v>
      </c>
      <c r="S144" s="228">
        <v>0.64</v>
      </c>
      <c r="T144" s="229">
        <v>7.7999999999999996E-3</v>
      </c>
      <c r="U144" s="228">
        <v>82.67</v>
      </c>
      <c r="V144" s="228">
        <v>82.15</v>
      </c>
      <c r="W144" s="228">
        <v>0.52</v>
      </c>
      <c r="X144" s="229">
        <v>6.3E-3</v>
      </c>
      <c r="Y144" s="228">
        <v>-0.6</v>
      </c>
      <c r="Z144" s="228">
        <v>-0.61</v>
      </c>
      <c r="AA144" s="228">
        <v>0.01</v>
      </c>
      <c r="AB144" s="229">
        <v>-7.1999999999999998E-3</v>
      </c>
      <c r="AC144" s="228">
        <v>-0.6</v>
      </c>
      <c r="AD144" s="228">
        <v>-0.61</v>
      </c>
      <c r="AE144" s="228">
        <v>0.01</v>
      </c>
      <c r="AF144" s="229">
        <v>-7.1999999999999998E-3</v>
      </c>
      <c r="AG144" s="228">
        <v>-0.98</v>
      </c>
      <c r="AH144" s="228">
        <v>-1.1299999999999999</v>
      </c>
      <c r="AI144" s="228">
        <v>0.15</v>
      </c>
      <c r="AJ144" s="229">
        <v>-1.17E-2</v>
      </c>
      <c r="AK144" s="228">
        <v>-0.99</v>
      </c>
      <c r="AL144" s="228">
        <v>-1.02</v>
      </c>
      <c r="AM144" s="228">
        <v>0.03</v>
      </c>
      <c r="AN144" s="229">
        <v>-1.18E-2</v>
      </c>
      <c r="AO144" s="228">
        <v>82.7</v>
      </c>
      <c r="AP144" s="228">
        <v>82.18</v>
      </c>
      <c r="AQ144" s="228">
        <v>0</v>
      </c>
      <c r="AR144" s="230">
        <v>12819200</v>
      </c>
      <c r="AS144" s="230">
        <v>8582400</v>
      </c>
      <c r="AT144" s="230">
        <v>4236800</v>
      </c>
      <c r="AU144" s="229">
        <v>0.49370000000000003</v>
      </c>
      <c r="AV144" s="230">
        <v>11417600</v>
      </c>
      <c r="AW144" s="230">
        <v>7449600</v>
      </c>
      <c r="AX144" s="230">
        <v>3968000</v>
      </c>
      <c r="AY144" s="229">
        <v>0.53259999999999996</v>
      </c>
      <c r="AZ144" s="230">
        <v>1235200</v>
      </c>
      <c r="BA144" s="230">
        <v>998400</v>
      </c>
      <c r="BB144" s="230">
        <v>236800</v>
      </c>
      <c r="BC144" s="229">
        <v>0.23719999999999999</v>
      </c>
      <c r="BD144" s="230">
        <v>166400</v>
      </c>
      <c r="BE144" s="230">
        <v>134400</v>
      </c>
      <c r="BF144" s="230">
        <v>32000</v>
      </c>
      <c r="BG144" s="229">
        <v>0.23810000000000001</v>
      </c>
      <c r="BH144" s="230">
        <v>32876800</v>
      </c>
      <c r="BI144" s="230">
        <v>23603200</v>
      </c>
      <c r="BJ144" s="230">
        <v>9273600</v>
      </c>
      <c r="BK144" s="229">
        <v>0.39290000000000003</v>
      </c>
      <c r="BL144" s="230">
        <v>8185600</v>
      </c>
      <c r="BM144" s="230">
        <v>7084800</v>
      </c>
      <c r="BN144" s="230">
        <v>1100800</v>
      </c>
      <c r="BO144" s="229">
        <v>0.15540000000000001</v>
      </c>
      <c r="BP144" s="230">
        <v>53881600</v>
      </c>
      <c r="BQ144" s="230">
        <v>39270400</v>
      </c>
      <c r="BR144" s="230">
        <v>14611200</v>
      </c>
      <c r="BS144" s="229">
        <v>0.37209999999999999</v>
      </c>
      <c r="BT144" s="230">
        <v>10269630</v>
      </c>
      <c r="BU144" s="230">
        <v>8610277</v>
      </c>
      <c r="BV144" s="230">
        <v>1659353</v>
      </c>
      <c r="BW144" s="229">
        <v>0.19270000000000001</v>
      </c>
      <c r="BX144" s="230">
        <v>103244000</v>
      </c>
      <c r="BY144" s="230">
        <v>100679400</v>
      </c>
      <c r="BZ144" s="230">
        <v>2564600</v>
      </c>
      <c r="CA144" s="229">
        <v>2.5499999999999998E-2</v>
      </c>
      <c r="CB144" s="230">
        <v>98745600</v>
      </c>
      <c r="CC144" s="230">
        <v>96659200</v>
      </c>
      <c r="CD144" s="230">
        <v>2086400</v>
      </c>
      <c r="CE144" s="229">
        <v>2.1600000000000001E-2</v>
      </c>
      <c r="CF144" s="230">
        <v>3942400</v>
      </c>
      <c r="CG144" s="230">
        <v>3603200</v>
      </c>
      <c r="CH144" s="230">
        <v>339200</v>
      </c>
      <c r="CI144" s="229">
        <v>9.4100000000000003E-2</v>
      </c>
      <c r="CJ144" s="230">
        <v>556000</v>
      </c>
      <c r="CK144" s="230">
        <v>417000</v>
      </c>
      <c r="CL144" s="230">
        <v>139000</v>
      </c>
      <c r="CM144" s="229">
        <v>0.33329999999999999</v>
      </c>
      <c r="CN144" s="230">
        <v>41305600</v>
      </c>
      <c r="CO144" s="230">
        <v>39513600</v>
      </c>
      <c r="CP144" s="230">
        <v>1792000</v>
      </c>
      <c r="CQ144" s="229">
        <v>4.5400000000000003E-2</v>
      </c>
      <c r="CR144" s="230">
        <v>23942400</v>
      </c>
      <c r="CS144" s="230">
        <v>22483200</v>
      </c>
      <c r="CT144" s="230">
        <v>1459200</v>
      </c>
      <c r="CU144" s="229">
        <v>6.4899999999999999E-2</v>
      </c>
      <c r="CV144" s="230">
        <v>168492000</v>
      </c>
      <c r="CW144" s="230">
        <v>162676200</v>
      </c>
      <c r="CX144" s="230">
        <v>5815800</v>
      </c>
      <c r="CY144" s="229">
        <v>3.5799999999999998E-2</v>
      </c>
      <c r="CZ144" s="228">
        <v>31.79</v>
      </c>
      <c r="DA144" s="228">
        <v>31.81</v>
      </c>
      <c r="DB144" s="228">
        <v>-0.02</v>
      </c>
      <c r="DC144" s="228">
        <v>-0.02</v>
      </c>
      <c r="DD144" s="228">
        <v>34.71</v>
      </c>
      <c r="DE144" s="228">
        <v>34.79</v>
      </c>
      <c r="DF144" s="228">
        <v>-2.92</v>
      </c>
      <c r="DG144" s="228">
        <v>-0.08</v>
      </c>
      <c r="DH144" s="228">
        <v>32.049999999999997</v>
      </c>
      <c r="DI144" s="228">
        <v>32.17</v>
      </c>
      <c r="DJ144" s="228">
        <v>-0.12</v>
      </c>
      <c r="DK144" s="228">
        <v>-0.12</v>
      </c>
      <c r="DL144" s="228">
        <v>30.75</v>
      </c>
      <c r="DM144" s="228">
        <v>30.63</v>
      </c>
      <c r="DN144" s="228">
        <v>0.12</v>
      </c>
      <c r="DO144" s="228">
        <v>0.12</v>
      </c>
      <c r="DP144" s="228">
        <v>0.57999999999999996</v>
      </c>
      <c r="DQ144" s="228">
        <v>0.56999999999999995</v>
      </c>
      <c r="DR144" s="228">
        <v>0.01</v>
      </c>
      <c r="DS144" s="229">
        <v>1.7500000000000002E-2</v>
      </c>
      <c r="DT144" s="228">
        <v>90</v>
      </c>
      <c r="DU144" s="228">
        <v>80</v>
      </c>
      <c r="DV144" s="228">
        <v>0.25</v>
      </c>
      <c r="DW144" s="228">
        <v>0.3</v>
      </c>
      <c r="DX144" s="228">
        <v>-0.05</v>
      </c>
      <c r="DY144" s="229">
        <v>-0.16669999999999999</v>
      </c>
      <c r="DZ144" s="229">
        <v>4.36E-2</v>
      </c>
      <c r="EA144" s="230">
        <v>4020200</v>
      </c>
      <c r="EB144" s="229">
        <v>-4.5999999999999999E-3</v>
      </c>
      <c r="EC144" s="229">
        <v>4.36E-2</v>
      </c>
      <c r="ED144" s="228">
        <v>-0.52</v>
      </c>
      <c r="EE144" s="229">
        <v>-6.3E-3</v>
      </c>
      <c r="EF144" s="230">
        <v>4310034</v>
      </c>
      <c r="EG144" s="230">
        <v>3768686</v>
      </c>
      <c r="EH144" s="229">
        <v>0.14360000000000001</v>
      </c>
      <c r="EI144" s="229">
        <v>0.41970000000000002</v>
      </c>
      <c r="EJ144" s="231">
        <v>28691.39</v>
      </c>
      <c r="EK144" s="231">
        <v>6786.84</v>
      </c>
      <c r="EL144" s="231">
        <v>10606.12</v>
      </c>
      <c r="EM144" s="231">
        <v>2529</v>
      </c>
      <c r="EN144" s="231">
        <v>46084.35</v>
      </c>
      <c r="EO144" s="231">
        <v>33619.99</v>
      </c>
      <c r="EP144" s="231">
        <v>12464.36</v>
      </c>
      <c r="EQ144" s="229">
        <v>0.37069999999999997</v>
      </c>
      <c r="ER144" s="231">
        <v>36198</v>
      </c>
      <c r="ES144" s="231">
        <v>19134</v>
      </c>
      <c r="ET144" s="231">
        <v>85737</v>
      </c>
      <c r="EU144" s="231">
        <v>491233252</v>
      </c>
      <c r="EV144" s="231">
        <v>141070</v>
      </c>
      <c r="EW144" s="231">
        <v>135681</v>
      </c>
      <c r="EX144" s="231">
        <v>5389</v>
      </c>
      <c r="EY144" s="229">
        <v>3.9699999999999999E-2</v>
      </c>
      <c r="EZ144" s="229">
        <v>0.34300000000000003</v>
      </c>
      <c r="FA144" s="227" t="s">
        <v>555</v>
      </c>
      <c r="FB144" s="161">
        <f t="shared" si="3"/>
        <v>0</v>
      </c>
    </row>
    <row r="145" spans="1:158" ht="17.25" thickBot="1" x14ac:dyDescent="0.3">
      <c r="A145" s="226">
        <v>46148</v>
      </c>
      <c r="B145" s="227" t="s">
        <v>181</v>
      </c>
      <c r="C145" s="227" t="s">
        <v>266</v>
      </c>
      <c r="D145" s="228">
        <v>65</v>
      </c>
      <c r="E145" s="231">
        <v>24447.4</v>
      </c>
      <c r="F145" s="231">
        <v>24106.3</v>
      </c>
      <c r="G145" s="228">
        <v>341.1</v>
      </c>
      <c r="H145" s="229">
        <v>1.41E-2</v>
      </c>
      <c r="I145" s="231">
        <v>24330.95</v>
      </c>
      <c r="J145" s="231">
        <v>24032.799999999999</v>
      </c>
      <c r="K145" s="228">
        <v>298.14999999999998</v>
      </c>
      <c r="L145" s="229">
        <v>1.24E-2</v>
      </c>
      <c r="M145" s="231">
        <v>24447.4</v>
      </c>
      <c r="N145" s="231">
        <v>24106.3</v>
      </c>
      <c r="O145" s="228">
        <v>341.1</v>
      </c>
      <c r="P145" s="229">
        <v>1.41E-2</v>
      </c>
      <c r="Q145" s="231">
        <v>24544.9</v>
      </c>
      <c r="R145" s="231">
        <v>24215.1</v>
      </c>
      <c r="S145" s="228">
        <v>329.8</v>
      </c>
      <c r="T145" s="229">
        <v>1.3599999999999999E-2</v>
      </c>
      <c r="U145" s="231">
        <v>24683.8</v>
      </c>
      <c r="V145" s="231">
        <v>24345.8</v>
      </c>
      <c r="W145" s="228">
        <v>338</v>
      </c>
      <c r="X145" s="229">
        <v>1.3899999999999999E-2</v>
      </c>
      <c r="Y145" s="228">
        <v>116.45</v>
      </c>
      <c r="Z145" s="228">
        <v>73.5</v>
      </c>
      <c r="AA145" s="228">
        <v>42.95</v>
      </c>
      <c r="AB145" s="229">
        <v>4.7999999999999996E-3</v>
      </c>
      <c r="AC145" s="228">
        <v>116.45</v>
      </c>
      <c r="AD145" s="228">
        <v>73.5</v>
      </c>
      <c r="AE145" s="228">
        <v>42.95</v>
      </c>
      <c r="AF145" s="229">
        <v>4.7999999999999996E-3</v>
      </c>
      <c r="AG145" s="228">
        <v>213.95</v>
      </c>
      <c r="AH145" s="228">
        <v>182.3</v>
      </c>
      <c r="AI145" s="228">
        <v>31.65</v>
      </c>
      <c r="AJ145" s="229">
        <v>8.8000000000000005E-3</v>
      </c>
      <c r="AK145" s="228">
        <v>352.85</v>
      </c>
      <c r="AL145" s="228">
        <v>313</v>
      </c>
      <c r="AM145" s="228">
        <v>39.85</v>
      </c>
      <c r="AN145" s="229">
        <v>1.4500000000000001E-2</v>
      </c>
      <c r="AO145" s="231">
        <v>24293.17</v>
      </c>
      <c r="AP145" s="231">
        <v>24388.38</v>
      </c>
      <c r="AQ145" s="228">
        <v>0</v>
      </c>
      <c r="AR145" s="230">
        <v>7236450</v>
      </c>
      <c r="AS145" s="230">
        <v>4669015</v>
      </c>
      <c r="AT145" s="230">
        <v>2567435</v>
      </c>
      <c r="AU145" s="229">
        <v>0.54990000000000006</v>
      </c>
      <c r="AV145" s="230">
        <v>6462690</v>
      </c>
      <c r="AW145" s="230">
        <v>4164745</v>
      </c>
      <c r="AX145" s="230">
        <v>2297945</v>
      </c>
      <c r="AY145" s="229">
        <v>0.55179999999999996</v>
      </c>
      <c r="AZ145" s="230">
        <v>591175</v>
      </c>
      <c r="BA145" s="230">
        <v>388960</v>
      </c>
      <c r="BB145" s="230">
        <v>202215</v>
      </c>
      <c r="BC145" s="229">
        <v>0.51990000000000003</v>
      </c>
      <c r="BD145" s="230">
        <v>182585</v>
      </c>
      <c r="BE145" s="230">
        <v>115310</v>
      </c>
      <c r="BF145" s="230">
        <v>67275</v>
      </c>
      <c r="BG145" s="229">
        <v>0.58340000000000003</v>
      </c>
      <c r="BH145" s="230">
        <v>1959592050</v>
      </c>
      <c r="BI145" s="230">
        <v>15200824015</v>
      </c>
      <c r="BJ145" s="230">
        <v>-13241231965</v>
      </c>
      <c r="BK145" s="229">
        <v>-0.87109999999999999</v>
      </c>
      <c r="BL145" s="230">
        <v>1973495485</v>
      </c>
      <c r="BM145" s="230">
        <v>13588665610</v>
      </c>
      <c r="BN145" s="230">
        <v>-11615170125</v>
      </c>
      <c r="BO145" s="229">
        <v>-0.8548</v>
      </c>
      <c r="BP145" s="230">
        <v>3940323985</v>
      </c>
      <c r="BQ145" s="230">
        <v>28794158640</v>
      </c>
      <c r="BR145" s="230">
        <v>-24853834655</v>
      </c>
      <c r="BS145" s="229">
        <v>-0.86319999999999997</v>
      </c>
      <c r="BT145" s="228">
        <v>0</v>
      </c>
      <c r="BU145" s="228">
        <v>0</v>
      </c>
      <c r="BV145" s="228">
        <v>0</v>
      </c>
      <c r="BW145" s="229">
        <v>0</v>
      </c>
      <c r="BX145" s="230">
        <v>18340855</v>
      </c>
      <c r="BY145" s="230">
        <v>17856085</v>
      </c>
      <c r="BZ145" s="230">
        <v>484770</v>
      </c>
      <c r="CA145" s="229">
        <v>2.7099999999999999E-2</v>
      </c>
      <c r="CB145" s="230">
        <v>16343340</v>
      </c>
      <c r="CC145" s="230">
        <v>16049215</v>
      </c>
      <c r="CD145" s="230">
        <v>294125</v>
      </c>
      <c r="CE145" s="229">
        <v>1.83E-2</v>
      </c>
      <c r="CF145" s="230">
        <v>1758510</v>
      </c>
      <c r="CG145" s="230">
        <v>1605890</v>
      </c>
      <c r="CH145" s="230">
        <v>152620</v>
      </c>
      <c r="CI145" s="229">
        <v>9.5000000000000001E-2</v>
      </c>
      <c r="CJ145" s="230">
        <v>239005</v>
      </c>
      <c r="CK145" s="230">
        <v>200980</v>
      </c>
      <c r="CL145" s="230">
        <v>38025</v>
      </c>
      <c r="CM145" s="229">
        <v>0.18920000000000001</v>
      </c>
      <c r="CN145" s="230">
        <v>179240005</v>
      </c>
      <c r="CO145" s="230">
        <v>147251760</v>
      </c>
      <c r="CP145" s="230">
        <v>31988245</v>
      </c>
      <c r="CQ145" s="229">
        <v>0.2172</v>
      </c>
      <c r="CR145" s="230">
        <v>212634745</v>
      </c>
      <c r="CS145" s="230">
        <v>158843470</v>
      </c>
      <c r="CT145" s="230">
        <v>53791275</v>
      </c>
      <c r="CU145" s="229">
        <v>0.33860000000000001</v>
      </c>
      <c r="CV145" s="230">
        <v>410215605</v>
      </c>
      <c r="CW145" s="230">
        <v>699955190</v>
      </c>
      <c r="CX145" s="230">
        <v>-289739585</v>
      </c>
      <c r="CY145" s="229">
        <v>-0.41389999999999999</v>
      </c>
      <c r="CZ145" s="228">
        <v>16.79</v>
      </c>
      <c r="DA145" s="228">
        <v>16.920000000000002</v>
      </c>
      <c r="DB145" s="228">
        <v>-0.13</v>
      </c>
      <c r="DC145" s="228">
        <v>-0.13</v>
      </c>
      <c r="DD145" s="228">
        <v>17.579999999999998</v>
      </c>
      <c r="DE145" s="228">
        <v>17.52</v>
      </c>
      <c r="DF145" s="228">
        <v>-0.79</v>
      </c>
      <c r="DG145" s="228">
        <v>0.06</v>
      </c>
      <c r="DH145" s="228">
        <v>15.79</v>
      </c>
      <c r="DI145" s="228">
        <v>16.05</v>
      </c>
      <c r="DJ145" s="228">
        <v>-0.26</v>
      </c>
      <c r="DK145" s="228">
        <v>-0.26</v>
      </c>
      <c r="DL145" s="228">
        <v>17.77</v>
      </c>
      <c r="DM145" s="228">
        <v>17.96</v>
      </c>
      <c r="DN145" s="228">
        <v>-0.19</v>
      </c>
      <c r="DO145" s="228">
        <v>-0.19</v>
      </c>
      <c r="DP145" s="228">
        <v>1.19</v>
      </c>
      <c r="DQ145" s="228">
        <v>1.08</v>
      </c>
      <c r="DR145" s="228">
        <v>0.11</v>
      </c>
      <c r="DS145" s="229">
        <v>0.1019</v>
      </c>
      <c r="DT145" s="231">
        <v>25000</v>
      </c>
      <c r="DU145" s="231">
        <v>23000</v>
      </c>
      <c r="DV145" s="228">
        <v>1.01</v>
      </c>
      <c r="DW145" s="228">
        <v>0.89</v>
      </c>
      <c r="DX145" s="228">
        <v>0.12</v>
      </c>
      <c r="DY145" s="229">
        <v>0.1348</v>
      </c>
      <c r="DZ145" s="229">
        <v>0.1089</v>
      </c>
      <c r="EA145" s="230">
        <v>1806870</v>
      </c>
      <c r="EB145" s="229">
        <v>4.0000000000000001E-3</v>
      </c>
      <c r="EC145" s="229">
        <v>0.1089</v>
      </c>
      <c r="ED145" s="228">
        <v>95.21</v>
      </c>
      <c r="EE145" s="229">
        <v>3.8999999999999998E-3</v>
      </c>
      <c r="EF145" s="228">
        <v>0</v>
      </c>
      <c r="EG145" s="228">
        <v>0</v>
      </c>
      <c r="EH145" s="229">
        <v>0</v>
      </c>
      <c r="EI145" s="229">
        <v>0</v>
      </c>
      <c r="EJ145" s="231">
        <v>485196608.92000002</v>
      </c>
      <c r="EK145" s="231">
        <v>468665648.17000002</v>
      </c>
      <c r="EL145" s="231">
        <v>1758959.24</v>
      </c>
      <c r="EM145" s="231">
        <v>88550</v>
      </c>
      <c r="EN145" s="231">
        <v>955621216.33000004</v>
      </c>
      <c r="EO145" s="231">
        <v>6929010775.04</v>
      </c>
      <c r="EP145" s="231">
        <v>-5973389558.71</v>
      </c>
      <c r="EQ145" s="229">
        <v>-0.86209999999999998</v>
      </c>
      <c r="ER145" s="231">
        <v>45042078</v>
      </c>
      <c r="ES145" s="231">
        <v>49844119</v>
      </c>
      <c r="ET145" s="231">
        <v>4486142</v>
      </c>
      <c r="EU145" s="228">
        <v>0</v>
      </c>
      <c r="EV145" s="231">
        <v>99372339</v>
      </c>
      <c r="EW145" s="231">
        <v>78445539</v>
      </c>
      <c r="EX145" s="231">
        <v>20926800</v>
      </c>
      <c r="EY145" s="229">
        <v>0.26679999999999998</v>
      </c>
      <c r="EZ145" s="229">
        <v>0</v>
      </c>
      <c r="FA145" s="227" t="s">
        <v>555</v>
      </c>
      <c r="FB145" s="161">
        <f t="shared" si="3"/>
        <v>0</v>
      </c>
    </row>
    <row r="146" spans="1:158" ht="17.25" thickBot="1" x14ac:dyDescent="0.3">
      <c r="A146" s="226">
        <v>46148</v>
      </c>
      <c r="B146" s="227" t="s">
        <v>181</v>
      </c>
      <c r="C146" s="227" t="s">
        <v>565</v>
      </c>
      <c r="D146" s="228">
        <v>25</v>
      </c>
      <c r="E146" s="231">
        <v>72015.399999999994</v>
      </c>
      <c r="F146" s="231">
        <v>70793.600000000006</v>
      </c>
      <c r="G146" s="231">
        <v>1221.8</v>
      </c>
      <c r="H146" s="229">
        <v>1.7299999999999999E-2</v>
      </c>
      <c r="I146" s="231">
        <v>71691.45</v>
      </c>
      <c r="J146" s="231">
        <v>70627.3</v>
      </c>
      <c r="K146" s="231">
        <v>1064.1500000000001</v>
      </c>
      <c r="L146" s="229">
        <v>1.5100000000000001E-2</v>
      </c>
      <c r="M146" s="231">
        <v>72015.399999999994</v>
      </c>
      <c r="N146" s="231">
        <v>70793.600000000006</v>
      </c>
      <c r="O146" s="231">
        <v>1221.8</v>
      </c>
      <c r="P146" s="229">
        <v>1.7299999999999999E-2</v>
      </c>
      <c r="Q146" s="231">
        <v>72246.8</v>
      </c>
      <c r="R146" s="231">
        <v>71126</v>
      </c>
      <c r="S146" s="231">
        <v>1120.8</v>
      </c>
      <c r="T146" s="229">
        <v>1.5800000000000002E-2</v>
      </c>
      <c r="U146" s="228">
        <v>0</v>
      </c>
      <c r="V146" s="228">
        <v>0</v>
      </c>
      <c r="W146" s="228">
        <v>0</v>
      </c>
      <c r="X146" s="229">
        <v>0</v>
      </c>
      <c r="Y146" s="228">
        <v>323.95</v>
      </c>
      <c r="Z146" s="228">
        <v>166.3</v>
      </c>
      <c r="AA146" s="228">
        <v>157.65</v>
      </c>
      <c r="AB146" s="229">
        <v>4.4999999999999997E-3</v>
      </c>
      <c r="AC146" s="228">
        <v>323.95</v>
      </c>
      <c r="AD146" s="228">
        <v>166.3</v>
      </c>
      <c r="AE146" s="228">
        <v>157.65</v>
      </c>
      <c r="AF146" s="229">
        <v>4.4999999999999997E-3</v>
      </c>
      <c r="AG146" s="228">
        <v>555.35</v>
      </c>
      <c r="AH146" s="228">
        <v>498.7</v>
      </c>
      <c r="AI146" s="228">
        <v>56.65</v>
      </c>
      <c r="AJ146" s="229">
        <v>7.7000000000000002E-3</v>
      </c>
      <c r="AK146" s="228">
        <v>0</v>
      </c>
      <c r="AL146" s="228">
        <v>0</v>
      </c>
      <c r="AM146" s="228">
        <v>0</v>
      </c>
      <c r="AN146" s="229">
        <v>0</v>
      </c>
      <c r="AO146" s="231">
        <v>71716.59</v>
      </c>
      <c r="AP146" s="231">
        <v>71817.929999999993</v>
      </c>
      <c r="AQ146" s="228">
        <v>0</v>
      </c>
      <c r="AR146" s="230">
        <v>7175</v>
      </c>
      <c r="AS146" s="230">
        <v>2400</v>
      </c>
      <c r="AT146" s="230">
        <v>4775</v>
      </c>
      <c r="AU146" s="229">
        <v>1.9896</v>
      </c>
      <c r="AV146" s="230">
        <v>6450</v>
      </c>
      <c r="AW146" s="230">
        <v>2125</v>
      </c>
      <c r="AX146" s="230">
        <v>4325</v>
      </c>
      <c r="AY146" s="229">
        <v>2.0352999999999999</v>
      </c>
      <c r="AZ146" s="228">
        <v>725</v>
      </c>
      <c r="BA146" s="228">
        <v>275</v>
      </c>
      <c r="BB146" s="228">
        <v>450</v>
      </c>
      <c r="BC146" s="229">
        <v>1.6364000000000001</v>
      </c>
      <c r="BD146" s="228">
        <v>0</v>
      </c>
      <c r="BE146" s="228">
        <v>0</v>
      </c>
      <c r="BF146" s="228">
        <v>0</v>
      </c>
      <c r="BG146" s="229">
        <v>0</v>
      </c>
      <c r="BH146" s="230">
        <v>9100</v>
      </c>
      <c r="BI146" s="230">
        <v>5650</v>
      </c>
      <c r="BJ146" s="230">
        <v>3450</v>
      </c>
      <c r="BK146" s="229">
        <v>0.61060000000000003</v>
      </c>
      <c r="BL146" s="228">
        <v>550</v>
      </c>
      <c r="BM146" s="228">
        <v>200</v>
      </c>
      <c r="BN146" s="228">
        <v>350</v>
      </c>
      <c r="BO146" s="229">
        <v>1.75</v>
      </c>
      <c r="BP146" s="230">
        <v>16825</v>
      </c>
      <c r="BQ146" s="230">
        <v>8250</v>
      </c>
      <c r="BR146" s="230">
        <v>8575</v>
      </c>
      <c r="BS146" s="229">
        <v>1.0394000000000001</v>
      </c>
      <c r="BT146" s="228">
        <v>0</v>
      </c>
      <c r="BU146" s="228">
        <v>0</v>
      </c>
      <c r="BV146" s="228">
        <v>0</v>
      </c>
      <c r="BW146" s="229">
        <v>0</v>
      </c>
      <c r="BX146" s="230">
        <v>19525</v>
      </c>
      <c r="BY146" s="230">
        <v>19350</v>
      </c>
      <c r="BZ146" s="228">
        <v>175</v>
      </c>
      <c r="CA146" s="229">
        <v>8.9999999999999993E-3</v>
      </c>
      <c r="CB146" s="230">
        <v>18775</v>
      </c>
      <c r="CC146" s="230">
        <v>18500</v>
      </c>
      <c r="CD146" s="228">
        <v>275</v>
      </c>
      <c r="CE146" s="229">
        <v>1.49E-2</v>
      </c>
      <c r="CF146" s="228">
        <v>750</v>
      </c>
      <c r="CG146" s="228">
        <v>850</v>
      </c>
      <c r="CH146" s="228">
        <v>-100</v>
      </c>
      <c r="CI146" s="229">
        <v>-0.1176</v>
      </c>
      <c r="CJ146" s="228">
        <v>0</v>
      </c>
      <c r="CK146" s="228">
        <v>0</v>
      </c>
      <c r="CL146" s="228">
        <v>0</v>
      </c>
      <c r="CM146" s="229">
        <v>0</v>
      </c>
      <c r="CN146" s="230">
        <v>3625</v>
      </c>
      <c r="CO146" s="230">
        <v>2075</v>
      </c>
      <c r="CP146" s="230">
        <v>1550</v>
      </c>
      <c r="CQ146" s="229">
        <v>0.747</v>
      </c>
      <c r="CR146" s="228">
        <v>400</v>
      </c>
      <c r="CS146" s="228">
        <v>200</v>
      </c>
      <c r="CT146" s="228">
        <v>200</v>
      </c>
      <c r="CU146" s="229">
        <v>1</v>
      </c>
      <c r="CV146" s="230">
        <v>23550</v>
      </c>
      <c r="CW146" s="230">
        <v>21625</v>
      </c>
      <c r="CX146" s="230">
        <v>1925</v>
      </c>
      <c r="CY146" s="229">
        <v>8.8999999999999996E-2</v>
      </c>
      <c r="CZ146" s="228">
        <v>17.05</v>
      </c>
      <c r="DA146" s="228">
        <v>18.239999999999998</v>
      </c>
      <c r="DB146" s="228">
        <v>-1.19</v>
      </c>
      <c r="DC146" s="228">
        <v>-1.19</v>
      </c>
      <c r="DD146" s="228">
        <v>22.99</v>
      </c>
      <c r="DE146" s="228">
        <v>22.96</v>
      </c>
      <c r="DF146" s="228">
        <v>-5.94</v>
      </c>
      <c r="DG146" s="228">
        <v>0.03</v>
      </c>
      <c r="DH146" s="228">
        <v>16.66</v>
      </c>
      <c r="DI146" s="228">
        <v>18.2</v>
      </c>
      <c r="DJ146" s="228">
        <v>-1.54</v>
      </c>
      <c r="DK146" s="228">
        <v>-1.54</v>
      </c>
      <c r="DL146" s="228">
        <v>23.37</v>
      </c>
      <c r="DM146" s="228">
        <v>19.329999999999998</v>
      </c>
      <c r="DN146" s="228">
        <v>4.04</v>
      </c>
      <c r="DO146" s="228">
        <v>4.04</v>
      </c>
      <c r="DP146" s="228">
        <v>0.11</v>
      </c>
      <c r="DQ146" s="228">
        <v>0.1</v>
      </c>
      <c r="DR146" s="228">
        <v>0.01</v>
      </c>
      <c r="DS146" s="229">
        <v>0.1</v>
      </c>
      <c r="DT146" s="231">
        <v>71500</v>
      </c>
      <c r="DU146" s="231">
        <v>71000</v>
      </c>
      <c r="DV146" s="228">
        <v>0.06</v>
      </c>
      <c r="DW146" s="228">
        <v>0.04</v>
      </c>
      <c r="DX146" s="228">
        <v>0.02</v>
      </c>
      <c r="DY146" s="229">
        <v>0.5</v>
      </c>
      <c r="DZ146" s="229">
        <v>3.8399999999999997E-2</v>
      </c>
      <c r="EA146" s="228">
        <v>850</v>
      </c>
      <c r="EB146" s="229">
        <v>3.2000000000000002E-3</v>
      </c>
      <c r="EC146" s="229">
        <v>3.8399999999999997E-2</v>
      </c>
      <c r="ED146" s="228">
        <v>101.34</v>
      </c>
      <c r="EE146" s="229">
        <v>1.4E-3</v>
      </c>
      <c r="EF146" s="228">
        <v>0</v>
      </c>
      <c r="EG146" s="228">
        <v>0</v>
      </c>
      <c r="EH146" s="229">
        <v>0</v>
      </c>
      <c r="EI146" s="229">
        <v>0</v>
      </c>
      <c r="EJ146" s="231">
        <v>6643.83</v>
      </c>
      <c r="EK146" s="228">
        <v>392.81</v>
      </c>
      <c r="EL146" s="231">
        <v>5146.3999999999996</v>
      </c>
      <c r="EM146" s="228">
        <v>0</v>
      </c>
      <c r="EN146" s="231">
        <v>12183.04</v>
      </c>
      <c r="EO146" s="231">
        <v>5913.48</v>
      </c>
      <c r="EP146" s="231">
        <v>6269.56</v>
      </c>
      <c r="EQ146" s="229">
        <v>1.0602</v>
      </c>
      <c r="ER146" s="231">
        <v>2613</v>
      </c>
      <c r="ES146" s="228">
        <v>283</v>
      </c>
      <c r="ET146" s="231">
        <v>14063</v>
      </c>
      <c r="EU146" s="228">
        <v>0</v>
      </c>
      <c r="EV146" s="231">
        <v>16958</v>
      </c>
      <c r="EW146" s="231">
        <v>15317</v>
      </c>
      <c r="EX146" s="231">
        <v>1641</v>
      </c>
      <c r="EY146" s="229">
        <v>0.1071</v>
      </c>
      <c r="EZ146" s="229">
        <v>0</v>
      </c>
      <c r="FA146" s="227" t="s">
        <v>555</v>
      </c>
      <c r="FB146" s="161">
        <f t="shared" si="3"/>
        <v>0</v>
      </c>
    </row>
    <row r="147" spans="1:158" ht="17.25" thickBot="1" x14ac:dyDescent="0.3">
      <c r="A147" s="226">
        <v>46148</v>
      </c>
      <c r="B147" s="227" t="s">
        <v>227</v>
      </c>
      <c r="C147" s="227" t="s">
        <v>267</v>
      </c>
      <c r="D147" s="228">
        <v>6750</v>
      </c>
      <c r="E147" s="228">
        <v>89.82</v>
      </c>
      <c r="F147" s="228">
        <v>89.34</v>
      </c>
      <c r="G147" s="228">
        <v>0.48</v>
      </c>
      <c r="H147" s="229">
        <v>5.4000000000000003E-3</v>
      </c>
      <c r="I147" s="228">
        <v>89.18</v>
      </c>
      <c r="J147" s="228">
        <v>88.83</v>
      </c>
      <c r="K147" s="228">
        <v>0.35</v>
      </c>
      <c r="L147" s="229">
        <v>3.8999999999999998E-3</v>
      </c>
      <c r="M147" s="228">
        <v>89.82</v>
      </c>
      <c r="N147" s="228">
        <v>89.34</v>
      </c>
      <c r="O147" s="228">
        <v>0.48</v>
      </c>
      <c r="P147" s="229">
        <v>5.4000000000000003E-3</v>
      </c>
      <c r="Q147" s="228">
        <v>90.41</v>
      </c>
      <c r="R147" s="228">
        <v>89.87</v>
      </c>
      <c r="S147" s="228">
        <v>0.54</v>
      </c>
      <c r="T147" s="229">
        <v>6.0000000000000001E-3</v>
      </c>
      <c r="U147" s="228">
        <v>90.32</v>
      </c>
      <c r="V147" s="228">
        <v>90</v>
      </c>
      <c r="W147" s="228">
        <v>0.32</v>
      </c>
      <c r="X147" s="229">
        <v>3.5999999999999999E-3</v>
      </c>
      <c r="Y147" s="228">
        <v>0.64</v>
      </c>
      <c r="Z147" s="228">
        <v>0.51</v>
      </c>
      <c r="AA147" s="228">
        <v>0.13</v>
      </c>
      <c r="AB147" s="229">
        <v>7.1999999999999998E-3</v>
      </c>
      <c r="AC147" s="228">
        <v>0.64</v>
      </c>
      <c r="AD147" s="228">
        <v>0.51</v>
      </c>
      <c r="AE147" s="228">
        <v>0.13</v>
      </c>
      <c r="AF147" s="229">
        <v>7.1999999999999998E-3</v>
      </c>
      <c r="AG147" s="228">
        <v>1.23</v>
      </c>
      <c r="AH147" s="228">
        <v>1.04</v>
      </c>
      <c r="AI147" s="228">
        <v>0.19</v>
      </c>
      <c r="AJ147" s="229">
        <v>1.38E-2</v>
      </c>
      <c r="AK147" s="228">
        <v>1.1399999999999999</v>
      </c>
      <c r="AL147" s="228">
        <v>1.17</v>
      </c>
      <c r="AM147" s="228">
        <v>-0.03</v>
      </c>
      <c r="AN147" s="229">
        <v>1.2800000000000001E-2</v>
      </c>
      <c r="AO147" s="228">
        <v>89.91</v>
      </c>
      <c r="AP147" s="228">
        <v>90.56</v>
      </c>
      <c r="AQ147" s="228">
        <v>0</v>
      </c>
      <c r="AR147" s="230">
        <v>17185500</v>
      </c>
      <c r="AS147" s="230">
        <v>12156750</v>
      </c>
      <c r="AT147" s="230">
        <v>5028750</v>
      </c>
      <c r="AU147" s="229">
        <v>0.41370000000000001</v>
      </c>
      <c r="AV147" s="230">
        <v>16463250</v>
      </c>
      <c r="AW147" s="230">
        <v>11596500</v>
      </c>
      <c r="AX147" s="230">
        <v>4866750</v>
      </c>
      <c r="AY147" s="229">
        <v>0.41970000000000002</v>
      </c>
      <c r="AZ147" s="230">
        <v>708750</v>
      </c>
      <c r="BA147" s="230">
        <v>513000</v>
      </c>
      <c r="BB147" s="230">
        <v>195750</v>
      </c>
      <c r="BC147" s="229">
        <v>0.38159999999999999</v>
      </c>
      <c r="BD147" s="230">
        <v>13500</v>
      </c>
      <c r="BE147" s="230">
        <v>47250</v>
      </c>
      <c r="BF147" s="230">
        <v>-33750</v>
      </c>
      <c r="BG147" s="229">
        <v>-0.71430000000000005</v>
      </c>
      <c r="BH147" s="230">
        <v>42727500</v>
      </c>
      <c r="BI147" s="230">
        <v>33500250</v>
      </c>
      <c r="BJ147" s="230">
        <v>9227250</v>
      </c>
      <c r="BK147" s="229">
        <v>0.27539999999999998</v>
      </c>
      <c r="BL147" s="230">
        <v>14013000</v>
      </c>
      <c r="BM147" s="230">
        <v>9740250</v>
      </c>
      <c r="BN147" s="230">
        <v>4272750</v>
      </c>
      <c r="BO147" s="229">
        <v>0.43869999999999998</v>
      </c>
      <c r="BP147" s="230">
        <v>73926000</v>
      </c>
      <c r="BQ147" s="230">
        <v>55397250</v>
      </c>
      <c r="BR147" s="230">
        <v>18528750</v>
      </c>
      <c r="BS147" s="229">
        <v>0.33450000000000002</v>
      </c>
      <c r="BT147" s="230">
        <v>15038181</v>
      </c>
      <c r="BU147" s="230">
        <v>12979388</v>
      </c>
      <c r="BV147" s="230">
        <v>2058793</v>
      </c>
      <c r="BW147" s="229">
        <v>0.15859999999999999</v>
      </c>
      <c r="BX147" s="230">
        <v>327125250</v>
      </c>
      <c r="BY147" s="230">
        <v>323865000</v>
      </c>
      <c r="BZ147" s="230">
        <v>3260250</v>
      </c>
      <c r="CA147" s="229">
        <v>1.01E-2</v>
      </c>
      <c r="CB147" s="230">
        <v>318316500</v>
      </c>
      <c r="CC147" s="230">
        <v>315279000</v>
      </c>
      <c r="CD147" s="230">
        <v>3037500</v>
      </c>
      <c r="CE147" s="229">
        <v>9.5999999999999992E-3</v>
      </c>
      <c r="CF147" s="230">
        <v>8613000</v>
      </c>
      <c r="CG147" s="230">
        <v>8390250</v>
      </c>
      <c r="CH147" s="230">
        <v>222750</v>
      </c>
      <c r="CI147" s="229">
        <v>2.6499999999999999E-2</v>
      </c>
      <c r="CJ147" s="230">
        <v>195750</v>
      </c>
      <c r="CK147" s="230">
        <v>195750</v>
      </c>
      <c r="CL147" s="228">
        <v>0</v>
      </c>
      <c r="CM147" s="229">
        <v>0</v>
      </c>
      <c r="CN147" s="230">
        <v>72123750</v>
      </c>
      <c r="CO147" s="230">
        <v>70281000</v>
      </c>
      <c r="CP147" s="230">
        <v>1842750</v>
      </c>
      <c r="CQ147" s="229">
        <v>2.6200000000000001E-2</v>
      </c>
      <c r="CR147" s="230">
        <v>35862750</v>
      </c>
      <c r="CS147" s="230">
        <v>33979500</v>
      </c>
      <c r="CT147" s="230">
        <v>1883250</v>
      </c>
      <c r="CU147" s="229">
        <v>5.5399999999999998E-2</v>
      </c>
      <c r="CV147" s="230">
        <v>435111750</v>
      </c>
      <c r="CW147" s="230">
        <v>428125500</v>
      </c>
      <c r="CX147" s="230">
        <v>6986250</v>
      </c>
      <c r="CY147" s="229">
        <v>1.6299999999999999E-2</v>
      </c>
      <c r="CZ147" s="228">
        <v>33.6</v>
      </c>
      <c r="DA147" s="228">
        <v>33.880000000000003</v>
      </c>
      <c r="DB147" s="228">
        <v>-0.28000000000000003</v>
      </c>
      <c r="DC147" s="228">
        <v>-0.28000000000000003</v>
      </c>
      <c r="DD147" s="228">
        <v>38.299999999999997</v>
      </c>
      <c r="DE147" s="228">
        <v>38.39</v>
      </c>
      <c r="DF147" s="228">
        <v>-4.7</v>
      </c>
      <c r="DG147" s="228">
        <v>-0.09</v>
      </c>
      <c r="DH147" s="228">
        <v>33.79</v>
      </c>
      <c r="DI147" s="228">
        <v>33.950000000000003</v>
      </c>
      <c r="DJ147" s="228">
        <v>-0.16</v>
      </c>
      <c r="DK147" s="228">
        <v>-0.16</v>
      </c>
      <c r="DL147" s="228">
        <v>33.020000000000003</v>
      </c>
      <c r="DM147" s="228">
        <v>33.61</v>
      </c>
      <c r="DN147" s="228">
        <v>-0.59</v>
      </c>
      <c r="DO147" s="228">
        <v>-0.59</v>
      </c>
      <c r="DP147" s="228">
        <v>0.5</v>
      </c>
      <c r="DQ147" s="228">
        <v>0.48</v>
      </c>
      <c r="DR147" s="228">
        <v>0.02</v>
      </c>
      <c r="DS147" s="229">
        <v>4.1700000000000001E-2</v>
      </c>
      <c r="DT147" s="228">
        <v>90</v>
      </c>
      <c r="DU147" s="228">
        <v>90</v>
      </c>
      <c r="DV147" s="228">
        <v>0.33</v>
      </c>
      <c r="DW147" s="228">
        <v>0.28999999999999998</v>
      </c>
      <c r="DX147" s="228">
        <v>0.04</v>
      </c>
      <c r="DY147" s="229">
        <v>0.13789999999999999</v>
      </c>
      <c r="DZ147" s="229">
        <v>2.69E-2</v>
      </c>
      <c r="EA147" s="230">
        <v>8586000</v>
      </c>
      <c r="EB147" s="229">
        <v>6.6E-3</v>
      </c>
      <c r="EC147" s="229">
        <v>2.69E-2</v>
      </c>
      <c r="ED147" s="228">
        <v>0.65</v>
      </c>
      <c r="EE147" s="229">
        <v>7.1999999999999998E-3</v>
      </c>
      <c r="EF147" s="230">
        <v>5806971</v>
      </c>
      <c r="EG147" s="230">
        <v>6027433</v>
      </c>
      <c r="EH147" s="229">
        <v>-3.6600000000000001E-2</v>
      </c>
      <c r="EI147" s="229">
        <v>0.3861</v>
      </c>
      <c r="EJ147" s="231">
        <v>40531.47</v>
      </c>
      <c r="EK147" s="231">
        <v>12376.89</v>
      </c>
      <c r="EL147" s="231">
        <v>15456.83</v>
      </c>
      <c r="EM147" s="231">
        <v>3282</v>
      </c>
      <c r="EN147" s="231">
        <v>68365.19</v>
      </c>
      <c r="EO147" s="231">
        <v>51138.27</v>
      </c>
      <c r="EP147" s="231">
        <v>17226.919999999998</v>
      </c>
      <c r="EQ147" s="229">
        <v>0.33689999999999998</v>
      </c>
      <c r="ER147" s="231">
        <v>67052</v>
      </c>
      <c r="ES147" s="231">
        <v>30801</v>
      </c>
      <c r="ET147" s="231">
        <v>293876</v>
      </c>
      <c r="EU147" s="231">
        <v>517037525</v>
      </c>
      <c r="EV147" s="231">
        <v>391729</v>
      </c>
      <c r="EW147" s="231">
        <v>383910</v>
      </c>
      <c r="EX147" s="231">
        <v>7819</v>
      </c>
      <c r="EY147" s="229">
        <v>2.0400000000000001E-2</v>
      </c>
      <c r="EZ147" s="229">
        <v>0.84150000000000003</v>
      </c>
      <c r="FA147" s="227" t="s">
        <v>555</v>
      </c>
      <c r="FB147" s="161">
        <f t="shared" si="3"/>
        <v>0</v>
      </c>
    </row>
    <row r="148" spans="1:158" ht="17.25" thickBot="1" x14ac:dyDescent="0.3">
      <c r="A148" s="226">
        <v>46148</v>
      </c>
      <c r="B148" s="227" t="s">
        <v>161</v>
      </c>
      <c r="C148" s="227" t="s">
        <v>268</v>
      </c>
      <c r="D148" s="228">
        <v>1500</v>
      </c>
      <c r="E148" s="228">
        <v>397.1</v>
      </c>
      <c r="F148" s="228">
        <v>399.6</v>
      </c>
      <c r="G148" s="228">
        <v>-2.5</v>
      </c>
      <c r="H148" s="229">
        <v>-6.3E-3</v>
      </c>
      <c r="I148" s="228">
        <v>394.85</v>
      </c>
      <c r="J148" s="228">
        <v>398.65</v>
      </c>
      <c r="K148" s="228">
        <v>-3.8</v>
      </c>
      <c r="L148" s="229">
        <v>-9.4999999999999998E-3</v>
      </c>
      <c r="M148" s="228">
        <v>397.1</v>
      </c>
      <c r="N148" s="228">
        <v>399.6</v>
      </c>
      <c r="O148" s="228">
        <v>-2.5</v>
      </c>
      <c r="P148" s="229">
        <v>-6.3E-3</v>
      </c>
      <c r="Q148" s="228">
        <v>400.1</v>
      </c>
      <c r="R148" s="228">
        <v>402.3</v>
      </c>
      <c r="S148" s="228">
        <v>-2.2000000000000002</v>
      </c>
      <c r="T148" s="229">
        <v>-5.4999999999999997E-3</v>
      </c>
      <c r="U148" s="228">
        <v>402</v>
      </c>
      <c r="V148" s="228">
        <v>405.15</v>
      </c>
      <c r="W148" s="228">
        <v>-3.15</v>
      </c>
      <c r="X148" s="229">
        <v>-7.7999999999999996E-3</v>
      </c>
      <c r="Y148" s="228">
        <v>2.25</v>
      </c>
      <c r="Z148" s="228">
        <v>0.95</v>
      </c>
      <c r="AA148" s="228">
        <v>1.3</v>
      </c>
      <c r="AB148" s="229">
        <v>5.7000000000000002E-3</v>
      </c>
      <c r="AC148" s="228">
        <v>2.25</v>
      </c>
      <c r="AD148" s="228">
        <v>0.95</v>
      </c>
      <c r="AE148" s="228">
        <v>1.3</v>
      </c>
      <c r="AF148" s="229">
        <v>5.7000000000000002E-3</v>
      </c>
      <c r="AG148" s="228">
        <v>5.25</v>
      </c>
      <c r="AH148" s="228">
        <v>3.65</v>
      </c>
      <c r="AI148" s="228">
        <v>1.6</v>
      </c>
      <c r="AJ148" s="229">
        <v>1.3299999999999999E-2</v>
      </c>
      <c r="AK148" s="228">
        <v>7.15</v>
      </c>
      <c r="AL148" s="228">
        <v>6.5</v>
      </c>
      <c r="AM148" s="228">
        <v>0.65</v>
      </c>
      <c r="AN148" s="229">
        <v>1.8100000000000002E-2</v>
      </c>
      <c r="AO148" s="228">
        <v>398.68</v>
      </c>
      <c r="AP148" s="228">
        <v>401.44</v>
      </c>
      <c r="AQ148" s="228">
        <v>0</v>
      </c>
      <c r="AR148" s="230">
        <v>12642000</v>
      </c>
      <c r="AS148" s="230">
        <v>7635000</v>
      </c>
      <c r="AT148" s="230">
        <v>5007000</v>
      </c>
      <c r="AU148" s="229">
        <v>0.65580000000000005</v>
      </c>
      <c r="AV148" s="230">
        <v>11458500</v>
      </c>
      <c r="AW148" s="230">
        <v>6864000</v>
      </c>
      <c r="AX148" s="230">
        <v>4594500</v>
      </c>
      <c r="AY148" s="229">
        <v>0.6694</v>
      </c>
      <c r="AZ148" s="230">
        <v>991500</v>
      </c>
      <c r="BA148" s="230">
        <v>751500</v>
      </c>
      <c r="BB148" s="230">
        <v>240000</v>
      </c>
      <c r="BC148" s="229">
        <v>0.31940000000000002</v>
      </c>
      <c r="BD148" s="230">
        <v>192000</v>
      </c>
      <c r="BE148" s="230">
        <v>19500</v>
      </c>
      <c r="BF148" s="230">
        <v>172500</v>
      </c>
      <c r="BG148" s="229">
        <v>8.8461999999999996</v>
      </c>
      <c r="BH148" s="230">
        <v>39082500</v>
      </c>
      <c r="BI148" s="230">
        <v>39790500</v>
      </c>
      <c r="BJ148" s="230">
        <v>-708000</v>
      </c>
      <c r="BK148" s="229">
        <v>-1.78E-2</v>
      </c>
      <c r="BL148" s="230">
        <v>13686000</v>
      </c>
      <c r="BM148" s="230">
        <v>10044000</v>
      </c>
      <c r="BN148" s="230">
        <v>3642000</v>
      </c>
      <c r="BO148" s="229">
        <v>0.36259999999999998</v>
      </c>
      <c r="BP148" s="230">
        <v>65410500</v>
      </c>
      <c r="BQ148" s="230">
        <v>57469500</v>
      </c>
      <c r="BR148" s="230">
        <v>7941000</v>
      </c>
      <c r="BS148" s="229">
        <v>0.13819999999999999</v>
      </c>
      <c r="BT148" s="230">
        <v>11429998</v>
      </c>
      <c r="BU148" s="230">
        <v>6977625</v>
      </c>
      <c r="BV148" s="230">
        <v>4452373</v>
      </c>
      <c r="BW148" s="229">
        <v>0.6381</v>
      </c>
      <c r="BX148" s="230">
        <v>111912000</v>
      </c>
      <c r="BY148" s="230">
        <v>111931500</v>
      </c>
      <c r="BZ148" s="230">
        <v>-19500</v>
      </c>
      <c r="CA148" s="229">
        <v>-2.0000000000000001E-4</v>
      </c>
      <c r="CB148" s="230">
        <v>100503000</v>
      </c>
      <c r="CC148" s="230">
        <v>101217000</v>
      </c>
      <c r="CD148" s="230">
        <v>-714000</v>
      </c>
      <c r="CE148" s="229">
        <v>-7.1000000000000004E-3</v>
      </c>
      <c r="CF148" s="230">
        <v>11131500</v>
      </c>
      <c r="CG148" s="230">
        <v>10582500</v>
      </c>
      <c r="CH148" s="230">
        <v>549000</v>
      </c>
      <c r="CI148" s="229">
        <v>5.1900000000000002E-2</v>
      </c>
      <c r="CJ148" s="230">
        <v>277500</v>
      </c>
      <c r="CK148" s="230">
        <v>132000</v>
      </c>
      <c r="CL148" s="230">
        <v>145500</v>
      </c>
      <c r="CM148" s="229">
        <v>1.1023000000000001</v>
      </c>
      <c r="CN148" s="230">
        <v>42199500</v>
      </c>
      <c r="CO148" s="230">
        <v>38820000</v>
      </c>
      <c r="CP148" s="230">
        <v>3379500</v>
      </c>
      <c r="CQ148" s="229">
        <v>8.7099999999999997E-2</v>
      </c>
      <c r="CR148" s="230">
        <v>15678000</v>
      </c>
      <c r="CS148" s="230">
        <v>14802000</v>
      </c>
      <c r="CT148" s="230">
        <v>876000</v>
      </c>
      <c r="CU148" s="229">
        <v>5.9200000000000003E-2</v>
      </c>
      <c r="CV148" s="230">
        <v>169789500</v>
      </c>
      <c r="CW148" s="230">
        <v>165553500</v>
      </c>
      <c r="CX148" s="230">
        <v>4236000</v>
      </c>
      <c r="CY148" s="229">
        <v>2.5600000000000001E-2</v>
      </c>
      <c r="CZ148" s="228">
        <v>21.51</v>
      </c>
      <c r="DA148" s="228">
        <v>22.27</v>
      </c>
      <c r="DB148" s="228">
        <v>-0.76</v>
      </c>
      <c r="DC148" s="228">
        <v>-0.76</v>
      </c>
      <c r="DD148" s="228">
        <v>27.12</v>
      </c>
      <c r="DE148" s="228">
        <v>27.16</v>
      </c>
      <c r="DF148" s="228">
        <v>-5.61</v>
      </c>
      <c r="DG148" s="228">
        <v>-0.04</v>
      </c>
      <c r="DH148" s="228">
        <v>21.44</v>
      </c>
      <c r="DI148" s="228">
        <v>22.27</v>
      </c>
      <c r="DJ148" s="228">
        <v>-0.83</v>
      </c>
      <c r="DK148" s="228">
        <v>-0.83</v>
      </c>
      <c r="DL148" s="228">
        <v>21.69</v>
      </c>
      <c r="DM148" s="228">
        <v>22.28</v>
      </c>
      <c r="DN148" s="228">
        <v>-0.59</v>
      </c>
      <c r="DO148" s="228">
        <v>-0.59</v>
      </c>
      <c r="DP148" s="228">
        <v>0.37</v>
      </c>
      <c r="DQ148" s="228">
        <v>0.38</v>
      </c>
      <c r="DR148" s="228">
        <v>-0.01</v>
      </c>
      <c r="DS148" s="229">
        <v>-2.63E-2</v>
      </c>
      <c r="DT148" s="228">
        <v>400</v>
      </c>
      <c r="DU148" s="228">
        <v>400</v>
      </c>
      <c r="DV148" s="228">
        <v>0.35</v>
      </c>
      <c r="DW148" s="228">
        <v>0.25</v>
      </c>
      <c r="DX148" s="228">
        <v>0.1</v>
      </c>
      <c r="DY148" s="229">
        <v>0.4</v>
      </c>
      <c r="DZ148" s="229">
        <v>0.1019</v>
      </c>
      <c r="EA148" s="230">
        <v>10714500</v>
      </c>
      <c r="EB148" s="229">
        <v>7.6E-3</v>
      </c>
      <c r="EC148" s="229">
        <v>0.1019</v>
      </c>
      <c r="ED148" s="228">
        <v>2.76</v>
      </c>
      <c r="EE148" s="229">
        <v>6.8999999999999999E-3</v>
      </c>
      <c r="EF148" s="230">
        <v>7645464</v>
      </c>
      <c r="EG148" s="230">
        <v>3792385</v>
      </c>
      <c r="EH148" s="229">
        <v>1.016</v>
      </c>
      <c r="EI148" s="229">
        <v>0.66890000000000005</v>
      </c>
      <c r="EJ148" s="231">
        <v>162163.4</v>
      </c>
      <c r="EK148" s="231">
        <v>54661.62</v>
      </c>
      <c r="EL148" s="231">
        <v>50437.55</v>
      </c>
      <c r="EM148" s="231">
        <v>5447</v>
      </c>
      <c r="EN148" s="231">
        <v>267262.57</v>
      </c>
      <c r="EO148" s="231">
        <v>237485.83</v>
      </c>
      <c r="EP148" s="231">
        <v>29776.74</v>
      </c>
      <c r="EQ148" s="229">
        <v>0.12540000000000001</v>
      </c>
      <c r="ER148" s="231">
        <v>176500</v>
      </c>
      <c r="ES148" s="231">
        <v>61419</v>
      </c>
      <c r="ET148" s="231">
        <v>444750</v>
      </c>
      <c r="EU148" s="231">
        <v>550512361</v>
      </c>
      <c r="EV148" s="231">
        <v>682670</v>
      </c>
      <c r="EW148" s="231">
        <v>668286</v>
      </c>
      <c r="EX148" s="231">
        <v>14384</v>
      </c>
      <c r="EY148" s="229">
        <v>2.1499999999999998E-2</v>
      </c>
      <c r="EZ148" s="229">
        <v>0.30840000000000001</v>
      </c>
      <c r="FA148" s="227" t="s">
        <v>567</v>
      </c>
      <c r="FB148" s="161">
        <f t="shared" si="3"/>
        <v>0</v>
      </c>
    </row>
    <row r="149" spans="1:158" ht="17.25" thickBot="1" x14ac:dyDescent="0.3">
      <c r="A149" s="226">
        <v>46148</v>
      </c>
      <c r="B149" s="227" t="s">
        <v>175</v>
      </c>
      <c r="C149" s="227" t="s">
        <v>681</v>
      </c>
      <c r="D149" s="228">
        <v>500</v>
      </c>
      <c r="E149" s="231">
        <v>1401.4</v>
      </c>
      <c r="F149" s="231">
        <v>1342.3</v>
      </c>
      <c r="G149" s="228">
        <v>59.1</v>
      </c>
      <c r="H149" s="229">
        <v>4.3999999999999997E-2</v>
      </c>
      <c r="I149" s="231">
        <v>1413.6</v>
      </c>
      <c r="J149" s="231">
        <v>1351.1</v>
      </c>
      <c r="K149" s="228">
        <v>62.5</v>
      </c>
      <c r="L149" s="229">
        <v>4.6300000000000001E-2</v>
      </c>
      <c r="M149" s="231">
        <v>1401.4</v>
      </c>
      <c r="N149" s="231">
        <v>1342.3</v>
      </c>
      <c r="O149" s="228">
        <v>59.1</v>
      </c>
      <c r="P149" s="229">
        <v>4.3999999999999997E-2</v>
      </c>
      <c r="Q149" s="231">
        <v>1392.9</v>
      </c>
      <c r="R149" s="231">
        <v>1337.4</v>
      </c>
      <c r="S149" s="228">
        <v>55.5</v>
      </c>
      <c r="T149" s="229">
        <v>4.1500000000000002E-2</v>
      </c>
      <c r="U149" s="231">
        <v>1389</v>
      </c>
      <c r="V149" s="231">
        <v>1310</v>
      </c>
      <c r="W149" s="228">
        <v>79</v>
      </c>
      <c r="X149" s="229">
        <v>6.0299999999999999E-2</v>
      </c>
      <c r="Y149" s="228">
        <v>-12.2</v>
      </c>
      <c r="Z149" s="228">
        <v>-8.8000000000000007</v>
      </c>
      <c r="AA149" s="228">
        <v>-3.4</v>
      </c>
      <c r="AB149" s="229">
        <v>-8.6E-3</v>
      </c>
      <c r="AC149" s="228">
        <v>-12.2</v>
      </c>
      <c r="AD149" s="228">
        <v>-8.8000000000000007</v>
      </c>
      <c r="AE149" s="228">
        <v>-3.4</v>
      </c>
      <c r="AF149" s="229">
        <v>-8.6E-3</v>
      </c>
      <c r="AG149" s="228">
        <v>-20.7</v>
      </c>
      <c r="AH149" s="228">
        <v>-13.7</v>
      </c>
      <c r="AI149" s="228">
        <v>-7</v>
      </c>
      <c r="AJ149" s="229">
        <v>-1.46E-2</v>
      </c>
      <c r="AK149" s="228">
        <v>-24.6</v>
      </c>
      <c r="AL149" s="228">
        <v>-41.1</v>
      </c>
      <c r="AM149" s="228">
        <v>16.5</v>
      </c>
      <c r="AN149" s="229">
        <v>-1.7399999999999999E-2</v>
      </c>
      <c r="AO149" s="231">
        <v>1383.65</v>
      </c>
      <c r="AP149" s="231">
        <v>1372.97</v>
      </c>
      <c r="AQ149" s="228">
        <v>0</v>
      </c>
      <c r="AR149" s="230">
        <v>973500</v>
      </c>
      <c r="AS149" s="230">
        <v>827000</v>
      </c>
      <c r="AT149" s="230">
        <v>146500</v>
      </c>
      <c r="AU149" s="229">
        <v>0.17710000000000001</v>
      </c>
      <c r="AV149" s="230">
        <v>910000</v>
      </c>
      <c r="AW149" s="230">
        <v>789500</v>
      </c>
      <c r="AX149" s="230">
        <v>120500</v>
      </c>
      <c r="AY149" s="229">
        <v>0.15260000000000001</v>
      </c>
      <c r="AZ149" s="230">
        <v>58000</v>
      </c>
      <c r="BA149" s="230">
        <v>37500</v>
      </c>
      <c r="BB149" s="230">
        <v>20500</v>
      </c>
      <c r="BC149" s="229">
        <v>0.54669999999999996</v>
      </c>
      <c r="BD149" s="230">
        <v>5500</v>
      </c>
      <c r="BE149" s="228">
        <v>0</v>
      </c>
      <c r="BF149" s="230">
        <v>5500</v>
      </c>
      <c r="BG149" s="229">
        <v>0</v>
      </c>
      <c r="BH149" s="230">
        <v>1365500</v>
      </c>
      <c r="BI149" s="230">
        <v>1079000</v>
      </c>
      <c r="BJ149" s="230">
        <v>286500</v>
      </c>
      <c r="BK149" s="229">
        <v>0.26550000000000001</v>
      </c>
      <c r="BL149" s="230">
        <v>556500</v>
      </c>
      <c r="BM149" s="230">
        <v>229000</v>
      </c>
      <c r="BN149" s="230">
        <v>327500</v>
      </c>
      <c r="BO149" s="229">
        <v>1.4300999999999999</v>
      </c>
      <c r="BP149" s="230">
        <v>2895500</v>
      </c>
      <c r="BQ149" s="230">
        <v>2135000</v>
      </c>
      <c r="BR149" s="230">
        <v>760500</v>
      </c>
      <c r="BS149" s="229">
        <v>0.35620000000000002</v>
      </c>
      <c r="BT149" s="230">
        <v>697312</v>
      </c>
      <c r="BU149" s="230">
        <v>942233</v>
      </c>
      <c r="BV149" s="230">
        <v>-244921</v>
      </c>
      <c r="BW149" s="229">
        <v>-0.25990000000000002</v>
      </c>
      <c r="BX149" s="230">
        <v>1330000</v>
      </c>
      <c r="BY149" s="230">
        <v>1340500</v>
      </c>
      <c r="BZ149" s="230">
        <v>-10500</v>
      </c>
      <c r="CA149" s="229">
        <v>-7.7999999999999996E-3</v>
      </c>
      <c r="CB149" s="230">
        <v>1243000</v>
      </c>
      <c r="CC149" s="230">
        <v>1263500</v>
      </c>
      <c r="CD149" s="230">
        <v>-20500</v>
      </c>
      <c r="CE149" s="229">
        <v>-1.6199999999999999E-2</v>
      </c>
      <c r="CF149" s="230">
        <v>79500</v>
      </c>
      <c r="CG149" s="230">
        <v>74000</v>
      </c>
      <c r="CH149" s="230">
        <v>5500</v>
      </c>
      <c r="CI149" s="229">
        <v>7.4300000000000005E-2</v>
      </c>
      <c r="CJ149" s="230">
        <v>7500</v>
      </c>
      <c r="CK149" s="230">
        <v>3000</v>
      </c>
      <c r="CL149" s="230">
        <v>4500</v>
      </c>
      <c r="CM149" s="229">
        <v>1.5</v>
      </c>
      <c r="CN149" s="230">
        <v>810500</v>
      </c>
      <c r="CO149" s="230">
        <v>696000</v>
      </c>
      <c r="CP149" s="230">
        <v>114500</v>
      </c>
      <c r="CQ149" s="229">
        <v>0.16450000000000001</v>
      </c>
      <c r="CR149" s="230">
        <v>506500</v>
      </c>
      <c r="CS149" s="230">
        <v>350500</v>
      </c>
      <c r="CT149" s="230">
        <v>156000</v>
      </c>
      <c r="CU149" s="229">
        <v>0.4451</v>
      </c>
      <c r="CV149" s="230">
        <v>2647000</v>
      </c>
      <c r="CW149" s="230">
        <v>2387000</v>
      </c>
      <c r="CX149" s="230">
        <v>260000</v>
      </c>
      <c r="CY149" s="229">
        <v>0.1089</v>
      </c>
      <c r="CZ149" s="228">
        <v>38.74</v>
      </c>
      <c r="DA149" s="228">
        <v>40.130000000000003</v>
      </c>
      <c r="DB149" s="228">
        <v>-1.39</v>
      </c>
      <c r="DC149" s="228">
        <v>-1.39</v>
      </c>
      <c r="DD149" s="228">
        <v>50.32</v>
      </c>
      <c r="DE149" s="228">
        <v>50.1</v>
      </c>
      <c r="DF149" s="228">
        <v>-11.58</v>
      </c>
      <c r="DG149" s="228">
        <v>0.22</v>
      </c>
      <c r="DH149" s="228">
        <v>38.380000000000003</v>
      </c>
      <c r="DI149" s="228">
        <v>39.840000000000003</v>
      </c>
      <c r="DJ149" s="228">
        <v>-1.46</v>
      </c>
      <c r="DK149" s="228">
        <v>-1.46</v>
      </c>
      <c r="DL149" s="228">
        <v>39.61</v>
      </c>
      <c r="DM149" s="228">
        <v>41.51</v>
      </c>
      <c r="DN149" s="228">
        <v>-1.9</v>
      </c>
      <c r="DO149" s="228">
        <v>-1.9</v>
      </c>
      <c r="DP149" s="228">
        <v>0.62</v>
      </c>
      <c r="DQ149" s="228">
        <v>0.5</v>
      </c>
      <c r="DR149" s="228">
        <v>0.12</v>
      </c>
      <c r="DS149" s="229">
        <v>0.24</v>
      </c>
      <c r="DT149" s="231">
        <v>1500</v>
      </c>
      <c r="DU149" s="231">
        <v>1300</v>
      </c>
      <c r="DV149" s="228">
        <v>0.41</v>
      </c>
      <c r="DW149" s="228">
        <v>0.21</v>
      </c>
      <c r="DX149" s="228">
        <v>0.2</v>
      </c>
      <c r="DY149" s="229">
        <v>0.95240000000000002</v>
      </c>
      <c r="DZ149" s="229">
        <v>6.54E-2</v>
      </c>
      <c r="EA149" s="230">
        <v>77000</v>
      </c>
      <c r="EB149" s="229">
        <v>-6.1000000000000004E-3</v>
      </c>
      <c r="EC149" s="229">
        <v>6.54E-2</v>
      </c>
      <c r="ED149" s="228">
        <v>-10.68</v>
      </c>
      <c r="EE149" s="229">
        <v>-7.7000000000000002E-3</v>
      </c>
      <c r="EF149" s="230">
        <v>298404</v>
      </c>
      <c r="EG149" s="230">
        <v>549582</v>
      </c>
      <c r="EH149" s="229">
        <v>-0.45700000000000002</v>
      </c>
      <c r="EI149" s="229">
        <v>0.4279</v>
      </c>
      <c r="EJ149" s="231">
        <v>20003.669999999998</v>
      </c>
      <c r="EK149" s="231">
        <v>7605.5</v>
      </c>
      <c r="EL149" s="231">
        <v>13463.31</v>
      </c>
      <c r="EM149" s="231">
        <v>1370</v>
      </c>
      <c r="EN149" s="231">
        <v>41072.480000000003</v>
      </c>
      <c r="EO149" s="231">
        <v>29671.3</v>
      </c>
      <c r="EP149" s="231">
        <v>11401.18</v>
      </c>
      <c r="EQ149" s="229">
        <v>0.38419999999999999</v>
      </c>
      <c r="ER149" s="231">
        <v>11577</v>
      </c>
      <c r="ES149" s="231">
        <v>6600</v>
      </c>
      <c r="ET149" s="231">
        <v>18631</v>
      </c>
      <c r="EU149" s="231">
        <v>12490416</v>
      </c>
      <c r="EV149" s="231">
        <v>36808</v>
      </c>
      <c r="EW149" s="231">
        <v>32328</v>
      </c>
      <c r="EX149" s="231">
        <v>4480</v>
      </c>
      <c r="EY149" s="229">
        <v>0.1386</v>
      </c>
      <c r="EZ149" s="229">
        <v>0.21190000000000001</v>
      </c>
      <c r="FA149" s="227" t="s">
        <v>691</v>
      </c>
      <c r="FB149" s="161">
        <f t="shared" si="3"/>
        <v>0</v>
      </c>
    </row>
    <row r="150" spans="1:158" ht="17.25" thickBot="1" x14ac:dyDescent="0.3">
      <c r="A150" s="226">
        <v>46148</v>
      </c>
      <c r="B150" s="227" t="s">
        <v>614</v>
      </c>
      <c r="C150" s="227" t="s">
        <v>612</v>
      </c>
      <c r="D150" s="228">
        <v>3125</v>
      </c>
      <c r="E150" s="228">
        <v>273.75</v>
      </c>
      <c r="F150" s="228">
        <v>270.7</v>
      </c>
      <c r="G150" s="228">
        <v>3.05</v>
      </c>
      <c r="H150" s="229">
        <v>1.1299999999999999E-2</v>
      </c>
      <c r="I150" s="228">
        <v>272.35000000000002</v>
      </c>
      <c r="J150" s="228">
        <v>270</v>
      </c>
      <c r="K150" s="228">
        <v>2.35</v>
      </c>
      <c r="L150" s="229">
        <v>8.6999999999999994E-3</v>
      </c>
      <c r="M150" s="228">
        <v>273.75</v>
      </c>
      <c r="N150" s="228">
        <v>270.7</v>
      </c>
      <c r="O150" s="228">
        <v>3.05</v>
      </c>
      <c r="P150" s="229">
        <v>1.1299999999999999E-2</v>
      </c>
      <c r="Q150" s="228">
        <v>274.95</v>
      </c>
      <c r="R150" s="228">
        <v>271.64999999999998</v>
      </c>
      <c r="S150" s="228">
        <v>3.3</v>
      </c>
      <c r="T150" s="229">
        <v>1.21E-2</v>
      </c>
      <c r="U150" s="228">
        <v>275.8</v>
      </c>
      <c r="V150" s="228">
        <v>267</v>
      </c>
      <c r="W150" s="228">
        <v>8.8000000000000007</v>
      </c>
      <c r="X150" s="229">
        <v>3.3000000000000002E-2</v>
      </c>
      <c r="Y150" s="228">
        <v>1.4</v>
      </c>
      <c r="Z150" s="228">
        <v>0.7</v>
      </c>
      <c r="AA150" s="228">
        <v>0.7</v>
      </c>
      <c r="AB150" s="229">
        <v>5.1000000000000004E-3</v>
      </c>
      <c r="AC150" s="228">
        <v>1.4</v>
      </c>
      <c r="AD150" s="228">
        <v>0.7</v>
      </c>
      <c r="AE150" s="228">
        <v>0.7</v>
      </c>
      <c r="AF150" s="229">
        <v>5.1000000000000004E-3</v>
      </c>
      <c r="AG150" s="228">
        <v>2.6</v>
      </c>
      <c r="AH150" s="228">
        <v>1.65</v>
      </c>
      <c r="AI150" s="228">
        <v>0.95</v>
      </c>
      <c r="AJ150" s="229">
        <v>9.4999999999999998E-3</v>
      </c>
      <c r="AK150" s="228">
        <v>3.45</v>
      </c>
      <c r="AL150" s="228">
        <v>-3</v>
      </c>
      <c r="AM150" s="228">
        <v>6.45</v>
      </c>
      <c r="AN150" s="229">
        <v>1.2699999999999999E-2</v>
      </c>
      <c r="AO150" s="228">
        <v>272.95</v>
      </c>
      <c r="AP150" s="228">
        <v>273.89999999999998</v>
      </c>
      <c r="AQ150" s="228">
        <v>0</v>
      </c>
      <c r="AR150" s="230">
        <v>3521875</v>
      </c>
      <c r="AS150" s="230">
        <v>2871875</v>
      </c>
      <c r="AT150" s="230">
        <v>650000</v>
      </c>
      <c r="AU150" s="229">
        <v>0.2263</v>
      </c>
      <c r="AV150" s="230">
        <v>3334375</v>
      </c>
      <c r="AW150" s="230">
        <v>2803125</v>
      </c>
      <c r="AX150" s="230">
        <v>531250</v>
      </c>
      <c r="AY150" s="229">
        <v>0.1895</v>
      </c>
      <c r="AZ150" s="230">
        <v>178125</v>
      </c>
      <c r="BA150" s="230">
        <v>68750</v>
      </c>
      <c r="BB150" s="230">
        <v>109375</v>
      </c>
      <c r="BC150" s="229">
        <v>1.5909</v>
      </c>
      <c r="BD150" s="230">
        <v>9375</v>
      </c>
      <c r="BE150" s="228">
        <v>0</v>
      </c>
      <c r="BF150" s="230">
        <v>9375</v>
      </c>
      <c r="BG150" s="229">
        <v>0</v>
      </c>
      <c r="BH150" s="230">
        <v>9075000</v>
      </c>
      <c r="BI150" s="230">
        <v>4440625</v>
      </c>
      <c r="BJ150" s="230">
        <v>4634375</v>
      </c>
      <c r="BK150" s="229">
        <v>1.0436000000000001</v>
      </c>
      <c r="BL150" s="230">
        <v>1881250</v>
      </c>
      <c r="BM150" s="230">
        <v>1231250</v>
      </c>
      <c r="BN150" s="230">
        <v>650000</v>
      </c>
      <c r="BO150" s="229">
        <v>0.52790000000000004</v>
      </c>
      <c r="BP150" s="230">
        <v>14478125</v>
      </c>
      <c r="BQ150" s="230">
        <v>8543750</v>
      </c>
      <c r="BR150" s="230">
        <v>5934375</v>
      </c>
      <c r="BS150" s="229">
        <v>0.6946</v>
      </c>
      <c r="BT150" s="230">
        <v>3412209</v>
      </c>
      <c r="BU150" s="230">
        <v>2467293</v>
      </c>
      <c r="BV150" s="230">
        <v>944916</v>
      </c>
      <c r="BW150" s="229">
        <v>0.38300000000000001</v>
      </c>
      <c r="BX150" s="230">
        <v>46890625</v>
      </c>
      <c r="BY150" s="230">
        <v>47115625</v>
      </c>
      <c r="BZ150" s="230">
        <v>-225000</v>
      </c>
      <c r="CA150" s="229">
        <v>-4.7999999999999996E-3</v>
      </c>
      <c r="CB150" s="230">
        <v>46662500</v>
      </c>
      <c r="CC150" s="230">
        <v>46940625</v>
      </c>
      <c r="CD150" s="230">
        <v>-278125</v>
      </c>
      <c r="CE150" s="229">
        <v>-5.8999999999999999E-3</v>
      </c>
      <c r="CF150" s="230">
        <v>212500</v>
      </c>
      <c r="CG150" s="230">
        <v>162500</v>
      </c>
      <c r="CH150" s="230">
        <v>50000</v>
      </c>
      <c r="CI150" s="229">
        <v>0.30769999999999997</v>
      </c>
      <c r="CJ150" s="230">
        <v>15625</v>
      </c>
      <c r="CK150" s="230">
        <v>12500</v>
      </c>
      <c r="CL150" s="230">
        <v>3125</v>
      </c>
      <c r="CM150" s="229">
        <v>0.25</v>
      </c>
      <c r="CN150" s="230">
        <v>6940625</v>
      </c>
      <c r="CO150" s="230">
        <v>5671875</v>
      </c>
      <c r="CP150" s="230">
        <v>1268750</v>
      </c>
      <c r="CQ150" s="229">
        <v>0.22370000000000001</v>
      </c>
      <c r="CR150" s="230">
        <v>3553125</v>
      </c>
      <c r="CS150" s="230">
        <v>3096875</v>
      </c>
      <c r="CT150" s="230">
        <v>456250</v>
      </c>
      <c r="CU150" s="229">
        <v>0.14729999999999999</v>
      </c>
      <c r="CV150" s="230">
        <v>57384375</v>
      </c>
      <c r="CW150" s="230">
        <v>55884375</v>
      </c>
      <c r="CX150" s="230">
        <v>1500000</v>
      </c>
      <c r="CY150" s="229">
        <v>2.6800000000000001E-2</v>
      </c>
      <c r="CZ150" s="228">
        <v>31.91</v>
      </c>
      <c r="DA150" s="228">
        <v>33.659999999999997</v>
      </c>
      <c r="DB150" s="228">
        <v>-1.75</v>
      </c>
      <c r="DC150" s="228">
        <v>-1.75</v>
      </c>
      <c r="DD150" s="228">
        <v>35.47</v>
      </c>
      <c r="DE150" s="228">
        <v>35.54</v>
      </c>
      <c r="DF150" s="228">
        <v>-3.56</v>
      </c>
      <c r="DG150" s="228">
        <v>-7.0000000000000007E-2</v>
      </c>
      <c r="DH150" s="228">
        <v>31.71</v>
      </c>
      <c r="DI150" s="228">
        <v>33.57</v>
      </c>
      <c r="DJ150" s="228">
        <v>-1.86</v>
      </c>
      <c r="DK150" s="228">
        <v>-1.86</v>
      </c>
      <c r="DL150" s="228">
        <v>32.85</v>
      </c>
      <c r="DM150" s="228">
        <v>34.01</v>
      </c>
      <c r="DN150" s="228">
        <v>-1.1599999999999999</v>
      </c>
      <c r="DO150" s="228">
        <v>-1.1599999999999999</v>
      </c>
      <c r="DP150" s="228">
        <v>0.51</v>
      </c>
      <c r="DQ150" s="228">
        <v>0.55000000000000004</v>
      </c>
      <c r="DR150" s="228">
        <v>-0.04</v>
      </c>
      <c r="DS150" s="229">
        <v>-7.2700000000000001E-2</v>
      </c>
      <c r="DT150" s="228">
        <v>300</v>
      </c>
      <c r="DU150" s="228">
        <v>260</v>
      </c>
      <c r="DV150" s="228">
        <v>0.21</v>
      </c>
      <c r="DW150" s="228">
        <v>0.28000000000000003</v>
      </c>
      <c r="DX150" s="228">
        <v>-7.0000000000000007E-2</v>
      </c>
      <c r="DY150" s="229">
        <v>-0.25</v>
      </c>
      <c r="DZ150" s="229">
        <v>4.8999999999999998E-3</v>
      </c>
      <c r="EA150" s="230">
        <v>175000</v>
      </c>
      <c r="EB150" s="229">
        <v>4.4000000000000003E-3</v>
      </c>
      <c r="EC150" s="229">
        <v>4.8999999999999998E-3</v>
      </c>
      <c r="ED150" s="228">
        <v>0.95</v>
      </c>
      <c r="EE150" s="229">
        <v>3.5000000000000001E-3</v>
      </c>
      <c r="EF150" s="230">
        <v>1888340</v>
      </c>
      <c r="EG150" s="230">
        <v>1433036</v>
      </c>
      <c r="EH150" s="229">
        <v>0.31769999999999998</v>
      </c>
      <c r="EI150" s="229">
        <v>0.5534</v>
      </c>
      <c r="EJ150" s="231">
        <v>26042.13</v>
      </c>
      <c r="EK150" s="231">
        <v>5041.2299999999996</v>
      </c>
      <c r="EL150" s="231">
        <v>9614.73</v>
      </c>
      <c r="EM150" s="231">
        <v>1011</v>
      </c>
      <c r="EN150" s="231">
        <v>40698.089999999997</v>
      </c>
      <c r="EO150" s="231">
        <v>23636.14</v>
      </c>
      <c r="EP150" s="231">
        <v>17061.95</v>
      </c>
      <c r="EQ150" s="229">
        <v>0.72189999999999999</v>
      </c>
      <c r="ER150" s="231">
        <v>19573</v>
      </c>
      <c r="ES150" s="231">
        <v>9227</v>
      </c>
      <c r="ET150" s="231">
        <v>128366</v>
      </c>
      <c r="EU150" s="231">
        <v>205669742</v>
      </c>
      <c r="EV150" s="231">
        <v>157166</v>
      </c>
      <c r="EW150" s="231">
        <v>151504</v>
      </c>
      <c r="EX150" s="231">
        <v>5662</v>
      </c>
      <c r="EY150" s="229">
        <v>3.7400000000000003E-2</v>
      </c>
      <c r="EZ150" s="229">
        <v>0.27900000000000003</v>
      </c>
      <c r="FA150" s="227" t="s">
        <v>691</v>
      </c>
      <c r="FB150" s="161">
        <f t="shared" si="3"/>
        <v>0</v>
      </c>
    </row>
    <row r="151" spans="1:158" ht="17.25" thickBot="1" x14ac:dyDescent="0.3">
      <c r="A151" s="226">
        <v>46148</v>
      </c>
      <c r="B151" s="227" t="s">
        <v>206</v>
      </c>
      <c r="C151" s="227" t="s">
        <v>528</v>
      </c>
      <c r="D151" s="228">
        <v>350</v>
      </c>
      <c r="E151" s="231">
        <v>1680.5</v>
      </c>
      <c r="F151" s="231">
        <v>1670.4</v>
      </c>
      <c r="G151" s="228">
        <v>10.1</v>
      </c>
      <c r="H151" s="229">
        <v>6.0000000000000001E-3</v>
      </c>
      <c r="I151" s="231">
        <v>1673.4</v>
      </c>
      <c r="J151" s="231">
        <v>1666.3</v>
      </c>
      <c r="K151" s="228">
        <v>7.1</v>
      </c>
      <c r="L151" s="229">
        <v>4.3E-3</v>
      </c>
      <c r="M151" s="231">
        <v>1680.5</v>
      </c>
      <c r="N151" s="231">
        <v>1670.4</v>
      </c>
      <c r="O151" s="228">
        <v>10.1</v>
      </c>
      <c r="P151" s="229">
        <v>6.0000000000000001E-3</v>
      </c>
      <c r="Q151" s="231">
        <v>1670.5</v>
      </c>
      <c r="R151" s="231">
        <v>1658.3</v>
      </c>
      <c r="S151" s="228">
        <v>12.2</v>
      </c>
      <c r="T151" s="229">
        <v>7.4000000000000003E-3</v>
      </c>
      <c r="U151" s="231">
        <v>1660.7</v>
      </c>
      <c r="V151" s="231">
        <v>1645</v>
      </c>
      <c r="W151" s="228">
        <v>15.7</v>
      </c>
      <c r="X151" s="229">
        <v>9.4999999999999998E-3</v>
      </c>
      <c r="Y151" s="228">
        <v>7.1</v>
      </c>
      <c r="Z151" s="228">
        <v>4.0999999999999996</v>
      </c>
      <c r="AA151" s="228">
        <v>3</v>
      </c>
      <c r="AB151" s="229">
        <v>4.1999999999999997E-3</v>
      </c>
      <c r="AC151" s="228">
        <v>7.1</v>
      </c>
      <c r="AD151" s="228">
        <v>4.0999999999999996</v>
      </c>
      <c r="AE151" s="228">
        <v>3</v>
      </c>
      <c r="AF151" s="229">
        <v>4.1999999999999997E-3</v>
      </c>
      <c r="AG151" s="228">
        <v>-2.9</v>
      </c>
      <c r="AH151" s="228">
        <v>-8</v>
      </c>
      <c r="AI151" s="228">
        <v>5.0999999999999996</v>
      </c>
      <c r="AJ151" s="229">
        <v>-1.6999999999999999E-3</v>
      </c>
      <c r="AK151" s="228">
        <v>-12.7</v>
      </c>
      <c r="AL151" s="228">
        <v>-21.3</v>
      </c>
      <c r="AM151" s="228">
        <v>8.6</v>
      </c>
      <c r="AN151" s="229">
        <v>-7.6E-3</v>
      </c>
      <c r="AO151" s="231">
        <v>1675.65</v>
      </c>
      <c r="AP151" s="231">
        <v>1662.28</v>
      </c>
      <c r="AQ151" s="228">
        <v>0</v>
      </c>
      <c r="AR151" s="230">
        <v>536550</v>
      </c>
      <c r="AS151" s="230">
        <v>449750</v>
      </c>
      <c r="AT151" s="230">
        <v>86800</v>
      </c>
      <c r="AU151" s="229">
        <v>0.193</v>
      </c>
      <c r="AV151" s="230">
        <v>499800</v>
      </c>
      <c r="AW151" s="230">
        <v>427700</v>
      </c>
      <c r="AX151" s="230">
        <v>72100</v>
      </c>
      <c r="AY151" s="229">
        <v>0.1686</v>
      </c>
      <c r="AZ151" s="230">
        <v>34650</v>
      </c>
      <c r="BA151" s="230">
        <v>18900</v>
      </c>
      <c r="BB151" s="230">
        <v>15750</v>
      </c>
      <c r="BC151" s="229">
        <v>0.83330000000000004</v>
      </c>
      <c r="BD151" s="230">
        <v>2100</v>
      </c>
      <c r="BE151" s="230">
        <v>3150</v>
      </c>
      <c r="BF151" s="230">
        <v>-1050</v>
      </c>
      <c r="BG151" s="229">
        <v>-0.33329999999999999</v>
      </c>
      <c r="BH151" s="230">
        <v>708050</v>
      </c>
      <c r="BI151" s="230">
        <v>386750</v>
      </c>
      <c r="BJ151" s="230">
        <v>321300</v>
      </c>
      <c r="BK151" s="229">
        <v>0.83079999999999998</v>
      </c>
      <c r="BL151" s="230">
        <v>214900</v>
      </c>
      <c r="BM151" s="230">
        <v>202650</v>
      </c>
      <c r="BN151" s="230">
        <v>12250</v>
      </c>
      <c r="BO151" s="229">
        <v>6.0400000000000002E-2</v>
      </c>
      <c r="BP151" s="230">
        <v>1459500</v>
      </c>
      <c r="BQ151" s="230">
        <v>1039150</v>
      </c>
      <c r="BR151" s="230">
        <v>420350</v>
      </c>
      <c r="BS151" s="229">
        <v>0.40450000000000003</v>
      </c>
      <c r="BT151" s="230">
        <v>285282</v>
      </c>
      <c r="BU151" s="230">
        <v>183427</v>
      </c>
      <c r="BV151" s="230">
        <v>101855</v>
      </c>
      <c r="BW151" s="229">
        <v>0.55530000000000002</v>
      </c>
      <c r="BX151" s="230">
        <v>6983900</v>
      </c>
      <c r="BY151" s="230">
        <v>6984600</v>
      </c>
      <c r="BZ151" s="228">
        <v>-700</v>
      </c>
      <c r="CA151" s="229">
        <v>-1E-4</v>
      </c>
      <c r="CB151" s="230">
        <v>6887650</v>
      </c>
      <c r="CC151" s="230">
        <v>6905150</v>
      </c>
      <c r="CD151" s="230">
        <v>-17500</v>
      </c>
      <c r="CE151" s="229">
        <v>-2.5000000000000001E-3</v>
      </c>
      <c r="CF151" s="230">
        <v>86450</v>
      </c>
      <c r="CG151" s="230">
        <v>70350</v>
      </c>
      <c r="CH151" s="230">
        <v>16100</v>
      </c>
      <c r="CI151" s="229">
        <v>0.22889999999999999</v>
      </c>
      <c r="CJ151" s="230">
        <v>9800</v>
      </c>
      <c r="CK151" s="230">
        <v>9100</v>
      </c>
      <c r="CL151" s="228">
        <v>700</v>
      </c>
      <c r="CM151" s="229">
        <v>7.6899999999999996E-2</v>
      </c>
      <c r="CN151" s="230">
        <v>1107750</v>
      </c>
      <c r="CO151" s="230">
        <v>1012550</v>
      </c>
      <c r="CP151" s="230">
        <v>95200</v>
      </c>
      <c r="CQ151" s="229">
        <v>9.4E-2</v>
      </c>
      <c r="CR151" s="230">
        <v>397250</v>
      </c>
      <c r="CS151" s="230">
        <v>360850</v>
      </c>
      <c r="CT151" s="230">
        <v>36400</v>
      </c>
      <c r="CU151" s="229">
        <v>0.1009</v>
      </c>
      <c r="CV151" s="230">
        <v>8488900</v>
      </c>
      <c r="CW151" s="230">
        <v>8358000</v>
      </c>
      <c r="CX151" s="230">
        <v>130900</v>
      </c>
      <c r="CY151" s="229">
        <v>1.5699999999999999E-2</v>
      </c>
      <c r="CZ151" s="228">
        <v>35.58</v>
      </c>
      <c r="DA151" s="228">
        <v>35.94</v>
      </c>
      <c r="DB151" s="228">
        <v>-0.36</v>
      </c>
      <c r="DC151" s="228">
        <v>-0.36</v>
      </c>
      <c r="DD151" s="228">
        <v>36.35</v>
      </c>
      <c r="DE151" s="228">
        <v>36.43</v>
      </c>
      <c r="DF151" s="228">
        <v>-0.77</v>
      </c>
      <c r="DG151" s="228">
        <v>-0.08</v>
      </c>
      <c r="DH151" s="228">
        <v>35.29</v>
      </c>
      <c r="DI151" s="228">
        <v>35.39</v>
      </c>
      <c r="DJ151" s="228">
        <v>-0.1</v>
      </c>
      <c r="DK151" s="228">
        <v>-0.1</v>
      </c>
      <c r="DL151" s="228">
        <v>36.54</v>
      </c>
      <c r="DM151" s="228">
        <v>37</v>
      </c>
      <c r="DN151" s="228">
        <v>-0.46</v>
      </c>
      <c r="DO151" s="228">
        <v>-0.46</v>
      </c>
      <c r="DP151" s="228">
        <v>0.36</v>
      </c>
      <c r="DQ151" s="228">
        <v>0.36</v>
      </c>
      <c r="DR151" s="228">
        <v>0</v>
      </c>
      <c r="DS151" s="229">
        <v>0</v>
      </c>
      <c r="DT151" s="231">
        <v>1880</v>
      </c>
      <c r="DU151" s="231">
        <v>1600</v>
      </c>
      <c r="DV151" s="228">
        <v>0.3</v>
      </c>
      <c r="DW151" s="228">
        <v>0.52</v>
      </c>
      <c r="DX151" s="228">
        <v>-0.22</v>
      </c>
      <c r="DY151" s="229">
        <v>-0.42309999999999998</v>
      </c>
      <c r="DZ151" s="229">
        <v>1.38E-2</v>
      </c>
      <c r="EA151" s="230">
        <v>79450</v>
      </c>
      <c r="EB151" s="229">
        <v>-6.0000000000000001E-3</v>
      </c>
      <c r="EC151" s="229">
        <v>1.38E-2</v>
      </c>
      <c r="ED151" s="228">
        <v>-13.37</v>
      </c>
      <c r="EE151" s="229">
        <v>-8.0000000000000002E-3</v>
      </c>
      <c r="EF151" s="230">
        <v>132016</v>
      </c>
      <c r="EG151" s="230">
        <v>60268</v>
      </c>
      <c r="EH151" s="229">
        <v>1.1904999999999999</v>
      </c>
      <c r="EI151" s="229">
        <v>0.46279999999999999</v>
      </c>
      <c r="EJ151" s="231">
        <v>12635.01</v>
      </c>
      <c r="EK151" s="231">
        <v>3580.77</v>
      </c>
      <c r="EL151" s="231">
        <v>8985.68</v>
      </c>
      <c r="EM151" s="231">
        <v>1527</v>
      </c>
      <c r="EN151" s="231">
        <v>25201.46</v>
      </c>
      <c r="EO151" s="231">
        <v>17919.79</v>
      </c>
      <c r="EP151" s="231">
        <v>7281.67</v>
      </c>
      <c r="EQ151" s="229">
        <v>0.40629999999999999</v>
      </c>
      <c r="ER151" s="231">
        <v>20176</v>
      </c>
      <c r="ES151" s="231">
        <v>6509</v>
      </c>
      <c r="ET151" s="231">
        <v>117354</v>
      </c>
      <c r="EU151" s="231">
        <v>17614093</v>
      </c>
      <c r="EV151" s="231">
        <v>144039</v>
      </c>
      <c r="EW151" s="231">
        <v>141080</v>
      </c>
      <c r="EX151" s="231">
        <v>2959</v>
      </c>
      <c r="EY151" s="229">
        <v>2.1000000000000001E-2</v>
      </c>
      <c r="EZ151" s="229">
        <v>0.4819</v>
      </c>
      <c r="FA151" s="227" t="s">
        <v>691</v>
      </c>
      <c r="FB151" s="161">
        <f t="shared" si="3"/>
        <v>0</v>
      </c>
    </row>
    <row r="152" spans="1:158" ht="17.25" thickBot="1" x14ac:dyDescent="0.3">
      <c r="A152" s="226">
        <v>46148</v>
      </c>
      <c r="B152" s="227" t="s">
        <v>221</v>
      </c>
      <c r="C152" s="227" t="s">
        <v>518</v>
      </c>
      <c r="D152" s="228">
        <v>75</v>
      </c>
      <c r="E152" s="231">
        <v>9645</v>
      </c>
      <c r="F152" s="231">
        <v>9665.5</v>
      </c>
      <c r="G152" s="228">
        <v>-20.5</v>
      </c>
      <c r="H152" s="229">
        <v>-2.0999999999999999E-3</v>
      </c>
      <c r="I152" s="231">
        <v>9694.5</v>
      </c>
      <c r="J152" s="231">
        <v>9707</v>
      </c>
      <c r="K152" s="228">
        <v>-12.5</v>
      </c>
      <c r="L152" s="229">
        <v>-1.2999999999999999E-3</v>
      </c>
      <c r="M152" s="231">
        <v>9645</v>
      </c>
      <c r="N152" s="231">
        <v>9665.5</v>
      </c>
      <c r="O152" s="228">
        <v>-20.5</v>
      </c>
      <c r="P152" s="229">
        <v>-2.0999999999999999E-3</v>
      </c>
      <c r="Q152" s="231">
        <v>9568</v>
      </c>
      <c r="R152" s="231">
        <v>9563</v>
      </c>
      <c r="S152" s="228">
        <v>5</v>
      </c>
      <c r="T152" s="229">
        <v>5.0000000000000001E-4</v>
      </c>
      <c r="U152" s="231">
        <v>9548</v>
      </c>
      <c r="V152" s="231">
        <v>9555</v>
      </c>
      <c r="W152" s="228">
        <v>-7</v>
      </c>
      <c r="X152" s="229">
        <v>-6.9999999999999999E-4</v>
      </c>
      <c r="Y152" s="228">
        <v>-49.5</v>
      </c>
      <c r="Z152" s="228">
        <v>-41.5</v>
      </c>
      <c r="AA152" s="228">
        <v>-8</v>
      </c>
      <c r="AB152" s="229">
        <v>-5.1000000000000004E-3</v>
      </c>
      <c r="AC152" s="228">
        <v>-49.5</v>
      </c>
      <c r="AD152" s="228">
        <v>-41.5</v>
      </c>
      <c r="AE152" s="228">
        <v>-8</v>
      </c>
      <c r="AF152" s="229">
        <v>-5.1000000000000004E-3</v>
      </c>
      <c r="AG152" s="228">
        <v>-126.5</v>
      </c>
      <c r="AH152" s="228">
        <v>-144</v>
      </c>
      <c r="AI152" s="228">
        <v>17.5</v>
      </c>
      <c r="AJ152" s="229">
        <v>-1.2999999999999999E-2</v>
      </c>
      <c r="AK152" s="228">
        <v>-146.5</v>
      </c>
      <c r="AL152" s="228">
        <v>-152</v>
      </c>
      <c r="AM152" s="228">
        <v>5.5</v>
      </c>
      <c r="AN152" s="229">
        <v>-1.5100000000000001E-2</v>
      </c>
      <c r="AO152" s="231">
        <v>9639.93</v>
      </c>
      <c r="AP152" s="231">
        <v>9546.9</v>
      </c>
      <c r="AQ152" s="228">
        <v>0</v>
      </c>
      <c r="AR152" s="230">
        <v>216975</v>
      </c>
      <c r="AS152" s="230">
        <v>264750</v>
      </c>
      <c r="AT152" s="230">
        <v>-47775</v>
      </c>
      <c r="AU152" s="229">
        <v>-0.18049999999999999</v>
      </c>
      <c r="AV152" s="230">
        <v>208200</v>
      </c>
      <c r="AW152" s="230">
        <v>252375</v>
      </c>
      <c r="AX152" s="230">
        <v>-44175</v>
      </c>
      <c r="AY152" s="229">
        <v>-0.17499999999999999</v>
      </c>
      <c r="AZ152" s="230">
        <v>8625</v>
      </c>
      <c r="BA152" s="230">
        <v>10350</v>
      </c>
      <c r="BB152" s="230">
        <v>-1725</v>
      </c>
      <c r="BC152" s="229">
        <v>-0.16669999999999999</v>
      </c>
      <c r="BD152" s="228">
        <v>150</v>
      </c>
      <c r="BE152" s="230">
        <v>2025</v>
      </c>
      <c r="BF152" s="230">
        <v>-1875</v>
      </c>
      <c r="BG152" s="229">
        <v>-0.92589999999999995</v>
      </c>
      <c r="BH152" s="230">
        <v>519900</v>
      </c>
      <c r="BI152" s="230">
        <v>973200</v>
      </c>
      <c r="BJ152" s="230">
        <v>-453300</v>
      </c>
      <c r="BK152" s="229">
        <v>-0.46579999999999999</v>
      </c>
      <c r="BL152" s="230">
        <v>913800</v>
      </c>
      <c r="BM152" s="230">
        <v>708600</v>
      </c>
      <c r="BN152" s="230">
        <v>205200</v>
      </c>
      <c r="BO152" s="229">
        <v>0.28960000000000002</v>
      </c>
      <c r="BP152" s="230">
        <v>1650675</v>
      </c>
      <c r="BQ152" s="230">
        <v>1946550</v>
      </c>
      <c r="BR152" s="230">
        <v>-295875</v>
      </c>
      <c r="BS152" s="229">
        <v>-0.152</v>
      </c>
      <c r="BT152" s="230">
        <v>264350</v>
      </c>
      <c r="BU152" s="230">
        <v>274885</v>
      </c>
      <c r="BV152" s="230">
        <v>-10535</v>
      </c>
      <c r="BW152" s="229">
        <v>-3.8300000000000001E-2</v>
      </c>
      <c r="BX152" s="230">
        <v>1269225</v>
      </c>
      <c r="BY152" s="230">
        <v>1274525</v>
      </c>
      <c r="BZ152" s="230">
        <v>-5300</v>
      </c>
      <c r="CA152" s="229">
        <v>-4.1999999999999997E-3</v>
      </c>
      <c r="CB152" s="230">
        <v>1241100</v>
      </c>
      <c r="CC152" s="230">
        <v>1248675</v>
      </c>
      <c r="CD152" s="230">
        <v>-7575</v>
      </c>
      <c r="CE152" s="229">
        <v>-6.1000000000000004E-3</v>
      </c>
      <c r="CF152" s="230">
        <v>23625</v>
      </c>
      <c r="CG152" s="230">
        <v>21450</v>
      </c>
      <c r="CH152" s="230">
        <v>2175</v>
      </c>
      <c r="CI152" s="229">
        <v>0.1014</v>
      </c>
      <c r="CJ152" s="230">
        <v>4500</v>
      </c>
      <c r="CK152" s="230">
        <v>4400</v>
      </c>
      <c r="CL152" s="228">
        <v>100</v>
      </c>
      <c r="CM152" s="229">
        <v>2.2700000000000001E-2</v>
      </c>
      <c r="CN152" s="230">
        <v>637350</v>
      </c>
      <c r="CO152" s="230">
        <v>634275</v>
      </c>
      <c r="CP152" s="230">
        <v>3075</v>
      </c>
      <c r="CQ152" s="229">
        <v>4.7999999999999996E-3</v>
      </c>
      <c r="CR152" s="230">
        <v>698475</v>
      </c>
      <c r="CS152" s="230">
        <v>652350</v>
      </c>
      <c r="CT152" s="230">
        <v>46125</v>
      </c>
      <c r="CU152" s="229">
        <v>7.0699999999999999E-2</v>
      </c>
      <c r="CV152" s="230">
        <v>2605050</v>
      </c>
      <c r="CW152" s="230">
        <v>2561150</v>
      </c>
      <c r="CX152" s="230">
        <v>43900</v>
      </c>
      <c r="CY152" s="229">
        <v>1.7100000000000001E-2</v>
      </c>
      <c r="CZ152" s="228">
        <v>41.94</v>
      </c>
      <c r="DA152" s="228">
        <v>36.97</v>
      </c>
      <c r="DB152" s="228">
        <v>4.97</v>
      </c>
      <c r="DC152" s="228">
        <v>4.97</v>
      </c>
      <c r="DD152" s="228">
        <v>41.15</v>
      </c>
      <c r="DE152" s="228">
        <v>41.25</v>
      </c>
      <c r="DF152" s="228">
        <v>0.79</v>
      </c>
      <c r="DG152" s="228">
        <v>-0.1</v>
      </c>
      <c r="DH152" s="228">
        <v>33.01</v>
      </c>
      <c r="DI152" s="228">
        <v>34.840000000000003</v>
      </c>
      <c r="DJ152" s="228">
        <v>-1.83</v>
      </c>
      <c r="DK152" s="228">
        <v>-1.83</v>
      </c>
      <c r="DL152" s="228">
        <v>47.01</v>
      </c>
      <c r="DM152" s="228">
        <v>39.909999999999997</v>
      </c>
      <c r="DN152" s="228">
        <v>7.1</v>
      </c>
      <c r="DO152" s="228">
        <v>7.1</v>
      </c>
      <c r="DP152" s="228">
        <v>1.1000000000000001</v>
      </c>
      <c r="DQ152" s="228">
        <v>1.03</v>
      </c>
      <c r="DR152" s="228">
        <v>7.0000000000000007E-2</v>
      </c>
      <c r="DS152" s="229">
        <v>6.8000000000000005E-2</v>
      </c>
      <c r="DT152" s="231">
        <v>9800</v>
      </c>
      <c r="DU152" s="231">
        <v>9000</v>
      </c>
      <c r="DV152" s="228">
        <v>1.76</v>
      </c>
      <c r="DW152" s="228">
        <v>0.73</v>
      </c>
      <c r="DX152" s="228">
        <v>1.03</v>
      </c>
      <c r="DY152" s="229">
        <v>1.411</v>
      </c>
      <c r="DZ152" s="229">
        <v>2.2200000000000001E-2</v>
      </c>
      <c r="EA152" s="230">
        <v>25850</v>
      </c>
      <c r="EB152" s="229">
        <v>-8.0000000000000002E-3</v>
      </c>
      <c r="EC152" s="229">
        <v>2.2200000000000001E-2</v>
      </c>
      <c r="ED152" s="228">
        <v>-93.03</v>
      </c>
      <c r="EE152" s="229">
        <v>-9.7000000000000003E-3</v>
      </c>
      <c r="EF152" s="230">
        <v>130460</v>
      </c>
      <c r="EG152" s="230">
        <v>100022</v>
      </c>
      <c r="EH152" s="229">
        <v>0.30430000000000001</v>
      </c>
      <c r="EI152" s="229">
        <v>0.49349999999999999</v>
      </c>
      <c r="EJ152" s="231">
        <v>53012.76</v>
      </c>
      <c r="EK152" s="231">
        <v>75408.87</v>
      </c>
      <c r="EL152" s="231">
        <v>20912.86</v>
      </c>
      <c r="EM152" s="231">
        <v>3938</v>
      </c>
      <c r="EN152" s="231">
        <v>149334.49</v>
      </c>
      <c r="EO152" s="231">
        <v>188682.64</v>
      </c>
      <c r="EP152" s="231">
        <v>-39348.15</v>
      </c>
      <c r="EQ152" s="229">
        <v>-0.20849999999999999</v>
      </c>
      <c r="ER152" s="231">
        <v>61439</v>
      </c>
      <c r="ES152" s="231">
        <v>60953</v>
      </c>
      <c r="ET152" s="231">
        <v>122394</v>
      </c>
      <c r="EU152" s="231">
        <v>3594855</v>
      </c>
      <c r="EV152" s="231">
        <v>244787</v>
      </c>
      <c r="EW152" s="231">
        <v>241395</v>
      </c>
      <c r="EX152" s="231">
        <v>3392</v>
      </c>
      <c r="EY152" s="229">
        <v>1.41E-2</v>
      </c>
      <c r="EZ152" s="229">
        <v>0.72470000000000001</v>
      </c>
      <c r="FA152" s="227" t="s">
        <v>567</v>
      </c>
      <c r="FB152" s="161">
        <f t="shared" si="3"/>
        <v>0</v>
      </c>
    </row>
    <row r="153" spans="1:158" ht="17.25" thickBot="1" x14ac:dyDescent="0.3">
      <c r="A153" s="226">
        <v>46148</v>
      </c>
      <c r="B153" s="227" t="s">
        <v>193</v>
      </c>
      <c r="C153" s="227" t="s">
        <v>586</v>
      </c>
      <c r="D153" s="228">
        <v>1400</v>
      </c>
      <c r="E153" s="228">
        <v>453.25</v>
      </c>
      <c r="F153" s="228">
        <v>478</v>
      </c>
      <c r="G153" s="228">
        <v>-24.75</v>
      </c>
      <c r="H153" s="229">
        <v>-5.1799999999999999E-2</v>
      </c>
      <c r="I153" s="228">
        <v>450.25</v>
      </c>
      <c r="J153" s="228">
        <v>476.5</v>
      </c>
      <c r="K153" s="228">
        <v>-26.25</v>
      </c>
      <c r="L153" s="229">
        <v>-5.5100000000000003E-2</v>
      </c>
      <c r="M153" s="228">
        <v>453.25</v>
      </c>
      <c r="N153" s="228">
        <v>478</v>
      </c>
      <c r="O153" s="228">
        <v>-24.75</v>
      </c>
      <c r="P153" s="229">
        <v>-5.1799999999999999E-2</v>
      </c>
      <c r="Q153" s="228">
        <v>454.25</v>
      </c>
      <c r="R153" s="228">
        <v>478.4</v>
      </c>
      <c r="S153" s="228">
        <v>-24.15</v>
      </c>
      <c r="T153" s="229">
        <v>-5.0500000000000003E-2</v>
      </c>
      <c r="U153" s="228">
        <v>456.05</v>
      </c>
      <c r="V153" s="228">
        <v>480.25</v>
      </c>
      <c r="W153" s="228">
        <v>-24.2</v>
      </c>
      <c r="X153" s="229">
        <v>-5.04E-2</v>
      </c>
      <c r="Y153" s="228">
        <v>3</v>
      </c>
      <c r="Z153" s="228">
        <v>1.5</v>
      </c>
      <c r="AA153" s="228">
        <v>1.5</v>
      </c>
      <c r="AB153" s="229">
        <v>6.7000000000000002E-3</v>
      </c>
      <c r="AC153" s="228">
        <v>3</v>
      </c>
      <c r="AD153" s="228">
        <v>1.5</v>
      </c>
      <c r="AE153" s="228">
        <v>1.5</v>
      </c>
      <c r="AF153" s="229">
        <v>6.7000000000000002E-3</v>
      </c>
      <c r="AG153" s="228">
        <v>4</v>
      </c>
      <c r="AH153" s="228">
        <v>1.9</v>
      </c>
      <c r="AI153" s="228">
        <v>2.1</v>
      </c>
      <c r="AJ153" s="229">
        <v>8.8999999999999999E-3</v>
      </c>
      <c r="AK153" s="228">
        <v>5.8</v>
      </c>
      <c r="AL153" s="228">
        <v>3.75</v>
      </c>
      <c r="AM153" s="228">
        <v>2.0499999999999998</v>
      </c>
      <c r="AN153" s="229">
        <v>1.29E-2</v>
      </c>
      <c r="AO153" s="228">
        <v>460.51</v>
      </c>
      <c r="AP153" s="228">
        <v>461.57</v>
      </c>
      <c r="AQ153" s="228">
        <v>0</v>
      </c>
      <c r="AR153" s="230">
        <v>6276200</v>
      </c>
      <c r="AS153" s="230">
        <v>2737000</v>
      </c>
      <c r="AT153" s="230">
        <v>3539200</v>
      </c>
      <c r="AU153" s="229">
        <v>1.2930999999999999</v>
      </c>
      <c r="AV153" s="230">
        <v>5628000</v>
      </c>
      <c r="AW153" s="230">
        <v>2499000</v>
      </c>
      <c r="AX153" s="230">
        <v>3129000</v>
      </c>
      <c r="AY153" s="229">
        <v>1.2521</v>
      </c>
      <c r="AZ153" s="230">
        <v>581000</v>
      </c>
      <c r="BA153" s="230">
        <v>231000</v>
      </c>
      <c r="BB153" s="230">
        <v>350000</v>
      </c>
      <c r="BC153" s="229">
        <v>1.5152000000000001</v>
      </c>
      <c r="BD153" s="230">
        <v>67200</v>
      </c>
      <c r="BE153" s="230">
        <v>7000</v>
      </c>
      <c r="BF153" s="230">
        <v>60200</v>
      </c>
      <c r="BG153" s="229">
        <v>8.6</v>
      </c>
      <c r="BH153" s="230">
        <v>13937000</v>
      </c>
      <c r="BI153" s="230">
        <v>11170600</v>
      </c>
      <c r="BJ153" s="230">
        <v>2766400</v>
      </c>
      <c r="BK153" s="229">
        <v>0.2477</v>
      </c>
      <c r="BL153" s="230">
        <v>7306600</v>
      </c>
      <c r="BM153" s="230">
        <v>4499600</v>
      </c>
      <c r="BN153" s="230">
        <v>2807000</v>
      </c>
      <c r="BO153" s="229">
        <v>0.62380000000000002</v>
      </c>
      <c r="BP153" s="230">
        <v>27519800</v>
      </c>
      <c r="BQ153" s="230">
        <v>18407200</v>
      </c>
      <c r="BR153" s="230">
        <v>9112600</v>
      </c>
      <c r="BS153" s="229">
        <v>0.49509999999999998</v>
      </c>
      <c r="BT153" s="230">
        <v>9925147</v>
      </c>
      <c r="BU153" s="230">
        <v>5036887</v>
      </c>
      <c r="BV153" s="230">
        <v>4888260</v>
      </c>
      <c r="BW153" s="229">
        <v>0.97050000000000003</v>
      </c>
      <c r="BX153" s="230">
        <v>19245800</v>
      </c>
      <c r="BY153" s="230">
        <v>19168800</v>
      </c>
      <c r="BZ153" s="230">
        <v>77000</v>
      </c>
      <c r="CA153" s="229">
        <v>4.0000000000000001E-3</v>
      </c>
      <c r="CB153" s="230">
        <v>18342800</v>
      </c>
      <c r="CC153" s="230">
        <v>18487000</v>
      </c>
      <c r="CD153" s="230">
        <v>-144200</v>
      </c>
      <c r="CE153" s="229">
        <v>-7.7999999999999996E-3</v>
      </c>
      <c r="CF153" s="230">
        <v>807800</v>
      </c>
      <c r="CG153" s="230">
        <v>639800</v>
      </c>
      <c r="CH153" s="230">
        <v>168000</v>
      </c>
      <c r="CI153" s="229">
        <v>0.2626</v>
      </c>
      <c r="CJ153" s="230">
        <v>95200</v>
      </c>
      <c r="CK153" s="230">
        <v>42000</v>
      </c>
      <c r="CL153" s="230">
        <v>53200</v>
      </c>
      <c r="CM153" s="229">
        <v>1.2666999999999999</v>
      </c>
      <c r="CN153" s="230">
        <v>11859400</v>
      </c>
      <c r="CO153" s="230">
        <v>9310000</v>
      </c>
      <c r="CP153" s="230">
        <v>2549400</v>
      </c>
      <c r="CQ153" s="229">
        <v>0.27379999999999999</v>
      </c>
      <c r="CR153" s="230">
        <v>5335400</v>
      </c>
      <c r="CS153" s="230">
        <v>4884600</v>
      </c>
      <c r="CT153" s="230">
        <v>450800</v>
      </c>
      <c r="CU153" s="229">
        <v>9.2299999999999993E-2</v>
      </c>
      <c r="CV153" s="230">
        <v>36440600</v>
      </c>
      <c r="CW153" s="230">
        <v>33363400</v>
      </c>
      <c r="CX153" s="230">
        <v>3077200</v>
      </c>
      <c r="CY153" s="229">
        <v>9.2200000000000004E-2</v>
      </c>
      <c r="CZ153" s="228">
        <v>38.450000000000003</v>
      </c>
      <c r="DA153" s="228">
        <v>36.11</v>
      </c>
      <c r="DB153" s="228">
        <v>2.34</v>
      </c>
      <c r="DC153" s="228">
        <v>2.34</v>
      </c>
      <c r="DD153" s="228">
        <v>41.86</v>
      </c>
      <c r="DE153" s="228">
        <v>41.26</v>
      </c>
      <c r="DF153" s="228">
        <v>-3.41</v>
      </c>
      <c r="DG153" s="228">
        <v>0.6</v>
      </c>
      <c r="DH153" s="228">
        <v>39.58</v>
      </c>
      <c r="DI153" s="228">
        <v>36.299999999999997</v>
      </c>
      <c r="DJ153" s="228">
        <v>3.28</v>
      </c>
      <c r="DK153" s="228">
        <v>3.28</v>
      </c>
      <c r="DL153" s="228">
        <v>36.29</v>
      </c>
      <c r="DM153" s="228">
        <v>35.619999999999997</v>
      </c>
      <c r="DN153" s="228">
        <v>0.67</v>
      </c>
      <c r="DO153" s="228">
        <v>0.67</v>
      </c>
      <c r="DP153" s="228">
        <v>0.45</v>
      </c>
      <c r="DQ153" s="228">
        <v>0.52</v>
      </c>
      <c r="DR153" s="228">
        <v>-7.0000000000000007E-2</v>
      </c>
      <c r="DS153" s="229">
        <v>-0.1346</v>
      </c>
      <c r="DT153" s="228">
        <v>500</v>
      </c>
      <c r="DU153" s="228">
        <v>480</v>
      </c>
      <c r="DV153" s="228">
        <v>0.52</v>
      </c>
      <c r="DW153" s="228">
        <v>0.4</v>
      </c>
      <c r="DX153" s="228">
        <v>0.12</v>
      </c>
      <c r="DY153" s="229">
        <v>0.3</v>
      </c>
      <c r="DZ153" s="229">
        <v>4.6899999999999997E-2</v>
      </c>
      <c r="EA153" s="230">
        <v>681800</v>
      </c>
      <c r="EB153" s="229">
        <v>2.2000000000000001E-3</v>
      </c>
      <c r="EC153" s="229">
        <v>4.6899999999999997E-2</v>
      </c>
      <c r="ED153" s="228">
        <v>1.06</v>
      </c>
      <c r="EE153" s="229">
        <v>2.3E-3</v>
      </c>
      <c r="EF153" s="230">
        <v>5224852</v>
      </c>
      <c r="EG153" s="230">
        <v>1792015</v>
      </c>
      <c r="EH153" s="229">
        <v>1.9156</v>
      </c>
      <c r="EI153" s="229">
        <v>0.52639999999999998</v>
      </c>
      <c r="EJ153" s="231">
        <v>69545.399999999994</v>
      </c>
      <c r="EK153" s="231">
        <v>33999.54</v>
      </c>
      <c r="EL153" s="231">
        <v>28909.16</v>
      </c>
      <c r="EM153" s="231">
        <v>2709</v>
      </c>
      <c r="EN153" s="231">
        <v>132454.1</v>
      </c>
      <c r="EO153" s="231">
        <v>90947.33</v>
      </c>
      <c r="EP153" s="231">
        <v>41506.769999999997</v>
      </c>
      <c r="EQ153" s="229">
        <v>0.45639999999999997</v>
      </c>
      <c r="ER153" s="231">
        <v>59404</v>
      </c>
      <c r="ES153" s="231">
        <v>24913</v>
      </c>
      <c r="ET153" s="231">
        <v>87242</v>
      </c>
      <c r="EU153" s="231">
        <v>105756420</v>
      </c>
      <c r="EV153" s="231">
        <v>171559</v>
      </c>
      <c r="EW153" s="231">
        <v>161853</v>
      </c>
      <c r="EX153" s="231">
        <v>9706</v>
      </c>
      <c r="EY153" s="229">
        <v>0.06</v>
      </c>
      <c r="EZ153" s="229">
        <v>0.34460000000000002</v>
      </c>
      <c r="FA153" s="227" t="s">
        <v>566</v>
      </c>
      <c r="FB153" s="161">
        <f>BX228-CB228</f>
        <v>0</v>
      </c>
    </row>
    <row r="154" spans="1:158" ht="17.25" thickBot="1" x14ac:dyDescent="0.3">
      <c r="A154" s="226">
        <v>46148</v>
      </c>
      <c r="B154" s="227" t="s">
        <v>193</v>
      </c>
      <c r="C154" s="227" t="s">
        <v>269</v>
      </c>
      <c r="D154" s="228">
        <v>2250</v>
      </c>
      <c r="E154" s="228">
        <v>282.64999999999998</v>
      </c>
      <c r="F154" s="228">
        <v>291.05</v>
      </c>
      <c r="G154" s="228">
        <v>-8.4</v>
      </c>
      <c r="H154" s="229">
        <v>-2.8899999999999999E-2</v>
      </c>
      <c r="I154" s="228">
        <v>280.8</v>
      </c>
      <c r="J154" s="228">
        <v>289.95</v>
      </c>
      <c r="K154" s="228">
        <v>-9.15</v>
      </c>
      <c r="L154" s="229">
        <v>-3.1600000000000003E-2</v>
      </c>
      <c r="M154" s="228">
        <v>282.64999999999998</v>
      </c>
      <c r="N154" s="228">
        <v>291.05</v>
      </c>
      <c r="O154" s="228">
        <v>-8.4</v>
      </c>
      <c r="P154" s="229">
        <v>-2.8899999999999999E-2</v>
      </c>
      <c r="Q154" s="228">
        <v>284.45</v>
      </c>
      <c r="R154" s="228">
        <v>293.10000000000002</v>
      </c>
      <c r="S154" s="228">
        <v>-8.65</v>
      </c>
      <c r="T154" s="229">
        <v>-2.9499999999999998E-2</v>
      </c>
      <c r="U154" s="228">
        <v>285.75</v>
      </c>
      <c r="V154" s="228">
        <v>294.39999999999998</v>
      </c>
      <c r="W154" s="228">
        <v>-8.65</v>
      </c>
      <c r="X154" s="229">
        <v>-2.9399999999999999E-2</v>
      </c>
      <c r="Y154" s="228">
        <v>1.85</v>
      </c>
      <c r="Z154" s="228">
        <v>1.1000000000000001</v>
      </c>
      <c r="AA154" s="228">
        <v>0.75</v>
      </c>
      <c r="AB154" s="229">
        <v>6.6E-3</v>
      </c>
      <c r="AC154" s="228">
        <v>1.85</v>
      </c>
      <c r="AD154" s="228">
        <v>1.1000000000000001</v>
      </c>
      <c r="AE154" s="228">
        <v>0.75</v>
      </c>
      <c r="AF154" s="229">
        <v>6.6E-3</v>
      </c>
      <c r="AG154" s="228">
        <v>3.65</v>
      </c>
      <c r="AH154" s="228">
        <v>3.15</v>
      </c>
      <c r="AI154" s="228">
        <v>0.5</v>
      </c>
      <c r="AJ154" s="229">
        <v>1.2999999999999999E-2</v>
      </c>
      <c r="AK154" s="228">
        <v>4.95</v>
      </c>
      <c r="AL154" s="228">
        <v>4.45</v>
      </c>
      <c r="AM154" s="228">
        <v>0.5</v>
      </c>
      <c r="AN154" s="229">
        <v>1.7600000000000001E-2</v>
      </c>
      <c r="AO154" s="228">
        <v>285.2</v>
      </c>
      <c r="AP154" s="228">
        <v>287.92</v>
      </c>
      <c r="AQ154" s="228">
        <v>0</v>
      </c>
      <c r="AR154" s="230">
        <v>18330750</v>
      </c>
      <c r="AS154" s="230">
        <v>9551250</v>
      </c>
      <c r="AT154" s="230">
        <v>8779500</v>
      </c>
      <c r="AU154" s="229">
        <v>0.91920000000000002</v>
      </c>
      <c r="AV154" s="230">
        <v>16812000</v>
      </c>
      <c r="AW154" s="230">
        <v>8736750</v>
      </c>
      <c r="AX154" s="230">
        <v>8075250</v>
      </c>
      <c r="AY154" s="229">
        <v>0.92430000000000001</v>
      </c>
      <c r="AZ154" s="230">
        <v>1372500</v>
      </c>
      <c r="BA154" s="230">
        <v>756000</v>
      </c>
      <c r="BB154" s="230">
        <v>616500</v>
      </c>
      <c r="BC154" s="229">
        <v>0.8155</v>
      </c>
      <c r="BD154" s="230">
        <v>146250</v>
      </c>
      <c r="BE154" s="230">
        <v>58500</v>
      </c>
      <c r="BF154" s="230">
        <v>87750</v>
      </c>
      <c r="BG154" s="229">
        <v>1.5</v>
      </c>
      <c r="BH154" s="230">
        <v>94027500</v>
      </c>
      <c r="BI154" s="230">
        <v>54560250</v>
      </c>
      <c r="BJ154" s="230">
        <v>39467250</v>
      </c>
      <c r="BK154" s="229">
        <v>0.72340000000000004</v>
      </c>
      <c r="BL154" s="230">
        <v>39006000</v>
      </c>
      <c r="BM154" s="230">
        <v>18670500</v>
      </c>
      <c r="BN154" s="230">
        <v>20335500</v>
      </c>
      <c r="BO154" s="229">
        <v>1.0891999999999999</v>
      </c>
      <c r="BP154" s="230">
        <v>151364250</v>
      </c>
      <c r="BQ154" s="230">
        <v>82782000</v>
      </c>
      <c r="BR154" s="230">
        <v>68582250</v>
      </c>
      <c r="BS154" s="229">
        <v>0.82850000000000001</v>
      </c>
      <c r="BT154" s="230">
        <v>24606263</v>
      </c>
      <c r="BU154" s="230">
        <v>11046647</v>
      </c>
      <c r="BV154" s="230">
        <v>13559616</v>
      </c>
      <c r="BW154" s="229">
        <v>1.2275</v>
      </c>
      <c r="BX154" s="230">
        <v>103207500</v>
      </c>
      <c r="BY154" s="230">
        <v>101619000</v>
      </c>
      <c r="BZ154" s="230">
        <v>1588500</v>
      </c>
      <c r="CA154" s="229">
        <v>1.5599999999999999E-2</v>
      </c>
      <c r="CB154" s="230">
        <v>83974500</v>
      </c>
      <c r="CC154" s="230">
        <v>82950750</v>
      </c>
      <c r="CD154" s="230">
        <v>1023750</v>
      </c>
      <c r="CE154" s="229">
        <v>1.23E-2</v>
      </c>
      <c r="CF154" s="230">
        <v>18990000</v>
      </c>
      <c r="CG154" s="230">
        <v>18495000</v>
      </c>
      <c r="CH154" s="230">
        <v>495000</v>
      </c>
      <c r="CI154" s="229">
        <v>2.6800000000000001E-2</v>
      </c>
      <c r="CJ154" s="230">
        <v>243000</v>
      </c>
      <c r="CK154" s="230">
        <v>173250</v>
      </c>
      <c r="CL154" s="230">
        <v>69750</v>
      </c>
      <c r="CM154" s="229">
        <v>0.40260000000000001</v>
      </c>
      <c r="CN154" s="230">
        <v>57163500</v>
      </c>
      <c r="CO154" s="230">
        <v>47022750</v>
      </c>
      <c r="CP154" s="230">
        <v>10140750</v>
      </c>
      <c r="CQ154" s="229">
        <v>0.2157</v>
      </c>
      <c r="CR154" s="230">
        <v>18841500</v>
      </c>
      <c r="CS154" s="230">
        <v>17221500</v>
      </c>
      <c r="CT154" s="230">
        <v>1620000</v>
      </c>
      <c r="CU154" s="229">
        <v>9.4100000000000003E-2</v>
      </c>
      <c r="CV154" s="230">
        <v>179212500</v>
      </c>
      <c r="CW154" s="230">
        <v>165863250</v>
      </c>
      <c r="CX154" s="230">
        <v>13349250</v>
      </c>
      <c r="CY154" s="229">
        <v>8.0500000000000002E-2</v>
      </c>
      <c r="CZ154" s="228">
        <v>27.47</v>
      </c>
      <c r="DA154" s="228">
        <v>26.85</v>
      </c>
      <c r="DB154" s="228">
        <v>0.62</v>
      </c>
      <c r="DC154" s="228">
        <v>0.62</v>
      </c>
      <c r="DD154" s="228">
        <v>32.090000000000003</v>
      </c>
      <c r="DE154" s="228">
        <v>31.88</v>
      </c>
      <c r="DF154" s="228">
        <v>-4.62</v>
      </c>
      <c r="DG154" s="228">
        <v>0.21</v>
      </c>
      <c r="DH154" s="228">
        <v>27.67</v>
      </c>
      <c r="DI154" s="228">
        <v>26.91</v>
      </c>
      <c r="DJ154" s="228">
        <v>0.76</v>
      </c>
      <c r="DK154" s="228">
        <v>0.76</v>
      </c>
      <c r="DL154" s="228">
        <v>26.97</v>
      </c>
      <c r="DM154" s="228">
        <v>26.68</v>
      </c>
      <c r="DN154" s="228">
        <v>0.28999999999999998</v>
      </c>
      <c r="DO154" s="228">
        <v>0.28999999999999998</v>
      </c>
      <c r="DP154" s="228">
        <v>0.33</v>
      </c>
      <c r="DQ154" s="228">
        <v>0.37</v>
      </c>
      <c r="DR154" s="228">
        <v>-0.04</v>
      </c>
      <c r="DS154" s="229">
        <v>-0.1081</v>
      </c>
      <c r="DT154" s="228">
        <v>300</v>
      </c>
      <c r="DU154" s="228">
        <v>280</v>
      </c>
      <c r="DV154" s="228">
        <v>0.41</v>
      </c>
      <c r="DW154" s="228">
        <v>0.34</v>
      </c>
      <c r="DX154" s="228">
        <v>7.0000000000000007E-2</v>
      </c>
      <c r="DY154" s="229">
        <v>0.2059</v>
      </c>
      <c r="DZ154" s="229">
        <v>0.18640000000000001</v>
      </c>
      <c r="EA154" s="230">
        <v>18668250</v>
      </c>
      <c r="EB154" s="229">
        <v>6.4000000000000003E-3</v>
      </c>
      <c r="EC154" s="229">
        <v>0.18640000000000001</v>
      </c>
      <c r="ED154" s="228">
        <v>2.72</v>
      </c>
      <c r="EE154" s="229">
        <v>9.4999999999999998E-3</v>
      </c>
      <c r="EF154" s="230">
        <v>14579499</v>
      </c>
      <c r="EG154" s="230">
        <v>3918015</v>
      </c>
      <c r="EH154" s="229">
        <v>2.7210999999999999</v>
      </c>
      <c r="EI154" s="229">
        <v>0.59250000000000003</v>
      </c>
      <c r="EJ154" s="231">
        <v>284907.67</v>
      </c>
      <c r="EK154" s="231">
        <v>111641.4</v>
      </c>
      <c r="EL154" s="231">
        <v>52322.89</v>
      </c>
      <c r="EM154" s="231">
        <v>5988</v>
      </c>
      <c r="EN154" s="231">
        <v>448871.96</v>
      </c>
      <c r="EO154" s="231">
        <v>250932.68</v>
      </c>
      <c r="EP154" s="231">
        <v>197939.28</v>
      </c>
      <c r="EQ154" s="229">
        <v>0.78879999999999995</v>
      </c>
      <c r="ER154" s="231">
        <v>174256</v>
      </c>
      <c r="ES154" s="231">
        <v>53548</v>
      </c>
      <c r="ET154" s="231">
        <v>292065</v>
      </c>
      <c r="EU154" s="231">
        <v>711370982</v>
      </c>
      <c r="EV154" s="231">
        <v>519869</v>
      </c>
      <c r="EW154" s="231">
        <v>489768</v>
      </c>
      <c r="EX154" s="231">
        <v>30101</v>
      </c>
      <c r="EY154" s="229">
        <v>6.1499999999999999E-2</v>
      </c>
      <c r="EZ154" s="229">
        <v>0.25190000000000001</v>
      </c>
      <c r="FA154" s="227" t="s">
        <v>566</v>
      </c>
      <c r="FB154" s="161">
        <f t="shared" si="3"/>
        <v>0</v>
      </c>
    </row>
    <row r="155" spans="1:158" ht="17.25" thickBot="1" x14ac:dyDescent="0.3">
      <c r="A155" s="226">
        <v>46148</v>
      </c>
      <c r="B155" s="227" t="s">
        <v>197</v>
      </c>
      <c r="C155" s="227" t="s">
        <v>270</v>
      </c>
      <c r="D155" s="228">
        <v>15</v>
      </c>
      <c r="E155" s="231">
        <v>37750</v>
      </c>
      <c r="F155" s="231">
        <v>37600</v>
      </c>
      <c r="G155" s="228">
        <v>150</v>
      </c>
      <c r="H155" s="229">
        <v>4.0000000000000001E-3</v>
      </c>
      <c r="I155" s="231">
        <v>37540</v>
      </c>
      <c r="J155" s="231">
        <v>37400</v>
      </c>
      <c r="K155" s="228">
        <v>140</v>
      </c>
      <c r="L155" s="229">
        <v>3.7000000000000002E-3</v>
      </c>
      <c r="M155" s="231">
        <v>37750</v>
      </c>
      <c r="N155" s="231">
        <v>37600</v>
      </c>
      <c r="O155" s="228">
        <v>150</v>
      </c>
      <c r="P155" s="229">
        <v>4.0000000000000001E-3</v>
      </c>
      <c r="Q155" s="231">
        <v>37715</v>
      </c>
      <c r="R155" s="231">
        <v>37535</v>
      </c>
      <c r="S155" s="228">
        <v>180</v>
      </c>
      <c r="T155" s="229">
        <v>4.7999999999999996E-3</v>
      </c>
      <c r="U155" s="231">
        <v>37895</v>
      </c>
      <c r="V155" s="231">
        <v>37150</v>
      </c>
      <c r="W155" s="228">
        <v>745</v>
      </c>
      <c r="X155" s="229">
        <v>2.01E-2</v>
      </c>
      <c r="Y155" s="228">
        <v>210</v>
      </c>
      <c r="Z155" s="228">
        <v>200</v>
      </c>
      <c r="AA155" s="228">
        <v>10</v>
      </c>
      <c r="AB155" s="229">
        <v>5.5999999999999999E-3</v>
      </c>
      <c r="AC155" s="228">
        <v>210</v>
      </c>
      <c r="AD155" s="228">
        <v>200</v>
      </c>
      <c r="AE155" s="228">
        <v>10</v>
      </c>
      <c r="AF155" s="229">
        <v>5.5999999999999999E-3</v>
      </c>
      <c r="AG155" s="228">
        <v>175</v>
      </c>
      <c r="AH155" s="228">
        <v>135</v>
      </c>
      <c r="AI155" s="228">
        <v>40</v>
      </c>
      <c r="AJ155" s="229">
        <v>4.7000000000000002E-3</v>
      </c>
      <c r="AK155" s="228">
        <v>355</v>
      </c>
      <c r="AL155" s="228">
        <v>-250</v>
      </c>
      <c r="AM155" s="228">
        <v>605</v>
      </c>
      <c r="AN155" s="229">
        <v>9.4999999999999998E-3</v>
      </c>
      <c r="AO155" s="231">
        <v>37691.4</v>
      </c>
      <c r="AP155" s="231">
        <v>37584.76</v>
      </c>
      <c r="AQ155" s="228">
        <v>0</v>
      </c>
      <c r="AR155" s="230">
        <v>25905</v>
      </c>
      <c r="AS155" s="230">
        <v>26385</v>
      </c>
      <c r="AT155" s="228">
        <v>-480</v>
      </c>
      <c r="AU155" s="229">
        <v>-1.8200000000000001E-2</v>
      </c>
      <c r="AV155" s="230">
        <v>25305</v>
      </c>
      <c r="AW155" s="230">
        <v>25935</v>
      </c>
      <c r="AX155" s="228">
        <v>-630</v>
      </c>
      <c r="AY155" s="229">
        <v>-2.4299999999999999E-2</v>
      </c>
      <c r="AZ155" s="228">
        <v>525</v>
      </c>
      <c r="BA155" s="228">
        <v>435</v>
      </c>
      <c r="BB155" s="228">
        <v>90</v>
      </c>
      <c r="BC155" s="229">
        <v>0.2069</v>
      </c>
      <c r="BD155" s="228">
        <v>75</v>
      </c>
      <c r="BE155" s="228">
        <v>15</v>
      </c>
      <c r="BF155" s="228">
        <v>60</v>
      </c>
      <c r="BG155" s="229">
        <v>4</v>
      </c>
      <c r="BH155" s="230">
        <v>15120</v>
      </c>
      <c r="BI155" s="230">
        <v>12705</v>
      </c>
      <c r="BJ155" s="230">
        <v>2415</v>
      </c>
      <c r="BK155" s="229">
        <v>0.19009999999999999</v>
      </c>
      <c r="BL155" s="230">
        <v>33450</v>
      </c>
      <c r="BM155" s="230">
        <v>4995</v>
      </c>
      <c r="BN155" s="230">
        <v>28455</v>
      </c>
      <c r="BO155" s="229">
        <v>5.6966999999999999</v>
      </c>
      <c r="BP155" s="230">
        <v>74475</v>
      </c>
      <c r="BQ155" s="230">
        <v>44085</v>
      </c>
      <c r="BR155" s="230">
        <v>30390</v>
      </c>
      <c r="BS155" s="229">
        <v>0.68940000000000001</v>
      </c>
      <c r="BT155" s="230">
        <v>13419</v>
      </c>
      <c r="BU155" s="230">
        <v>12969</v>
      </c>
      <c r="BV155" s="228">
        <v>450</v>
      </c>
      <c r="BW155" s="229">
        <v>3.4700000000000002E-2</v>
      </c>
      <c r="BX155" s="230">
        <v>303990</v>
      </c>
      <c r="BY155" s="230">
        <v>305385</v>
      </c>
      <c r="BZ155" s="230">
        <v>-1395</v>
      </c>
      <c r="CA155" s="229">
        <v>-4.5999999999999999E-3</v>
      </c>
      <c r="CB155" s="230">
        <v>300255</v>
      </c>
      <c r="CC155" s="230">
        <v>301845</v>
      </c>
      <c r="CD155" s="230">
        <v>-1590</v>
      </c>
      <c r="CE155" s="229">
        <v>-5.3E-3</v>
      </c>
      <c r="CF155" s="230">
        <v>3495</v>
      </c>
      <c r="CG155" s="230">
        <v>3360</v>
      </c>
      <c r="CH155" s="228">
        <v>135</v>
      </c>
      <c r="CI155" s="229">
        <v>4.02E-2</v>
      </c>
      <c r="CJ155" s="228">
        <v>240</v>
      </c>
      <c r="CK155" s="228">
        <v>180</v>
      </c>
      <c r="CL155" s="228">
        <v>60</v>
      </c>
      <c r="CM155" s="229">
        <v>0.33329999999999999</v>
      </c>
      <c r="CN155" s="230">
        <v>20400</v>
      </c>
      <c r="CO155" s="230">
        <v>20745</v>
      </c>
      <c r="CP155" s="228">
        <v>-345</v>
      </c>
      <c r="CQ155" s="229">
        <v>-1.66E-2</v>
      </c>
      <c r="CR155" s="230">
        <v>16905</v>
      </c>
      <c r="CS155" s="230">
        <v>15885</v>
      </c>
      <c r="CT155" s="230">
        <v>1020</v>
      </c>
      <c r="CU155" s="229">
        <v>6.4199999999999993E-2</v>
      </c>
      <c r="CV155" s="230">
        <v>341295</v>
      </c>
      <c r="CW155" s="230">
        <v>342015</v>
      </c>
      <c r="CX155" s="228">
        <v>-720</v>
      </c>
      <c r="CY155" s="229">
        <v>-2.0999999999999999E-3</v>
      </c>
      <c r="CZ155" s="228">
        <v>30.37</v>
      </c>
      <c r="DA155" s="228">
        <v>32.53</v>
      </c>
      <c r="DB155" s="228">
        <v>-2.16</v>
      </c>
      <c r="DC155" s="228">
        <v>-2.16</v>
      </c>
      <c r="DD155" s="228">
        <v>28.36</v>
      </c>
      <c r="DE155" s="228">
        <v>28.43</v>
      </c>
      <c r="DF155" s="228">
        <v>2.0099999999999998</v>
      </c>
      <c r="DG155" s="228">
        <v>-7.0000000000000007E-2</v>
      </c>
      <c r="DH155" s="228">
        <v>32.729999999999997</v>
      </c>
      <c r="DI155" s="228">
        <v>32.090000000000003</v>
      </c>
      <c r="DJ155" s="228">
        <v>0.64</v>
      </c>
      <c r="DK155" s="228">
        <v>0.64</v>
      </c>
      <c r="DL155" s="228">
        <v>29.3</v>
      </c>
      <c r="DM155" s="228">
        <v>33.619999999999997</v>
      </c>
      <c r="DN155" s="228">
        <v>-4.32</v>
      </c>
      <c r="DO155" s="228">
        <v>-4.32</v>
      </c>
      <c r="DP155" s="228">
        <v>0.83</v>
      </c>
      <c r="DQ155" s="228">
        <v>0.77</v>
      </c>
      <c r="DR155" s="228">
        <v>0.06</v>
      </c>
      <c r="DS155" s="229">
        <v>7.7899999999999997E-2</v>
      </c>
      <c r="DT155" s="231">
        <v>40000</v>
      </c>
      <c r="DU155" s="231">
        <v>35000</v>
      </c>
      <c r="DV155" s="228">
        <v>2.21</v>
      </c>
      <c r="DW155" s="228">
        <v>0.39</v>
      </c>
      <c r="DX155" s="228">
        <v>1.82</v>
      </c>
      <c r="DY155" s="229">
        <v>4.6666999999999996</v>
      </c>
      <c r="DZ155" s="229">
        <v>1.23E-2</v>
      </c>
      <c r="EA155" s="230">
        <v>3540</v>
      </c>
      <c r="EB155" s="229">
        <v>-8.9999999999999998E-4</v>
      </c>
      <c r="EC155" s="229">
        <v>1.23E-2</v>
      </c>
      <c r="ED155" s="228">
        <v>-106.64</v>
      </c>
      <c r="EE155" s="229">
        <v>-2.8E-3</v>
      </c>
      <c r="EF155" s="230">
        <v>5594</v>
      </c>
      <c r="EG155" s="230">
        <v>5026</v>
      </c>
      <c r="EH155" s="229">
        <v>0.113</v>
      </c>
      <c r="EI155" s="229">
        <v>0.41689999999999999</v>
      </c>
      <c r="EJ155" s="231">
        <v>6013.99</v>
      </c>
      <c r="EK155" s="231">
        <v>10030.26</v>
      </c>
      <c r="EL155" s="231">
        <v>9772.7099999999991</v>
      </c>
      <c r="EM155" s="231">
        <v>1522</v>
      </c>
      <c r="EN155" s="231">
        <v>25816.959999999999</v>
      </c>
      <c r="EO155" s="231">
        <v>16641.86</v>
      </c>
      <c r="EP155" s="231">
        <v>9175.1</v>
      </c>
      <c r="EQ155" s="229">
        <v>0.55130000000000001</v>
      </c>
      <c r="ER155" s="231">
        <v>8024</v>
      </c>
      <c r="ES155" s="231">
        <v>6064</v>
      </c>
      <c r="ET155" s="231">
        <v>114755</v>
      </c>
      <c r="EU155" s="231">
        <v>955549</v>
      </c>
      <c r="EV155" s="231">
        <v>128844</v>
      </c>
      <c r="EW155" s="231">
        <v>128699</v>
      </c>
      <c r="EX155" s="228">
        <v>145</v>
      </c>
      <c r="EY155" s="229">
        <v>1.1000000000000001E-3</v>
      </c>
      <c r="EZ155" s="229">
        <v>0.35720000000000002</v>
      </c>
      <c r="FA155" s="227" t="s">
        <v>691</v>
      </c>
      <c r="FB155" s="161">
        <f t="shared" si="3"/>
        <v>0</v>
      </c>
    </row>
    <row r="156" spans="1:158" ht="17.25" thickBot="1" x14ac:dyDescent="0.3">
      <c r="A156" s="226">
        <v>46148</v>
      </c>
      <c r="B156" s="227" t="s">
        <v>168</v>
      </c>
      <c r="C156" s="227" t="s">
        <v>663</v>
      </c>
      <c r="D156" s="228">
        <v>900</v>
      </c>
      <c r="E156" s="228">
        <v>461.85</v>
      </c>
      <c r="F156" s="228">
        <v>457.4</v>
      </c>
      <c r="G156" s="228">
        <v>4.45</v>
      </c>
      <c r="H156" s="229">
        <v>9.7000000000000003E-3</v>
      </c>
      <c r="I156" s="228">
        <v>460.05</v>
      </c>
      <c r="J156" s="228">
        <v>457.2</v>
      </c>
      <c r="K156" s="228">
        <v>2.85</v>
      </c>
      <c r="L156" s="229">
        <v>6.1999999999999998E-3</v>
      </c>
      <c r="M156" s="228">
        <v>461.85</v>
      </c>
      <c r="N156" s="228">
        <v>457.4</v>
      </c>
      <c r="O156" s="228">
        <v>4.45</v>
      </c>
      <c r="P156" s="229">
        <v>9.7000000000000003E-3</v>
      </c>
      <c r="Q156" s="228">
        <v>464.65</v>
      </c>
      <c r="R156" s="228">
        <v>460.3</v>
      </c>
      <c r="S156" s="228">
        <v>4.3499999999999996</v>
      </c>
      <c r="T156" s="229">
        <v>9.4999999999999998E-3</v>
      </c>
      <c r="U156" s="228">
        <v>468</v>
      </c>
      <c r="V156" s="228">
        <v>462</v>
      </c>
      <c r="W156" s="228">
        <v>6</v>
      </c>
      <c r="X156" s="229">
        <v>1.2999999999999999E-2</v>
      </c>
      <c r="Y156" s="228">
        <v>1.8</v>
      </c>
      <c r="Z156" s="228">
        <v>0.2</v>
      </c>
      <c r="AA156" s="228">
        <v>1.6</v>
      </c>
      <c r="AB156" s="229">
        <v>3.8999999999999998E-3</v>
      </c>
      <c r="AC156" s="228">
        <v>1.8</v>
      </c>
      <c r="AD156" s="228">
        <v>0.2</v>
      </c>
      <c r="AE156" s="228">
        <v>1.6</v>
      </c>
      <c r="AF156" s="229">
        <v>3.8999999999999998E-3</v>
      </c>
      <c r="AG156" s="228">
        <v>4.5999999999999996</v>
      </c>
      <c r="AH156" s="228">
        <v>3.1</v>
      </c>
      <c r="AI156" s="228">
        <v>1.5</v>
      </c>
      <c r="AJ156" s="229">
        <v>0.01</v>
      </c>
      <c r="AK156" s="228">
        <v>7.95</v>
      </c>
      <c r="AL156" s="228">
        <v>4.8</v>
      </c>
      <c r="AM156" s="228">
        <v>3.15</v>
      </c>
      <c r="AN156" s="229">
        <v>1.7299999999999999E-2</v>
      </c>
      <c r="AO156" s="228">
        <v>460.42</v>
      </c>
      <c r="AP156" s="228">
        <v>462.92</v>
      </c>
      <c r="AQ156" s="228">
        <v>0</v>
      </c>
      <c r="AR156" s="230">
        <v>4051800</v>
      </c>
      <c r="AS156" s="230">
        <v>2775600</v>
      </c>
      <c r="AT156" s="230">
        <v>1276200</v>
      </c>
      <c r="AU156" s="229">
        <v>0.45979999999999999</v>
      </c>
      <c r="AV156" s="230">
        <v>3961800</v>
      </c>
      <c r="AW156" s="230">
        <v>2742300</v>
      </c>
      <c r="AX156" s="230">
        <v>1219500</v>
      </c>
      <c r="AY156" s="229">
        <v>0.44469999999999998</v>
      </c>
      <c r="AZ156" s="230">
        <v>79200</v>
      </c>
      <c r="BA156" s="230">
        <v>29700</v>
      </c>
      <c r="BB156" s="230">
        <v>49500</v>
      </c>
      <c r="BC156" s="229">
        <v>1.6667000000000001</v>
      </c>
      <c r="BD156" s="230">
        <v>10800</v>
      </c>
      <c r="BE156" s="230">
        <v>3600</v>
      </c>
      <c r="BF156" s="230">
        <v>7200</v>
      </c>
      <c r="BG156" s="229">
        <v>2</v>
      </c>
      <c r="BH156" s="230">
        <v>4487400</v>
      </c>
      <c r="BI156" s="230">
        <v>2850300</v>
      </c>
      <c r="BJ156" s="230">
        <v>1637100</v>
      </c>
      <c r="BK156" s="229">
        <v>0.57440000000000002</v>
      </c>
      <c r="BL156" s="230">
        <v>927000</v>
      </c>
      <c r="BM156" s="230">
        <v>1117800</v>
      </c>
      <c r="BN156" s="230">
        <v>-190800</v>
      </c>
      <c r="BO156" s="229">
        <v>-0.17069999999999999</v>
      </c>
      <c r="BP156" s="230">
        <v>9466200</v>
      </c>
      <c r="BQ156" s="230">
        <v>6743700</v>
      </c>
      <c r="BR156" s="230">
        <v>2722500</v>
      </c>
      <c r="BS156" s="229">
        <v>0.4037</v>
      </c>
      <c r="BT156" s="230">
        <v>2925123</v>
      </c>
      <c r="BU156" s="230">
        <v>1906145</v>
      </c>
      <c r="BV156" s="230">
        <v>1018978</v>
      </c>
      <c r="BW156" s="229">
        <v>0.53459999999999996</v>
      </c>
      <c r="BX156" s="230">
        <v>33816850</v>
      </c>
      <c r="BY156" s="230">
        <v>33995650</v>
      </c>
      <c r="BZ156" s="230">
        <v>-178800</v>
      </c>
      <c r="CA156" s="229">
        <v>-5.3E-3</v>
      </c>
      <c r="CB156" s="230">
        <v>33500700</v>
      </c>
      <c r="CC156" s="230">
        <v>33709500</v>
      </c>
      <c r="CD156" s="230">
        <v>-208800</v>
      </c>
      <c r="CE156" s="229">
        <v>-6.1999999999999998E-3</v>
      </c>
      <c r="CF156" s="230">
        <v>292500</v>
      </c>
      <c r="CG156" s="230">
        <v>275400</v>
      </c>
      <c r="CH156" s="230">
        <v>17100</v>
      </c>
      <c r="CI156" s="229">
        <v>6.2100000000000002E-2</v>
      </c>
      <c r="CJ156" s="230">
        <v>23650</v>
      </c>
      <c r="CK156" s="230">
        <v>10750</v>
      </c>
      <c r="CL156" s="230">
        <v>12900</v>
      </c>
      <c r="CM156" s="229">
        <v>1.2</v>
      </c>
      <c r="CN156" s="230">
        <v>4652100</v>
      </c>
      <c r="CO156" s="230">
        <v>4690800</v>
      </c>
      <c r="CP156" s="230">
        <v>-38700</v>
      </c>
      <c r="CQ156" s="229">
        <v>-8.3000000000000001E-3</v>
      </c>
      <c r="CR156" s="230">
        <v>2890800</v>
      </c>
      <c r="CS156" s="230">
        <v>2808900</v>
      </c>
      <c r="CT156" s="230">
        <v>81900</v>
      </c>
      <c r="CU156" s="229">
        <v>2.92E-2</v>
      </c>
      <c r="CV156" s="230">
        <v>41359750</v>
      </c>
      <c r="CW156" s="230">
        <v>41495350</v>
      </c>
      <c r="CX156" s="230">
        <v>-135600</v>
      </c>
      <c r="CY156" s="229">
        <v>-3.3E-3</v>
      </c>
      <c r="CZ156" s="228">
        <v>29.82</v>
      </c>
      <c r="DA156" s="228">
        <v>30.88</v>
      </c>
      <c r="DB156" s="228">
        <v>-1.06</v>
      </c>
      <c r="DC156" s="228">
        <v>-1.06</v>
      </c>
      <c r="DD156" s="228">
        <v>31.66</v>
      </c>
      <c r="DE156" s="228">
        <v>31.71</v>
      </c>
      <c r="DF156" s="228">
        <v>-1.84</v>
      </c>
      <c r="DG156" s="228">
        <v>-0.05</v>
      </c>
      <c r="DH156" s="228">
        <v>29.81</v>
      </c>
      <c r="DI156" s="228">
        <v>30.8</v>
      </c>
      <c r="DJ156" s="228">
        <v>-0.99</v>
      </c>
      <c r="DK156" s="228">
        <v>-0.99</v>
      </c>
      <c r="DL156" s="228">
        <v>29.87</v>
      </c>
      <c r="DM156" s="228">
        <v>31.07</v>
      </c>
      <c r="DN156" s="228">
        <v>-1.2</v>
      </c>
      <c r="DO156" s="228">
        <v>-1.2</v>
      </c>
      <c r="DP156" s="228">
        <v>0.62</v>
      </c>
      <c r="DQ156" s="228">
        <v>0.6</v>
      </c>
      <c r="DR156" s="228">
        <v>0.02</v>
      </c>
      <c r="DS156" s="229">
        <v>3.3300000000000003E-2</v>
      </c>
      <c r="DT156" s="228">
        <v>500</v>
      </c>
      <c r="DU156" s="228">
        <v>490</v>
      </c>
      <c r="DV156" s="228">
        <v>0.21</v>
      </c>
      <c r="DW156" s="228">
        <v>0.39</v>
      </c>
      <c r="DX156" s="228">
        <v>-0.18</v>
      </c>
      <c r="DY156" s="229">
        <v>-0.46150000000000002</v>
      </c>
      <c r="DZ156" s="229">
        <v>9.2999999999999992E-3</v>
      </c>
      <c r="EA156" s="230">
        <v>286150</v>
      </c>
      <c r="EB156" s="229">
        <v>6.1000000000000004E-3</v>
      </c>
      <c r="EC156" s="229">
        <v>9.2999999999999992E-3</v>
      </c>
      <c r="ED156" s="228">
        <v>2.5</v>
      </c>
      <c r="EE156" s="229">
        <v>5.4000000000000003E-3</v>
      </c>
      <c r="EF156" s="230">
        <v>1710858</v>
      </c>
      <c r="EG156" s="230">
        <v>822432</v>
      </c>
      <c r="EH156" s="229">
        <v>1.0802</v>
      </c>
      <c r="EI156" s="229">
        <v>0.58489999999999998</v>
      </c>
      <c r="EJ156" s="231">
        <v>21831.83</v>
      </c>
      <c r="EK156" s="231">
        <v>4315.93</v>
      </c>
      <c r="EL156" s="231">
        <v>18667.71</v>
      </c>
      <c r="EM156" s="231">
        <v>3383</v>
      </c>
      <c r="EN156" s="231">
        <v>44815.47</v>
      </c>
      <c r="EO156" s="231">
        <v>31772.71</v>
      </c>
      <c r="EP156" s="231">
        <v>13042.76</v>
      </c>
      <c r="EQ156" s="229">
        <v>0.41049999999999998</v>
      </c>
      <c r="ER156" s="231">
        <v>22631</v>
      </c>
      <c r="ES156" s="231">
        <v>13905</v>
      </c>
      <c r="ET156" s="231">
        <v>156193</v>
      </c>
      <c r="EU156" s="231">
        <v>51786533</v>
      </c>
      <c r="EV156" s="231">
        <v>192728</v>
      </c>
      <c r="EW156" s="231">
        <v>191925</v>
      </c>
      <c r="EX156" s="228">
        <v>803</v>
      </c>
      <c r="EY156" s="229">
        <v>4.1999999999999997E-3</v>
      </c>
      <c r="EZ156" s="229">
        <v>0.79869999999999997</v>
      </c>
      <c r="FA156" s="227" t="s">
        <v>691</v>
      </c>
      <c r="FB156" s="161">
        <f t="shared" si="3"/>
        <v>0</v>
      </c>
    </row>
    <row r="157" spans="1:158" ht="17.25" thickBot="1" x14ac:dyDescent="0.3">
      <c r="A157" s="226">
        <v>46148</v>
      </c>
      <c r="B157" s="227" t="s">
        <v>614</v>
      </c>
      <c r="C157" s="227" t="s">
        <v>574</v>
      </c>
      <c r="D157" s="228">
        <v>725</v>
      </c>
      <c r="E157" s="231">
        <v>1118</v>
      </c>
      <c r="F157" s="231">
        <v>1092</v>
      </c>
      <c r="G157" s="228">
        <v>26</v>
      </c>
      <c r="H157" s="229">
        <v>2.3800000000000002E-2</v>
      </c>
      <c r="I157" s="231">
        <v>1110.5999999999999</v>
      </c>
      <c r="J157" s="231">
        <v>1088</v>
      </c>
      <c r="K157" s="228">
        <v>22.6</v>
      </c>
      <c r="L157" s="229">
        <v>2.0799999999999999E-2</v>
      </c>
      <c r="M157" s="231">
        <v>1118</v>
      </c>
      <c r="N157" s="231">
        <v>1092</v>
      </c>
      <c r="O157" s="228">
        <v>26</v>
      </c>
      <c r="P157" s="229">
        <v>2.3800000000000002E-2</v>
      </c>
      <c r="Q157" s="231">
        <v>1120.4000000000001</v>
      </c>
      <c r="R157" s="231">
        <v>1098.9000000000001</v>
      </c>
      <c r="S157" s="228">
        <v>21.5</v>
      </c>
      <c r="T157" s="229">
        <v>1.9599999999999999E-2</v>
      </c>
      <c r="U157" s="231">
        <v>1127.9000000000001</v>
      </c>
      <c r="V157" s="231">
        <v>1112.2</v>
      </c>
      <c r="W157" s="228">
        <v>15.7</v>
      </c>
      <c r="X157" s="229">
        <v>1.41E-2</v>
      </c>
      <c r="Y157" s="228">
        <v>7.4</v>
      </c>
      <c r="Z157" s="228">
        <v>4</v>
      </c>
      <c r="AA157" s="228">
        <v>3.4</v>
      </c>
      <c r="AB157" s="229">
        <v>6.7000000000000002E-3</v>
      </c>
      <c r="AC157" s="228">
        <v>7.4</v>
      </c>
      <c r="AD157" s="228">
        <v>4</v>
      </c>
      <c r="AE157" s="228">
        <v>3.4</v>
      </c>
      <c r="AF157" s="229">
        <v>6.7000000000000002E-3</v>
      </c>
      <c r="AG157" s="228">
        <v>9.8000000000000007</v>
      </c>
      <c r="AH157" s="228">
        <v>10.9</v>
      </c>
      <c r="AI157" s="228">
        <v>-1.1000000000000001</v>
      </c>
      <c r="AJ157" s="229">
        <v>8.8000000000000005E-3</v>
      </c>
      <c r="AK157" s="228">
        <v>17.3</v>
      </c>
      <c r="AL157" s="228">
        <v>24.2</v>
      </c>
      <c r="AM157" s="228">
        <v>-6.9</v>
      </c>
      <c r="AN157" s="229">
        <v>1.5599999999999999E-2</v>
      </c>
      <c r="AO157" s="231">
        <v>1114.83</v>
      </c>
      <c r="AP157" s="231">
        <v>1121.8900000000001</v>
      </c>
      <c r="AQ157" s="228">
        <v>0</v>
      </c>
      <c r="AR157" s="230">
        <v>4049125</v>
      </c>
      <c r="AS157" s="230">
        <v>2220675</v>
      </c>
      <c r="AT157" s="230">
        <v>1828450</v>
      </c>
      <c r="AU157" s="229">
        <v>0.82340000000000002</v>
      </c>
      <c r="AV157" s="230">
        <v>3888175</v>
      </c>
      <c r="AW157" s="230">
        <v>2119175</v>
      </c>
      <c r="AX157" s="230">
        <v>1769000</v>
      </c>
      <c r="AY157" s="229">
        <v>0.83479999999999999</v>
      </c>
      <c r="AZ157" s="230">
        <v>144275</v>
      </c>
      <c r="BA157" s="230">
        <v>92800</v>
      </c>
      <c r="BB157" s="230">
        <v>51475</v>
      </c>
      <c r="BC157" s="229">
        <v>0.55469999999999997</v>
      </c>
      <c r="BD157" s="230">
        <v>16675</v>
      </c>
      <c r="BE157" s="230">
        <v>8700</v>
      </c>
      <c r="BF157" s="230">
        <v>7975</v>
      </c>
      <c r="BG157" s="229">
        <v>0.91669999999999996</v>
      </c>
      <c r="BH157" s="230">
        <v>14381100</v>
      </c>
      <c r="BI157" s="230">
        <v>7744450</v>
      </c>
      <c r="BJ157" s="230">
        <v>6636650</v>
      </c>
      <c r="BK157" s="229">
        <v>0.85699999999999998</v>
      </c>
      <c r="BL157" s="230">
        <v>9149500</v>
      </c>
      <c r="BM157" s="230">
        <v>5234500</v>
      </c>
      <c r="BN157" s="230">
        <v>3915000</v>
      </c>
      <c r="BO157" s="229">
        <v>0.74790000000000001</v>
      </c>
      <c r="BP157" s="230">
        <v>27579725</v>
      </c>
      <c r="BQ157" s="230">
        <v>15199625</v>
      </c>
      <c r="BR157" s="230">
        <v>12380100</v>
      </c>
      <c r="BS157" s="229">
        <v>0.8145</v>
      </c>
      <c r="BT157" s="230">
        <v>2699636</v>
      </c>
      <c r="BU157" s="230">
        <v>1850026</v>
      </c>
      <c r="BV157" s="230">
        <v>849610</v>
      </c>
      <c r="BW157" s="229">
        <v>0.4592</v>
      </c>
      <c r="BX157" s="230">
        <v>14336875</v>
      </c>
      <c r="BY157" s="230">
        <v>14118650</v>
      </c>
      <c r="BZ157" s="230">
        <v>218225</v>
      </c>
      <c r="CA157" s="229">
        <v>1.55E-2</v>
      </c>
      <c r="CB157" s="230">
        <v>14007725</v>
      </c>
      <c r="CC157" s="230">
        <v>13818500</v>
      </c>
      <c r="CD157" s="230">
        <v>189225</v>
      </c>
      <c r="CE157" s="229">
        <v>1.37E-2</v>
      </c>
      <c r="CF157" s="230">
        <v>313200</v>
      </c>
      <c r="CG157" s="230">
        <v>291450</v>
      </c>
      <c r="CH157" s="230">
        <v>21750</v>
      </c>
      <c r="CI157" s="229">
        <v>7.46E-2</v>
      </c>
      <c r="CJ157" s="230">
        <v>15950</v>
      </c>
      <c r="CK157" s="230">
        <v>8700</v>
      </c>
      <c r="CL157" s="230">
        <v>7250</v>
      </c>
      <c r="CM157" s="229">
        <v>0.83330000000000004</v>
      </c>
      <c r="CN157" s="230">
        <v>6801225</v>
      </c>
      <c r="CO157" s="230">
        <v>5723150</v>
      </c>
      <c r="CP157" s="230">
        <v>1078075</v>
      </c>
      <c r="CQ157" s="229">
        <v>0.18840000000000001</v>
      </c>
      <c r="CR157" s="230">
        <v>5813775</v>
      </c>
      <c r="CS157" s="230">
        <v>5384575</v>
      </c>
      <c r="CT157" s="230">
        <v>429200</v>
      </c>
      <c r="CU157" s="229">
        <v>7.9699999999999993E-2</v>
      </c>
      <c r="CV157" s="230">
        <v>26951875</v>
      </c>
      <c r="CW157" s="230">
        <v>25226375</v>
      </c>
      <c r="CX157" s="230">
        <v>1725500</v>
      </c>
      <c r="CY157" s="229">
        <v>6.8400000000000002E-2</v>
      </c>
      <c r="CZ157" s="228">
        <v>42.45</v>
      </c>
      <c r="DA157" s="228">
        <v>42.5</v>
      </c>
      <c r="DB157" s="228">
        <v>-0.05</v>
      </c>
      <c r="DC157" s="228">
        <v>-0.05</v>
      </c>
      <c r="DD157" s="228">
        <v>51.6</v>
      </c>
      <c r="DE157" s="228">
        <v>51.63</v>
      </c>
      <c r="DF157" s="228">
        <v>-9.15</v>
      </c>
      <c r="DG157" s="228">
        <v>-0.03</v>
      </c>
      <c r="DH157" s="228">
        <v>41.62</v>
      </c>
      <c r="DI157" s="228">
        <v>42.24</v>
      </c>
      <c r="DJ157" s="228">
        <v>-0.62</v>
      </c>
      <c r="DK157" s="228">
        <v>-0.62</v>
      </c>
      <c r="DL157" s="228">
        <v>43.75</v>
      </c>
      <c r="DM157" s="228">
        <v>42.89</v>
      </c>
      <c r="DN157" s="228">
        <v>0.86</v>
      </c>
      <c r="DO157" s="228">
        <v>0.86</v>
      </c>
      <c r="DP157" s="228">
        <v>0.85</v>
      </c>
      <c r="DQ157" s="228">
        <v>0.94</v>
      </c>
      <c r="DR157" s="228">
        <v>-0.09</v>
      </c>
      <c r="DS157" s="229">
        <v>-9.5699999999999993E-2</v>
      </c>
      <c r="DT157" s="231">
        <v>1200</v>
      </c>
      <c r="DU157" s="231">
        <v>1000</v>
      </c>
      <c r="DV157" s="228">
        <v>0.64</v>
      </c>
      <c r="DW157" s="228">
        <v>0.68</v>
      </c>
      <c r="DX157" s="228">
        <v>-0.04</v>
      </c>
      <c r="DY157" s="229">
        <v>-5.8799999999999998E-2</v>
      </c>
      <c r="DZ157" s="229">
        <v>2.3E-2</v>
      </c>
      <c r="EA157" s="230">
        <v>300150</v>
      </c>
      <c r="EB157" s="229">
        <v>2.0999999999999999E-3</v>
      </c>
      <c r="EC157" s="229">
        <v>2.3E-2</v>
      </c>
      <c r="ED157" s="228">
        <v>7.06</v>
      </c>
      <c r="EE157" s="229">
        <v>6.3E-3</v>
      </c>
      <c r="EF157" s="230">
        <v>831842</v>
      </c>
      <c r="EG157" s="230">
        <v>516057</v>
      </c>
      <c r="EH157" s="229">
        <v>0.6119</v>
      </c>
      <c r="EI157" s="229">
        <v>0.30809999999999998</v>
      </c>
      <c r="EJ157" s="231">
        <v>170997.94</v>
      </c>
      <c r="EK157" s="231">
        <v>100830.54</v>
      </c>
      <c r="EL157" s="231">
        <v>45153.52</v>
      </c>
      <c r="EM157" s="231">
        <v>3252</v>
      </c>
      <c r="EN157" s="231">
        <v>316982</v>
      </c>
      <c r="EO157" s="231">
        <v>173896.13</v>
      </c>
      <c r="EP157" s="231">
        <v>143085.87</v>
      </c>
      <c r="EQ157" s="229">
        <v>0.82279999999999998</v>
      </c>
      <c r="ER157" s="231">
        <v>79695</v>
      </c>
      <c r="ES157" s="231">
        <v>60943</v>
      </c>
      <c r="ET157" s="231">
        <v>160295</v>
      </c>
      <c r="EU157" s="231">
        <v>95930888</v>
      </c>
      <c r="EV157" s="231">
        <v>300934</v>
      </c>
      <c r="EW157" s="231">
        <v>277780</v>
      </c>
      <c r="EX157" s="231">
        <v>23154</v>
      </c>
      <c r="EY157" s="229">
        <v>8.3400000000000002E-2</v>
      </c>
      <c r="EZ157" s="229">
        <v>0.28100000000000003</v>
      </c>
      <c r="FA157" s="227" t="s">
        <v>555</v>
      </c>
      <c r="FB157" s="161">
        <f t="shared" si="3"/>
        <v>0</v>
      </c>
    </row>
    <row r="158" spans="1:158" ht="17.25" thickBot="1" x14ac:dyDescent="0.3">
      <c r="A158" s="226">
        <v>46148</v>
      </c>
      <c r="B158" s="227" t="s">
        <v>221</v>
      </c>
      <c r="C158" s="227" t="s">
        <v>529</v>
      </c>
      <c r="D158" s="228">
        <v>100</v>
      </c>
      <c r="E158" s="231">
        <v>5040.7</v>
      </c>
      <c r="F158" s="231">
        <v>4838.7</v>
      </c>
      <c r="G158" s="228">
        <v>202</v>
      </c>
      <c r="H158" s="229">
        <v>4.1700000000000001E-2</v>
      </c>
      <c r="I158" s="231">
        <v>5014</v>
      </c>
      <c r="J158" s="231">
        <v>4816.3</v>
      </c>
      <c r="K158" s="228">
        <v>197.7</v>
      </c>
      <c r="L158" s="229">
        <v>4.1000000000000002E-2</v>
      </c>
      <c r="M158" s="231">
        <v>5040.7</v>
      </c>
      <c r="N158" s="231">
        <v>4838.7</v>
      </c>
      <c r="O158" s="228">
        <v>202</v>
      </c>
      <c r="P158" s="229">
        <v>4.1700000000000001E-2</v>
      </c>
      <c r="Q158" s="231">
        <v>5026.1000000000004</v>
      </c>
      <c r="R158" s="231">
        <v>4819.5</v>
      </c>
      <c r="S158" s="228">
        <v>206.6</v>
      </c>
      <c r="T158" s="229">
        <v>4.2900000000000001E-2</v>
      </c>
      <c r="U158" s="231">
        <v>5028.3999999999996</v>
      </c>
      <c r="V158" s="231">
        <v>4830.3999999999996</v>
      </c>
      <c r="W158" s="228">
        <v>198</v>
      </c>
      <c r="X158" s="229">
        <v>4.1000000000000002E-2</v>
      </c>
      <c r="Y158" s="228">
        <v>26.7</v>
      </c>
      <c r="Z158" s="228">
        <v>22.4</v>
      </c>
      <c r="AA158" s="228">
        <v>4.3</v>
      </c>
      <c r="AB158" s="229">
        <v>5.3E-3</v>
      </c>
      <c r="AC158" s="228">
        <v>26.7</v>
      </c>
      <c r="AD158" s="228">
        <v>22.4</v>
      </c>
      <c r="AE158" s="228">
        <v>4.3</v>
      </c>
      <c r="AF158" s="229">
        <v>5.3E-3</v>
      </c>
      <c r="AG158" s="228">
        <v>12.1</v>
      </c>
      <c r="AH158" s="228">
        <v>3.2</v>
      </c>
      <c r="AI158" s="228">
        <v>8.9</v>
      </c>
      <c r="AJ158" s="229">
        <v>2.3999999999999998E-3</v>
      </c>
      <c r="AK158" s="228">
        <v>14.4</v>
      </c>
      <c r="AL158" s="228">
        <v>14.1</v>
      </c>
      <c r="AM158" s="228">
        <v>0.3</v>
      </c>
      <c r="AN158" s="229">
        <v>2.8999999999999998E-3</v>
      </c>
      <c r="AO158" s="231">
        <v>4998.88</v>
      </c>
      <c r="AP158" s="231">
        <v>4982.46</v>
      </c>
      <c r="AQ158" s="228">
        <v>0</v>
      </c>
      <c r="AR158" s="230">
        <v>1064900</v>
      </c>
      <c r="AS158" s="230">
        <v>436500</v>
      </c>
      <c r="AT158" s="230">
        <v>628400</v>
      </c>
      <c r="AU158" s="229">
        <v>1.4396</v>
      </c>
      <c r="AV158" s="230">
        <v>1011400</v>
      </c>
      <c r="AW158" s="230">
        <v>421300</v>
      </c>
      <c r="AX158" s="230">
        <v>590100</v>
      </c>
      <c r="AY158" s="229">
        <v>1.4007000000000001</v>
      </c>
      <c r="AZ158" s="230">
        <v>48800</v>
      </c>
      <c r="BA158" s="230">
        <v>12100</v>
      </c>
      <c r="BB158" s="230">
        <v>36700</v>
      </c>
      <c r="BC158" s="229">
        <v>3.0331000000000001</v>
      </c>
      <c r="BD158" s="230">
        <v>4700</v>
      </c>
      <c r="BE158" s="230">
        <v>3100</v>
      </c>
      <c r="BF158" s="230">
        <v>1600</v>
      </c>
      <c r="BG158" s="229">
        <v>0.5161</v>
      </c>
      <c r="BH158" s="230">
        <v>3675200</v>
      </c>
      <c r="BI158" s="230">
        <v>1310500</v>
      </c>
      <c r="BJ158" s="230">
        <v>2364700</v>
      </c>
      <c r="BK158" s="229">
        <v>1.8044</v>
      </c>
      <c r="BL158" s="230">
        <v>1483500</v>
      </c>
      <c r="BM158" s="230">
        <v>491500</v>
      </c>
      <c r="BN158" s="230">
        <v>992000</v>
      </c>
      <c r="BO158" s="229">
        <v>2.0183</v>
      </c>
      <c r="BP158" s="230">
        <v>6223600</v>
      </c>
      <c r="BQ158" s="230">
        <v>2238500</v>
      </c>
      <c r="BR158" s="230">
        <v>3985100</v>
      </c>
      <c r="BS158" s="229">
        <v>1.7803</v>
      </c>
      <c r="BT158" s="230">
        <v>828928</v>
      </c>
      <c r="BU158" s="230">
        <v>512785</v>
      </c>
      <c r="BV158" s="230">
        <v>316143</v>
      </c>
      <c r="BW158" s="229">
        <v>0.61650000000000005</v>
      </c>
      <c r="BX158" s="230">
        <v>3926350</v>
      </c>
      <c r="BY158" s="230">
        <v>4084200</v>
      </c>
      <c r="BZ158" s="230">
        <v>-157850</v>
      </c>
      <c r="CA158" s="229">
        <v>-3.8600000000000002E-2</v>
      </c>
      <c r="CB158" s="230">
        <v>3804400</v>
      </c>
      <c r="CC158" s="230">
        <v>3964100</v>
      </c>
      <c r="CD158" s="230">
        <v>-159700</v>
      </c>
      <c r="CE158" s="229">
        <v>-4.0300000000000002E-2</v>
      </c>
      <c r="CF158" s="230">
        <v>112200</v>
      </c>
      <c r="CG158" s="230">
        <v>112100</v>
      </c>
      <c r="CH158" s="228">
        <v>100</v>
      </c>
      <c r="CI158" s="229">
        <v>8.9999999999999998E-4</v>
      </c>
      <c r="CJ158" s="230">
        <v>9750</v>
      </c>
      <c r="CK158" s="230">
        <v>8000</v>
      </c>
      <c r="CL158" s="230">
        <v>1750</v>
      </c>
      <c r="CM158" s="229">
        <v>0.21879999999999999</v>
      </c>
      <c r="CN158" s="230">
        <v>1414700</v>
      </c>
      <c r="CO158" s="230">
        <v>1540800</v>
      </c>
      <c r="CP158" s="230">
        <v>-126100</v>
      </c>
      <c r="CQ158" s="229">
        <v>-8.1799999999999998E-2</v>
      </c>
      <c r="CR158" s="230">
        <v>919600</v>
      </c>
      <c r="CS158" s="230">
        <v>917800</v>
      </c>
      <c r="CT158" s="230">
        <v>1800</v>
      </c>
      <c r="CU158" s="229">
        <v>2E-3</v>
      </c>
      <c r="CV158" s="230">
        <v>6260650</v>
      </c>
      <c r="CW158" s="230">
        <v>6542800</v>
      </c>
      <c r="CX158" s="230">
        <v>-282150</v>
      </c>
      <c r="CY158" s="229">
        <v>-4.3099999999999999E-2</v>
      </c>
      <c r="CZ158" s="228">
        <v>34.29</v>
      </c>
      <c r="DA158" s="228">
        <v>36.270000000000003</v>
      </c>
      <c r="DB158" s="228">
        <v>-1.98</v>
      </c>
      <c r="DC158" s="228">
        <v>-1.98</v>
      </c>
      <c r="DD158" s="228">
        <v>40.92</v>
      </c>
      <c r="DE158" s="228">
        <v>40.65</v>
      </c>
      <c r="DF158" s="228">
        <v>-6.63</v>
      </c>
      <c r="DG158" s="228">
        <v>0.27</v>
      </c>
      <c r="DH158" s="228">
        <v>33.97</v>
      </c>
      <c r="DI158" s="228">
        <v>36.299999999999997</v>
      </c>
      <c r="DJ158" s="228">
        <v>-2.33</v>
      </c>
      <c r="DK158" s="228">
        <v>-2.33</v>
      </c>
      <c r="DL158" s="228">
        <v>35.090000000000003</v>
      </c>
      <c r="DM158" s="228">
        <v>36.18</v>
      </c>
      <c r="DN158" s="228">
        <v>-1.0900000000000001</v>
      </c>
      <c r="DO158" s="228">
        <v>-1.0900000000000001</v>
      </c>
      <c r="DP158" s="228">
        <v>0.65</v>
      </c>
      <c r="DQ158" s="228">
        <v>0.6</v>
      </c>
      <c r="DR158" s="228">
        <v>0.05</v>
      </c>
      <c r="DS158" s="229">
        <v>8.3299999999999999E-2</v>
      </c>
      <c r="DT158" s="231">
        <v>5500</v>
      </c>
      <c r="DU158" s="231">
        <v>5000</v>
      </c>
      <c r="DV158" s="228">
        <v>0.4</v>
      </c>
      <c r="DW158" s="228">
        <v>0.38</v>
      </c>
      <c r="DX158" s="228">
        <v>0.02</v>
      </c>
      <c r="DY158" s="229">
        <v>5.2600000000000001E-2</v>
      </c>
      <c r="DZ158" s="229">
        <v>3.1099999999999999E-2</v>
      </c>
      <c r="EA158" s="230">
        <v>120100</v>
      </c>
      <c r="EB158" s="229">
        <v>-2.8999999999999998E-3</v>
      </c>
      <c r="EC158" s="229">
        <v>3.1099999999999999E-2</v>
      </c>
      <c r="ED158" s="228">
        <v>-16.420000000000002</v>
      </c>
      <c r="EE158" s="229">
        <v>-3.3E-3</v>
      </c>
      <c r="EF158" s="230">
        <v>302910</v>
      </c>
      <c r="EG158" s="230">
        <v>254306</v>
      </c>
      <c r="EH158" s="229">
        <v>0.19109999999999999</v>
      </c>
      <c r="EI158" s="229">
        <v>0.3654</v>
      </c>
      <c r="EJ158" s="231">
        <v>193576.39</v>
      </c>
      <c r="EK158" s="231">
        <v>72276.28</v>
      </c>
      <c r="EL158" s="231">
        <v>53283.3</v>
      </c>
      <c r="EM158" s="231">
        <v>4783</v>
      </c>
      <c r="EN158" s="231">
        <v>319135.96999999997</v>
      </c>
      <c r="EO158" s="231">
        <v>112719.8</v>
      </c>
      <c r="EP158" s="231">
        <v>206416.17</v>
      </c>
      <c r="EQ158" s="229">
        <v>1.8311999999999999</v>
      </c>
      <c r="ER158" s="231">
        <v>74419</v>
      </c>
      <c r="ES158" s="231">
        <v>44138</v>
      </c>
      <c r="ET158" s="231">
        <v>197898</v>
      </c>
      <c r="EU158" s="231">
        <v>16286398</v>
      </c>
      <c r="EV158" s="231">
        <v>316455</v>
      </c>
      <c r="EW158" s="231">
        <v>321625</v>
      </c>
      <c r="EX158" s="231">
        <v>-5170</v>
      </c>
      <c r="EY158" s="229">
        <v>-1.61E-2</v>
      </c>
      <c r="EZ158" s="229">
        <v>0.38440000000000002</v>
      </c>
      <c r="FA158" s="227" t="s">
        <v>691</v>
      </c>
      <c r="FB158" s="161">
        <f t="shared" si="3"/>
        <v>0</v>
      </c>
    </row>
    <row r="159" spans="1:158" ht="17.25" thickBot="1" x14ac:dyDescent="0.3">
      <c r="A159" s="226">
        <v>46148</v>
      </c>
      <c r="B159" s="227" t="s">
        <v>193</v>
      </c>
      <c r="C159" s="227" t="s">
        <v>272</v>
      </c>
      <c r="D159" s="228">
        <v>1900</v>
      </c>
      <c r="E159" s="228">
        <v>284.5</v>
      </c>
      <c r="F159" s="228">
        <v>283.60000000000002</v>
      </c>
      <c r="G159" s="228">
        <v>0.9</v>
      </c>
      <c r="H159" s="229">
        <v>3.2000000000000002E-3</v>
      </c>
      <c r="I159" s="228">
        <v>283.3</v>
      </c>
      <c r="J159" s="228">
        <v>282.55</v>
      </c>
      <c r="K159" s="228">
        <v>0.75</v>
      </c>
      <c r="L159" s="229">
        <v>2.7000000000000001E-3</v>
      </c>
      <c r="M159" s="228">
        <v>284.5</v>
      </c>
      <c r="N159" s="228">
        <v>283.60000000000002</v>
      </c>
      <c r="O159" s="228">
        <v>0.9</v>
      </c>
      <c r="P159" s="229">
        <v>3.2000000000000002E-3</v>
      </c>
      <c r="Q159" s="228">
        <v>283.60000000000002</v>
      </c>
      <c r="R159" s="228">
        <v>282.85000000000002</v>
      </c>
      <c r="S159" s="228">
        <v>0.75</v>
      </c>
      <c r="T159" s="229">
        <v>2.7000000000000001E-3</v>
      </c>
      <c r="U159" s="228">
        <v>282.8</v>
      </c>
      <c r="V159" s="228">
        <v>281.75</v>
      </c>
      <c r="W159" s="228">
        <v>1.05</v>
      </c>
      <c r="X159" s="229">
        <v>3.7000000000000002E-3</v>
      </c>
      <c r="Y159" s="228">
        <v>1.2</v>
      </c>
      <c r="Z159" s="228">
        <v>1.05</v>
      </c>
      <c r="AA159" s="228">
        <v>0.15</v>
      </c>
      <c r="AB159" s="229">
        <v>4.1999999999999997E-3</v>
      </c>
      <c r="AC159" s="228">
        <v>1.2</v>
      </c>
      <c r="AD159" s="228">
        <v>1.05</v>
      </c>
      <c r="AE159" s="228">
        <v>0.15</v>
      </c>
      <c r="AF159" s="229">
        <v>4.1999999999999997E-3</v>
      </c>
      <c r="AG159" s="228">
        <v>0.3</v>
      </c>
      <c r="AH159" s="228">
        <v>0.3</v>
      </c>
      <c r="AI159" s="228">
        <v>0</v>
      </c>
      <c r="AJ159" s="229">
        <v>1.1000000000000001E-3</v>
      </c>
      <c r="AK159" s="228">
        <v>-0.5</v>
      </c>
      <c r="AL159" s="228">
        <v>-0.8</v>
      </c>
      <c r="AM159" s="228">
        <v>0.3</v>
      </c>
      <c r="AN159" s="229">
        <v>-1.8E-3</v>
      </c>
      <c r="AO159" s="228">
        <v>282.86</v>
      </c>
      <c r="AP159" s="228">
        <v>281.87</v>
      </c>
      <c r="AQ159" s="228">
        <v>0</v>
      </c>
      <c r="AR159" s="230">
        <v>5287700</v>
      </c>
      <c r="AS159" s="230">
        <v>14787700</v>
      </c>
      <c r="AT159" s="230">
        <v>-9500000</v>
      </c>
      <c r="AU159" s="229">
        <v>-0.64239999999999997</v>
      </c>
      <c r="AV159" s="230">
        <v>5069200</v>
      </c>
      <c r="AW159" s="230">
        <v>14434300</v>
      </c>
      <c r="AX159" s="230">
        <v>-9365100</v>
      </c>
      <c r="AY159" s="229">
        <v>-0.64880000000000004</v>
      </c>
      <c r="AZ159" s="230">
        <v>191900</v>
      </c>
      <c r="BA159" s="230">
        <v>286900</v>
      </c>
      <c r="BB159" s="230">
        <v>-95000</v>
      </c>
      <c r="BC159" s="229">
        <v>-0.33110000000000001</v>
      </c>
      <c r="BD159" s="230">
        <v>26600</v>
      </c>
      <c r="BE159" s="230">
        <v>66500</v>
      </c>
      <c r="BF159" s="230">
        <v>-39900</v>
      </c>
      <c r="BG159" s="229">
        <v>-0.6</v>
      </c>
      <c r="BH159" s="230">
        <v>26286500</v>
      </c>
      <c r="BI159" s="230">
        <v>58476300</v>
      </c>
      <c r="BJ159" s="230">
        <v>-32189800</v>
      </c>
      <c r="BK159" s="229">
        <v>-0.55049999999999999</v>
      </c>
      <c r="BL159" s="230">
        <v>7250400</v>
      </c>
      <c r="BM159" s="230">
        <v>21401600</v>
      </c>
      <c r="BN159" s="230">
        <v>-14151200</v>
      </c>
      <c r="BO159" s="229">
        <v>-0.66120000000000001</v>
      </c>
      <c r="BP159" s="230">
        <v>38824600</v>
      </c>
      <c r="BQ159" s="230">
        <v>94665600</v>
      </c>
      <c r="BR159" s="230">
        <v>-55841000</v>
      </c>
      <c r="BS159" s="229">
        <v>-0.58989999999999998</v>
      </c>
      <c r="BT159" s="230">
        <v>4300497</v>
      </c>
      <c r="BU159" s="230">
        <v>13499273</v>
      </c>
      <c r="BV159" s="230">
        <v>-9198776</v>
      </c>
      <c r="BW159" s="229">
        <v>-0.68140000000000001</v>
      </c>
      <c r="BX159" s="230">
        <v>33455200</v>
      </c>
      <c r="BY159" s="230">
        <v>32980200</v>
      </c>
      <c r="BZ159" s="230">
        <v>475000</v>
      </c>
      <c r="CA159" s="229">
        <v>1.44E-2</v>
      </c>
      <c r="CB159" s="230">
        <v>32902300</v>
      </c>
      <c r="CC159" s="230">
        <v>32505200</v>
      </c>
      <c r="CD159" s="230">
        <v>397100</v>
      </c>
      <c r="CE159" s="229">
        <v>1.2200000000000001E-2</v>
      </c>
      <c r="CF159" s="230">
        <v>482600</v>
      </c>
      <c r="CG159" s="230">
        <v>402800</v>
      </c>
      <c r="CH159" s="230">
        <v>79800</v>
      </c>
      <c r="CI159" s="229">
        <v>0.1981</v>
      </c>
      <c r="CJ159" s="230">
        <v>70300</v>
      </c>
      <c r="CK159" s="230">
        <v>72200</v>
      </c>
      <c r="CL159" s="230">
        <v>-1900</v>
      </c>
      <c r="CM159" s="229">
        <v>-2.63E-2</v>
      </c>
      <c r="CN159" s="230">
        <v>12557100</v>
      </c>
      <c r="CO159" s="230">
        <v>10809100</v>
      </c>
      <c r="CP159" s="230">
        <v>1748000</v>
      </c>
      <c r="CQ159" s="229">
        <v>0.16170000000000001</v>
      </c>
      <c r="CR159" s="230">
        <v>10721700</v>
      </c>
      <c r="CS159" s="230">
        <v>10028200</v>
      </c>
      <c r="CT159" s="230">
        <v>693500</v>
      </c>
      <c r="CU159" s="229">
        <v>6.9199999999999998E-2</v>
      </c>
      <c r="CV159" s="230">
        <v>56734000</v>
      </c>
      <c r="CW159" s="230">
        <v>53817500</v>
      </c>
      <c r="CX159" s="230">
        <v>2916500</v>
      </c>
      <c r="CY159" s="229">
        <v>5.4199999999999998E-2</v>
      </c>
      <c r="CZ159" s="228">
        <v>31.57</v>
      </c>
      <c r="DA159" s="228">
        <v>32.42</v>
      </c>
      <c r="DB159" s="228">
        <v>-0.85</v>
      </c>
      <c r="DC159" s="228">
        <v>-0.85</v>
      </c>
      <c r="DD159" s="228">
        <v>38.35</v>
      </c>
      <c r="DE159" s="228">
        <v>38.450000000000003</v>
      </c>
      <c r="DF159" s="228">
        <v>-6.78</v>
      </c>
      <c r="DG159" s="228">
        <v>-0.1</v>
      </c>
      <c r="DH159" s="228">
        <v>31.74</v>
      </c>
      <c r="DI159" s="228">
        <v>32.15</v>
      </c>
      <c r="DJ159" s="228">
        <v>-0.41</v>
      </c>
      <c r="DK159" s="228">
        <v>-0.41</v>
      </c>
      <c r="DL159" s="228">
        <v>30.97</v>
      </c>
      <c r="DM159" s="228">
        <v>33.17</v>
      </c>
      <c r="DN159" s="228">
        <v>-2.2000000000000002</v>
      </c>
      <c r="DO159" s="228">
        <v>-2.2000000000000002</v>
      </c>
      <c r="DP159" s="228">
        <v>0.85</v>
      </c>
      <c r="DQ159" s="228">
        <v>0.93</v>
      </c>
      <c r="DR159" s="228">
        <v>-0.08</v>
      </c>
      <c r="DS159" s="229">
        <v>-8.5999999999999993E-2</v>
      </c>
      <c r="DT159" s="228">
        <v>300</v>
      </c>
      <c r="DU159" s="228">
        <v>280</v>
      </c>
      <c r="DV159" s="228">
        <v>0.28000000000000003</v>
      </c>
      <c r="DW159" s="228">
        <v>0.37</v>
      </c>
      <c r="DX159" s="228">
        <v>-0.09</v>
      </c>
      <c r="DY159" s="229">
        <v>-0.2432</v>
      </c>
      <c r="DZ159" s="229">
        <v>1.6500000000000001E-2</v>
      </c>
      <c r="EA159" s="230">
        <v>475000</v>
      </c>
      <c r="EB159" s="229">
        <v>-3.2000000000000002E-3</v>
      </c>
      <c r="EC159" s="229">
        <v>1.6500000000000001E-2</v>
      </c>
      <c r="ED159" s="228">
        <v>-0.99</v>
      </c>
      <c r="EE159" s="229">
        <v>-3.5000000000000001E-3</v>
      </c>
      <c r="EF159" s="230">
        <v>2501468</v>
      </c>
      <c r="EG159" s="230">
        <v>5702038</v>
      </c>
      <c r="EH159" s="229">
        <v>-0.56130000000000002</v>
      </c>
      <c r="EI159" s="229">
        <v>0.58169999999999999</v>
      </c>
      <c r="EJ159" s="231">
        <v>79801.47</v>
      </c>
      <c r="EK159" s="231">
        <v>20301.509999999998</v>
      </c>
      <c r="EL159" s="231">
        <v>14954.18</v>
      </c>
      <c r="EM159" s="231">
        <v>3187</v>
      </c>
      <c r="EN159" s="231">
        <v>115057.16</v>
      </c>
      <c r="EO159" s="231">
        <v>275473.40999999997</v>
      </c>
      <c r="EP159" s="231">
        <v>-160416.25</v>
      </c>
      <c r="EQ159" s="229">
        <v>-0.58230000000000004</v>
      </c>
      <c r="ER159" s="231">
        <v>37127</v>
      </c>
      <c r="ES159" s="231">
        <v>28962</v>
      </c>
      <c r="ET159" s="231">
        <v>95175</v>
      </c>
      <c r="EU159" s="231">
        <v>112500013</v>
      </c>
      <c r="EV159" s="231">
        <v>161264</v>
      </c>
      <c r="EW159" s="231">
        <v>152281</v>
      </c>
      <c r="EX159" s="231">
        <v>8983</v>
      </c>
      <c r="EY159" s="229">
        <v>5.8999999999999997E-2</v>
      </c>
      <c r="EZ159" s="229">
        <v>0.50429999999999997</v>
      </c>
      <c r="FA159" s="227" t="s">
        <v>555</v>
      </c>
      <c r="FB159" s="161">
        <f t="shared" si="3"/>
        <v>0</v>
      </c>
    </row>
    <row r="160" spans="1:158" ht="17.25" thickBot="1" x14ac:dyDescent="0.3">
      <c r="A160" s="226">
        <v>46148</v>
      </c>
      <c r="B160" s="227" t="s">
        <v>175</v>
      </c>
      <c r="C160" s="227" t="s">
        <v>273</v>
      </c>
      <c r="D160" s="228">
        <v>1300</v>
      </c>
      <c r="E160" s="228">
        <v>466.35</v>
      </c>
      <c r="F160" s="228">
        <v>459.1</v>
      </c>
      <c r="G160" s="228">
        <v>7.25</v>
      </c>
      <c r="H160" s="229">
        <v>1.5800000000000002E-2</v>
      </c>
      <c r="I160" s="228">
        <v>463.9</v>
      </c>
      <c r="J160" s="228">
        <v>456.9</v>
      </c>
      <c r="K160" s="228">
        <v>7</v>
      </c>
      <c r="L160" s="229">
        <v>1.5299999999999999E-2</v>
      </c>
      <c r="M160" s="228">
        <v>466.35</v>
      </c>
      <c r="N160" s="228">
        <v>459.1</v>
      </c>
      <c r="O160" s="228">
        <v>7.25</v>
      </c>
      <c r="P160" s="229">
        <v>1.5800000000000002E-2</v>
      </c>
      <c r="Q160" s="228">
        <v>467.4</v>
      </c>
      <c r="R160" s="228">
        <v>461</v>
      </c>
      <c r="S160" s="228">
        <v>6.4</v>
      </c>
      <c r="T160" s="229">
        <v>1.3899999999999999E-2</v>
      </c>
      <c r="U160" s="228">
        <v>468.4</v>
      </c>
      <c r="V160" s="228">
        <v>462.85</v>
      </c>
      <c r="W160" s="228">
        <v>5.55</v>
      </c>
      <c r="X160" s="229">
        <v>1.2E-2</v>
      </c>
      <c r="Y160" s="228">
        <v>2.4500000000000002</v>
      </c>
      <c r="Z160" s="228">
        <v>2.2000000000000002</v>
      </c>
      <c r="AA160" s="228">
        <v>0.25</v>
      </c>
      <c r="AB160" s="229">
        <v>5.3E-3</v>
      </c>
      <c r="AC160" s="228">
        <v>2.4500000000000002</v>
      </c>
      <c r="AD160" s="228">
        <v>2.2000000000000002</v>
      </c>
      <c r="AE160" s="228">
        <v>0.25</v>
      </c>
      <c r="AF160" s="229">
        <v>5.3E-3</v>
      </c>
      <c r="AG160" s="228">
        <v>3.5</v>
      </c>
      <c r="AH160" s="228">
        <v>4.0999999999999996</v>
      </c>
      <c r="AI160" s="228">
        <v>-0.6</v>
      </c>
      <c r="AJ160" s="229">
        <v>7.4999999999999997E-3</v>
      </c>
      <c r="AK160" s="228">
        <v>4.5</v>
      </c>
      <c r="AL160" s="228">
        <v>5.95</v>
      </c>
      <c r="AM160" s="228">
        <v>-1.45</v>
      </c>
      <c r="AN160" s="229">
        <v>9.7000000000000003E-3</v>
      </c>
      <c r="AO160" s="228">
        <v>460.92</v>
      </c>
      <c r="AP160" s="228">
        <v>463.23</v>
      </c>
      <c r="AQ160" s="228">
        <v>0</v>
      </c>
      <c r="AR160" s="230">
        <v>5920200</v>
      </c>
      <c r="AS160" s="230">
        <v>7608900</v>
      </c>
      <c r="AT160" s="230">
        <v>-1688700</v>
      </c>
      <c r="AU160" s="229">
        <v>-0.22189999999999999</v>
      </c>
      <c r="AV160" s="230">
        <v>5246800</v>
      </c>
      <c r="AW160" s="230">
        <v>7208500</v>
      </c>
      <c r="AX160" s="230">
        <v>-1961700</v>
      </c>
      <c r="AY160" s="229">
        <v>-0.27210000000000001</v>
      </c>
      <c r="AZ160" s="230">
        <v>521300</v>
      </c>
      <c r="BA160" s="230">
        <v>367900</v>
      </c>
      <c r="BB160" s="230">
        <v>153400</v>
      </c>
      <c r="BC160" s="229">
        <v>0.41699999999999998</v>
      </c>
      <c r="BD160" s="230">
        <v>152100</v>
      </c>
      <c r="BE160" s="230">
        <v>32500</v>
      </c>
      <c r="BF160" s="230">
        <v>119600</v>
      </c>
      <c r="BG160" s="229">
        <v>3.68</v>
      </c>
      <c r="BH160" s="230">
        <v>16061500</v>
      </c>
      <c r="BI160" s="230">
        <v>26517400</v>
      </c>
      <c r="BJ160" s="230">
        <v>-10455900</v>
      </c>
      <c r="BK160" s="229">
        <v>-0.39429999999999998</v>
      </c>
      <c r="BL160" s="230">
        <v>7064200</v>
      </c>
      <c r="BM160" s="230">
        <v>11369800</v>
      </c>
      <c r="BN160" s="230">
        <v>-4305600</v>
      </c>
      <c r="BO160" s="229">
        <v>-0.37869999999999998</v>
      </c>
      <c r="BP160" s="230">
        <v>29045900</v>
      </c>
      <c r="BQ160" s="230">
        <v>45496100</v>
      </c>
      <c r="BR160" s="230">
        <v>-16450200</v>
      </c>
      <c r="BS160" s="229">
        <v>-0.36159999999999998</v>
      </c>
      <c r="BT160" s="230">
        <v>5431208</v>
      </c>
      <c r="BU160" s="230">
        <v>7883188</v>
      </c>
      <c r="BV160" s="230">
        <v>-2451980</v>
      </c>
      <c r="BW160" s="229">
        <v>-0.311</v>
      </c>
      <c r="BX160" s="230">
        <v>58133400</v>
      </c>
      <c r="BY160" s="230">
        <v>57699200</v>
      </c>
      <c r="BZ160" s="230">
        <v>434200</v>
      </c>
      <c r="CA160" s="229">
        <v>7.4999999999999997E-3</v>
      </c>
      <c r="CB160" s="230">
        <v>56517500</v>
      </c>
      <c r="CC160" s="230">
        <v>56149600</v>
      </c>
      <c r="CD160" s="230">
        <v>367900</v>
      </c>
      <c r="CE160" s="229">
        <v>6.6E-3</v>
      </c>
      <c r="CF160" s="230">
        <v>1508000</v>
      </c>
      <c r="CG160" s="230">
        <v>1453400</v>
      </c>
      <c r="CH160" s="230">
        <v>54600</v>
      </c>
      <c r="CI160" s="229">
        <v>3.7600000000000001E-2</v>
      </c>
      <c r="CJ160" s="230">
        <v>107900</v>
      </c>
      <c r="CK160" s="230">
        <v>96200</v>
      </c>
      <c r="CL160" s="230">
        <v>11700</v>
      </c>
      <c r="CM160" s="229">
        <v>0.1216</v>
      </c>
      <c r="CN160" s="230">
        <v>20449000</v>
      </c>
      <c r="CO160" s="230">
        <v>19823700</v>
      </c>
      <c r="CP160" s="230">
        <v>625300</v>
      </c>
      <c r="CQ160" s="229">
        <v>3.15E-2</v>
      </c>
      <c r="CR160" s="230">
        <v>11759800</v>
      </c>
      <c r="CS160" s="230">
        <v>11577800</v>
      </c>
      <c r="CT160" s="230">
        <v>182000</v>
      </c>
      <c r="CU160" s="229">
        <v>1.5699999999999999E-2</v>
      </c>
      <c r="CV160" s="230">
        <v>90342200</v>
      </c>
      <c r="CW160" s="230">
        <v>89100700</v>
      </c>
      <c r="CX160" s="230">
        <v>1241500</v>
      </c>
      <c r="CY160" s="229">
        <v>1.3899999999999999E-2</v>
      </c>
      <c r="CZ160" s="228">
        <v>34.79</v>
      </c>
      <c r="DA160" s="228">
        <v>35.75</v>
      </c>
      <c r="DB160" s="228">
        <v>-0.96</v>
      </c>
      <c r="DC160" s="228">
        <v>-0.96</v>
      </c>
      <c r="DD160" s="228">
        <v>41.75</v>
      </c>
      <c r="DE160" s="228">
        <v>41.8</v>
      </c>
      <c r="DF160" s="228">
        <v>-6.96</v>
      </c>
      <c r="DG160" s="228">
        <v>-0.05</v>
      </c>
      <c r="DH160" s="228">
        <v>34.78</v>
      </c>
      <c r="DI160" s="228">
        <v>35.96</v>
      </c>
      <c r="DJ160" s="228">
        <v>-1.18</v>
      </c>
      <c r="DK160" s="228">
        <v>-1.18</v>
      </c>
      <c r="DL160" s="228">
        <v>34.81</v>
      </c>
      <c r="DM160" s="228">
        <v>35.26</v>
      </c>
      <c r="DN160" s="228">
        <v>-0.45</v>
      </c>
      <c r="DO160" s="228">
        <v>-0.45</v>
      </c>
      <c r="DP160" s="228">
        <v>0.57999999999999996</v>
      </c>
      <c r="DQ160" s="228">
        <v>0.57999999999999996</v>
      </c>
      <c r="DR160" s="228">
        <v>0</v>
      </c>
      <c r="DS160" s="229">
        <v>0</v>
      </c>
      <c r="DT160" s="228">
        <v>500</v>
      </c>
      <c r="DU160" s="228">
        <v>450</v>
      </c>
      <c r="DV160" s="228">
        <v>0.44</v>
      </c>
      <c r="DW160" s="228">
        <v>0.43</v>
      </c>
      <c r="DX160" s="228">
        <v>0.01</v>
      </c>
      <c r="DY160" s="229">
        <v>2.3300000000000001E-2</v>
      </c>
      <c r="DZ160" s="229">
        <v>2.7799999999999998E-2</v>
      </c>
      <c r="EA160" s="230">
        <v>1549600</v>
      </c>
      <c r="EB160" s="229">
        <v>2.3E-3</v>
      </c>
      <c r="EC160" s="229">
        <v>2.7799999999999998E-2</v>
      </c>
      <c r="ED160" s="228">
        <v>2.31</v>
      </c>
      <c r="EE160" s="229">
        <v>5.0000000000000001E-3</v>
      </c>
      <c r="EF160" s="230">
        <v>2915626</v>
      </c>
      <c r="EG160" s="230">
        <v>3760355</v>
      </c>
      <c r="EH160" s="229">
        <v>-0.22459999999999999</v>
      </c>
      <c r="EI160" s="229">
        <v>0.53680000000000005</v>
      </c>
      <c r="EJ160" s="231">
        <v>77875.289999999994</v>
      </c>
      <c r="EK160" s="231">
        <v>32498.53</v>
      </c>
      <c r="EL160" s="231">
        <v>27304.959999999999</v>
      </c>
      <c r="EM160" s="231">
        <v>7194</v>
      </c>
      <c r="EN160" s="231">
        <v>137678.78</v>
      </c>
      <c r="EO160" s="231">
        <v>214136.75</v>
      </c>
      <c r="EP160" s="231">
        <v>-76457.97</v>
      </c>
      <c r="EQ160" s="229">
        <v>-0.35709999999999997</v>
      </c>
      <c r="ER160" s="231">
        <v>98425</v>
      </c>
      <c r="ES160" s="231">
        <v>52476</v>
      </c>
      <c r="ET160" s="231">
        <v>271123</v>
      </c>
      <c r="EU160" s="231">
        <v>217835555</v>
      </c>
      <c r="EV160" s="231">
        <v>422024</v>
      </c>
      <c r="EW160" s="231">
        <v>411865</v>
      </c>
      <c r="EX160" s="231">
        <v>10159</v>
      </c>
      <c r="EY160" s="229">
        <v>2.47E-2</v>
      </c>
      <c r="EZ160" s="229">
        <v>0.41470000000000001</v>
      </c>
      <c r="FA160" s="227" t="s">
        <v>555</v>
      </c>
      <c r="FB160" s="161">
        <f t="shared" si="3"/>
        <v>0</v>
      </c>
    </row>
    <row r="161" spans="1:158" ht="17.25" thickBot="1" x14ac:dyDescent="0.3">
      <c r="A161" s="226">
        <v>46148</v>
      </c>
      <c r="B161" s="227" t="s">
        <v>184</v>
      </c>
      <c r="C161" s="227" t="s">
        <v>676</v>
      </c>
      <c r="D161" s="228">
        <v>950</v>
      </c>
      <c r="E161" s="228">
        <v>548.4</v>
      </c>
      <c r="F161" s="228">
        <v>534.15</v>
      </c>
      <c r="G161" s="228">
        <v>14.25</v>
      </c>
      <c r="H161" s="229">
        <v>2.6700000000000002E-2</v>
      </c>
      <c r="I161" s="228">
        <v>544.5</v>
      </c>
      <c r="J161" s="228">
        <v>532.35</v>
      </c>
      <c r="K161" s="228">
        <v>12.15</v>
      </c>
      <c r="L161" s="229">
        <v>2.2800000000000001E-2</v>
      </c>
      <c r="M161" s="228">
        <v>548.4</v>
      </c>
      <c r="N161" s="228">
        <v>534.15</v>
      </c>
      <c r="O161" s="228">
        <v>14.25</v>
      </c>
      <c r="P161" s="229">
        <v>2.6700000000000002E-2</v>
      </c>
      <c r="Q161" s="228">
        <v>546.29999999999995</v>
      </c>
      <c r="R161" s="228">
        <v>531.75</v>
      </c>
      <c r="S161" s="228">
        <v>14.55</v>
      </c>
      <c r="T161" s="229">
        <v>2.7400000000000001E-2</v>
      </c>
      <c r="U161" s="228">
        <v>546</v>
      </c>
      <c r="V161" s="228">
        <v>529.4</v>
      </c>
      <c r="W161" s="228">
        <v>16.600000000000001</v>
      </c>
      <c r="X161" s="229">
        <v>3.1399999999999997E-2</v>
      </c>
      <c r="Y161" s="228">
        <v>3.9</v>
      </c>
      <c r="Z161" s="228">
        <v>1.8</v>
      </c>
      <c r="AA161" s="228">
        <v>2.1</v>
      </c>
      <c r="AB161" s="229">
        <v>7.1999999999999998E-3</v>
      </c>
      <c r="AC161" s="228">
        <v>3.9</v>
      </c>
      <c r="AD161" s="228">
        <v>1.8</v>
      </c>
      <c r="AE161" s="228">
        <v>2.1</v>
      </c>
      <c r="AF161" s="229">
        <v>7.1999999999999998E-3</v>
      </c>
      <c r="AG161" s="228">
        <v>1.8</v>
      </c>
      <c r="AH161" s="228">
        <v>-0.6</v>
      </c>
      <c r="AI161" s="228">
        <v>2.4</v>
      </c>
      <c r="AJ161" s="229">
        <v>3.3E-3</v>
      </c>
      <c r="AK161" s="228">
        <v>1.5</v>
      </c>
      <c r="AL161" s="228">
        <v>-2.95</v>
      </c>
      <c r="AM161" s="228">
        <v>4.45</v>
      </c>
      <c r="AN161" s="229">
        <v>2.8E-3</v>
      </c>
      <c r="AO161" s="228">
        <v>543.86</v>
      </c>
      <c r="AP161" s="228">
        <v>541.01</v>
      </c>
      <c r="AQ161" s="228">
        <v>0</v>
      </c>
      <c r="AR161" s="230">
        <v>2125150</v>
      </c>
      <c r="AS161" s="230">
        <v>1913300</v>
      </c>
      <c r="AT161" s="230">
        <v>211850</v>
      </c>
      <c r="AU161" s="229">
        <v>0.11070000000000001</v>
      </c>
      <c r="AV161" s="230">
        <v>2033950</v>
      </c>
      <c r="AW161" s="230">
        <v>1716650</v>
      </c>
      <c r="AX161" s="230">
        <v>317300</v>
      </c>
      <c r="AY161" s="229">
        <v>0.18479999999999999</v>
      </c>
      <c r="AZ161" s="230">
        <v>67450</v>
      </c>
      <c r="BA161" s="230">
        <v>129200</v>
      </c>
      <c r="BB161" s="230">
        <v>-61750</v>
      </c>
      <c r="BC161" s="229">
        <v>-0.47789999999999999</v>
      </c>
      <c r="BD161" s="230">
        <v>23750</v>
      </c>
      <c r="BE161" s="230">
        <v>67450</v>
      </c>
      <c r="BF161" s="230">
        <v>-43700</v>
      </c>
      <c r="BG161" s="229">
        <v>-0.64790000000000003</v>
      </c>
      <c r="BH161" s="230">
        <v>5722800</v>
      </c>
      <c r="BI161" s="230">
        <v>4637900</v>
      </c>
      <c r="BJ161" s="230">
        <v>1084900</v>
      </c>
      <c r="BK161" s="229">
        <v>0.2339</v>
      </c>
      <c r="BL161" s="230">
        <v>2511800</v>
      </c>
      <c r="BM161" s="230">
        <v>1546600</v>
      </c>
      <c r="BN161" s="230">
        <v>965200</v>
      </c>
      <c r="BO161" s="229">
        <v>0.62409999999999999</v>
      </c>
      <c r="BP161" s="230">
        <v>10359750</v>
      </c>
      <c r="BQ161" s="230">
        <v>8097800</v>
      </c>
      <c r="BR161" s="230">
        <v>2261950</v>
      </c>
      <c r="BS161" s="229">
        <v>0.27929999999999999</v>
      </c>
      <c r="BT161" s="230">
        <v>1711687</v>
      </c>
      <c r="BU161" s="230">
        <v>1441258</v>
      </c>
      <c r="BV161" s="230">
        <v>270429</v>
      </c>
      <c r="BW161" s="229">
        <v>0.18759999999999999</v>
      </c>
      <c r="BX161" s="230">
        <v>11446550</v>
      </c>
      <c r="BY161" s="230">
        <v>11414250</v>
      </c>
      <c r="BZ161" s="230">
        <v>32300</v>
      </c>
      <c r="CA161" s="229">
        <v>2.8E-3</v>
      </c>
      <c r="CB161" s="230">
        <v>10488950</v>
      </c>
      <c r="CC161" s="230">
        <v>10460450</v>
      </c>
      <c r="CD161" s="230">
        <v>28500</v>
      </c>
      <c r="CE161" s="229">
        <v>2.7000000000000001E-3</v>
      </c>
      <c r="CF161" s="230">
        <v>899650</v>
      </c>
      <c r="CG161" s="230">
        <v>902500</v>
      </c>
      <c r="CH161" s="230">
        <v>-2850</v>
      </c>
      <c r="CI161" s="229">
        <v>-3.2000000000000002E-3</v>
      </c>
      <c r="CJ161" s="230">
        <v>57950</v>
      </c>
      <c r="CK161" s="230">
        <v>51300</v>
      </c>
      <c r="CL161" s="230">
        <v>6650</v>
      </c>
      <c r="CM161" s="229">
        <v>0.12959999999999999</v>
      </c>
      <c r="CN161" s="230">
        <v>4479250</v>
      </c>
      <c r="CO161" s="230">
        <v>4237950</v>
      </c>
      <c r="CP161" s="230">
        <v>241300</v>
      </c>
      <c r="CQ161" s="229">
        <v>5.6899999999999999E-2</v>
      </c>
      <c r="CR161" s="230">
        <v>3705950</v>
      </c>
      <c r="CS161" s="230">
        <v>3672700</v>
      </c>
      <c r="CT161" s="230">
        <v>33250</v>
      </c>
      <c r="CU161" s="229">
        <v>9.1000000000000004E-3</v>
      </c>
      <c r="CV161" s="230">
        <v>19631750</v>
      </c>
      <c r="CW161" s="230">
        <v>19324900</v>
      </c>
      <c r="CX161" s="230">
        <v>306850</v>
      </c>
      <c r="CY161" s="229">
        <v>1.5900000000000001E-2</v>
      </c>
      <c r="CZ161" s="228">
        <v>51.14</v>
      </c>
      <c r="DA161" s="228">
        <v>52.87</v>
      </c>
      <c r="DB161" s="228">
        <v>-1.73</v>
      </c>
      <c r="DC161" s="228">
        <v>-1.73</v>
      </c>
      <c r="DD161" s="228">
        <v>66.790000000000006</v>
      </c>
      <c r="DE161" s="228">
        <v>66.87</v>
      </c>
      <c r="DF161" s="228">
        <v>-15.65</v>
      </c>
      <c r="DG161" s="228">
        <v>-0.08</v>
      </c>
      <c r="DH161" s="228">
        <v>50.9</v>
      </c>
      <c r="DI161" s="228">
        <v>52.84</v>
      </c>
      <c r="DJ161" s="228">
        <v>-1.94</v>
      </c>
      <c r="DK161" s="228">
        <v>-1.94</v>
      </c>
      <c r="DL161" s="228">
        <v>51.69</v>
      </c>
      <c r="DM161" s="228">
        <v>52.96</v>
      </c>
      <c r="DN161" s="228">
        <v>-1.27</v>
      </c>
      <c r="DO161" s="228">
        <v>-1.27</v>
      </c>
      <c r="DP161" s="228">
        <v>0.83</v>
      </c>
      <c r="DQ161" s="228">
        <v>0.87</v>
      </c>
      <c r="DR161" s="228">
        <v>-0.04</v>
      </c>
      <c r="DS161" s="229">
        <v>-4.5999999999999999E-2</v>
      </c>
      <c r="DT161" s="228">
        <v>600</v>
      </c>
      <c r="DU161" s="228">
        <v>500</v>
      </c>
      <c r="DV161" s="228">
        <v>0.44</v>
      </c>
      <c r="DW161" s="228">
        <v>0.33</v>
      </c>
      <c r="DX161" s="228">
        <v>0.11</v>
      </c>
      <c r="DY161" s="229">
        <v>0.33329999999999999</v>
      </c>
      <c r="DZ161" s="229">
        <v>8.3699999999999997E-2</v>
      </c>
      <c r="EA161" s="230">
        <v>953800</v>
      </c>
      <c r="EB161" s="229">
        <v>-3.8E-3</v>
      </c>
      <c r="EC161" s="229">
        <v>8.3699999999999997E-2</v>
      </c>
      <c r="ED161" s="228">
        <v>-2.85</v>
      </c>
      <c r="EE161" s="229">
        <v>-5.1999999999999998E-3</v>
      </c>
      <c r="EF161" s="230">
        <v>583661</v>
      </c>
      <c r="EG161" s="230">
        <v>373979</v>
      </c>
      <c r="EH161" s="229">
        <v>0.56069999999999998</v>
      </c>
      <c r="EI161" s="229">
        <v>0.34100000000000003</v>
      </c>
      <c r="EJ161" s="231">
        <v>33860.14</v>
      </c>
      <c r="EK161" s="231">
        <v>13282.33</v>
      </c>
      <c r="EL161" s="231">
        <v>11555.2</v>
      </c>
      <c r="EM161" s="231">
        <v>2927</v>
      </c>
      <c r="EN161" s="231">
        <v>58697.67</v>
      </c>
      <c r="EO161" s="231">
        <v>45976.17</v>
      </c>
      <c r="EP161" s="231">
        <v>12721.5</v>
      </c>
      <c r="EQ161" s="229">
        <v>0.2767</v>
      </c>
      <c r="ER161" s="231">
        <v>25792</v>
      </c>
      <c r="ES161" s="231">
        <v>18639</v>
      </c>
      <c r="ET161" s="231">
        <v>62753</v>
      </c>
      <c r="EU161" s="231">
        <v>24101986</v>
      </c>
      <c r="EV161" s="231">
        <v>107184</v>
      </c>
      <c r="EW161" s="231">
        <v>103925</v>
      </c>
      <c r="EX161" s="231">
        <v>3259</v>
      </c>
      <c r="EY161" s="229">
        <v>3.1399999999999997E-2</v>
      </c>
      <c r="EZ161" s="229">
        <v>0.8145</v>
      </c>
      <c r="FA161" s="227" t="s">
        <v>555</v>
      </c>
      <c r="FB161" s="161">
        <f t="shared" si="3"/>
        <v>0</v>
      </c>
    </row>
    <row r="162" spans="1:158" ht="17.25" thickBot="1" x14ac:dyDescent="0.3">
      <c r="A162" s="226">
        <v>46148</v>
      </c>
      <c r="B162" s="227" t="s">
        <v>206</v>
      </c>
      <c r="C162" s="227" t="s">
        <v>644</v>
      </c>
      <c r="D162" s="228">
        <v>350</v>
      </c>
      <c r="E162" s="231">
        <v>1846.4</v>
      </c>
      <c r="F162" s="231">
        <v>1804.7</v>
      </c>
      <c r="G162" s="228">
        <v>41.7</v>
      </c>
      <c r="H162" s="229">
        <v>2.3099999999999999E-2</v>
      </c>
      <c r="I162" s="231">
        <v>1839.1</v>
      </c>
      <c r="J162" s="231">
        <v>1793.9</v>
      </c>
      <c r="K162" s="228">
        <v>45.2</v>
      </c>
      <c r="L162" s="229">
        <v>2.52E-2</v>
      </c>
      <c r="M162" s="231">
        <v>1846.4</v>
      </c>
      <c r="N162" s="231">
        <v>1804.7</v>
      </c>
      <c r="O162" s="228">
        <v>41.7</v>
      </c>
      <c r="P162" s="229">
        <v>2.3099999999999999E-2</v>
      </c>
      <c r="Q162" s="231">
        <v>1850.2</v>
      </c>
      <c r="R162" s="231">
        <v>1814.2</v>
      </c>
      <c r="S162" s="228">
        <v>36</v>
      </c>
      <c r="T162" s="229">
        <v>1.9800000000000002E-2</v>
      </c>
      <c r="U162" s="228">
        <v>0</v>
      </c>
      <c r="V162" s="228">
        <v>0</v>
      </c>
      <c r="W162" s="228">
        <v>0</v>
      </c>
      <c r="X162" s="229">
        <v>0</v>
      </c>
      <c r="Y162" s="228">
        <v>7.3</v>
      </c>
      <c r="Z162" s="228">
        <v>10.8</v>
      </c>
      <c r="AA162" s="228">
        <v>-3.5</v>
      </c>
      <c r="AB162" s="229">
        <v>4.0000000000000001E-3</v>
      </c>
      <c r="AC162" s="228">
        <v>7.3</v>
      </c>
      <c r="AD162" s="228">
        <v>10.8</v>
      </c>
      <c r="AE162" s="228">
        <v>-3.5</v>
      </c>
      <c r="AF162" s="229">
        <v>4.0000000000000001E-3</v>
      </c>
      <c r="AG162" s="228">
        <v>11.1</v>
      </c>
      <c r="AH162" s="228">
        <v>20.3</v>
      </c>
      <c r="AI162" s="228">
        <v>-9.1999999999999993</v>
      </c>
      <c r="AJ162" s="229">
        <v>6.0000000000000001E-3</v>
      </c>
      <c r="AK162" s="228">
        <v>0</v>
      </c>
      <c r="AL162" s="228">
        <v>0</v>
      </c>
      <c r="AM162" s="228">
        <v>0</v>
      </c>
      <c r="AN162" s="229">
        <v>0</v>
      </c>
      <c r="AO162" s="231">
        <v>1831.97</v>
      </c>
      <c r="AP162" s="231">
        <v>1844.29</v>
      </c>
      <c r="AQ162" s="228">
        <v>0</v>
      </c>
      <c r="AR162" s="230">
        <v>459200</v>
      </c>
      <c r="AS162" s="230">
        <v>284200</v>
      </c>
      <c r="AT162" s="230">
        <v>175000</v>
      </c>
      <c r="AU162" s="229">
        <v>0.61580000000000001</v>
      </c>
      <c r="AV162" s="230">
        <v>450100</v>
      </c>
      <c r="AW162" s="230">
        <v>282450</v>
      </c>
      <c r="AX162" s="230">
        <v>167650</v>
      </c>
      <c r="AY162" s="229">
        <v>0.59360000000000002</v>
      </c>
      <c r="AZ162" s="230">
        <v>9100</v>
      </c>
      <c r="BA162" s="230">
        <v>1750</v>
      </c>
      <c r="BB162" s="230">
        <v>7350</v>
      </c>
      <c r="BC162" s="229">
        <v>4.2</v>
      </c>
      <c r="BD162" s="228">
        <v>0</v>
      </c>
      <c r="BE162" s="228">
        <v>0</v>
      </c>
      <c r="BF162" s="228">
        <v>0</v>
      </c>
      <c r="BG162" s="229">
        <v>0</v>
      </c>
      <c r="BH162" s="230">
        <v>1355900</v>
      </c>
      <c r="BI162" s="230">
        <v>980700</v>
      </c>
      <c r="BJ162" s="230">
        <v>375200</v>
      </c>
      <c r="BK162" s="229">
        <v>0.3826</v>
      </c>
      <c r="BL162" s="230">
        <v>394450</v>
      </c>
      <c r="BM162" s="230">
        <v>474250</v>
      </c>
      <c r="BN162" s="230">
        <v>-79800</v>
      </c>
      <c r="BO162" s="229">
        <v>-0.16830000000000001</v>
      </c>
      <c r="BP162" s="230">
        <v>2209550</v>
      </c>
      <c r="BQ162" s="230">
        <v>1739150</v>
      </c>
      <c r="BR162" s="230">
        <v>470400</v>
      </c>
      <c r="BS162" s="229">
        <v>0.27050000000000002</v>
      </c>
      <c r="BT162" s="230">
        <v>395344</v>
      </c>
      <c r="BU162" s="230">
        <v>226510</v>
      </c>
      <c r="BV162" s="230">
        <v>168834</v>
      </c>
      <c r="BW162" s="229">
        <v>0.74539999999999995</v>
      </c>
      <c r="BX162" s="230">
        <v>4112150</v>
      </c>
      <c r="BY162" s="230">
        <v>4070150</v>
      </c>
      <c r="BZ162" s="230">
        <v>42000</v>
      </c>
      <c r="CA162" s="229">
        <v>1.03E-2</v>
      </c>
      <c r="CB162" s="230">
        <v>3742200</v>
      </c>
      <c r="CC162" s="230">
        <v>3705800</v>
      </c>
      <c r="CD162" s="230">
        <v>36400</v>
      </c>
      <c r="CE162" s="229">
        <v>9.7999999999999997E-3</v>
      </c>
      <c r="CF162" s="230">
        <v>369950</v>
      </c>
      <c r="CG162" s="230">
        <v>364350</v>
      </c>
      <c r="CH162" s="230">
        <v>5600</v>
      </c>
      <c r="CI162" s="229">
        <v>1.54E-2</v>
      </c>
      <c r="CJ162" s="228">
        <v>0</v>
      </c>
      <c r="CK162" s="228">
        <v>0</v>
      </c>
      <c r="CL162" s="228">
        <v>0</v>
      </c>
      <c r="CM162" s="229">
        <v>0</v>
      </c>
      <c r="CN162" s="230">
        <v>1066800</v>
      </c>
      <c r="CO162" s="230">
        <v>1026550</v>
      </c>
      <c r="CP162" s="230">
        <v>40250</v>
      </c>
      <c r="CQ162" s="229">
        <v>3.9199999999999999E-2</v>
      </c>
      <c r="CR162" s="230">
        <v>656250</v>
      </c>
      <c r="CS162" s="230">
        <v>687750</v>
      </c>
      <c r="CT162" s="230">
        <v>-31500</v>
      </c>
      <c r="CU162" s="229">
        <v>-4.58E-2</v>
      </c>
      <c r="CV162" s="230">
        <v>5835200</v>
      </c>
      <c r="CW162" s="230">
        <v>5784450</v>
      </c>
      <c r="CX162" s="230">
        <v>50750</v>
      </c>
      <c r="CY162" s="229">
        <v>8.8000000000000005E-3</v>
      </c>
      <c r="CZ162" s="228">
        <v>29.15</v>
      </c>
      <c r="DA162" s="228">
        <v>30.63</v>
      </c>
      <c r="DB162" s="228">
        <v>-1.48</v>
      </c>
      <c r="DC162" s="228">
        <v>-1.48</v>
      </c>
      <c r="DD162" s="228">
        <v>39.49</v>
      </c>
      <c r="DE162" s="228">
        <v>39.44</v>
      </c>
      <c r="DF162" s="228">
        <v>-10.34</v>
      </c>
      <c r="DG162" s="228">
        <v>0.05</v>
      </c>
      <c r="DH162" s="228">
        <v>28.52</v>
      </c>
      <c r="DI162" s="228">
        <v>30.13</v>
      </c>
      <c r="DJ162" s="228">
        <v>-1.61</v>
      </c>
      <c r="DK162" s="228">
        <v>-1.61</v>
      </c>
      <c r="DL162" s="228">
        <v>31.32</v>
      </c>
      <c r="DM162" s="228">
        <v>31.67</v>
      </c>
      <c r="DN162" s="228">
        <v>-0.35</v>
      </c>
      <c r="DO162" s="228">
        <v>-0.35</v>
      </c>
      <c r="DP162" s="228">
        <v>0.62</v>
      </c>
      <c r="DQ162" s="228">
        <v>0.67</v>
      </c>
      <c r="DR162" s="228">
        <v>-0.05</v>
      </c>
      <c r="DS162" s="229">
        <v>-7.46E-2</v>
      </c>
      <c r="DT162" s="231">
        <v>1800</v>
      </c>
      <c r="DU162" s="231">
        <v>1800</v>
      </c>
      <c r="DV162" s="228">
        <v>0.28999999999999998</v>
      </c>
      <c r="DW162" s="228">
        <v>0.48</v>
      </c>
      <c r="DX162" s="228">
        <v>-0.19</v>
      </c>
      <c r="DY162" s="229">
        <v>-0.39579999999999999</v>
      </c>
      <c r="DZ162" s="229">
        <v>0.09</v>
      </c>
      <c r="EA162" s="230">
        <v>364350</v>
      </c>
      <c r="EB162" s="229">
        <v>2.0999999999999999E-3</v>
      </c>
      <c r="EC162" s="229">
        <v>0.09</v>
      </c>
      <c r="ED162" s="228">
        <v>12.32</v>
      </c>
      <c r="EE162" s="229">
        <v>6.7000000000000002E-3</v>
      </c>
      <c r="EF162" s="230">
        <v>218201</v>
      </c>
      <c r="EG162" s="230">
        <v>115528</v>
      </c>
      <c r="EH162" s="229">
        <v>0.88870000000000005</v>
      </c>
      <c r="EI162" s="229">
        <v>0.55189999999999995</v>
      </c>
      <c r="EJ162" s="231">
        <v>26196.19</v>
      </c>
      <c r="EK162" s="231">
        <v>7083.97</v>
      </c>
      <c r="EL162" s="231">
        <v>8413.5300000000007</v>
      </c>
      <c r="EM162" s="231">
        <v>1626</v>
      </c>
      <c r="EN162" s="231">
        <v>41693.69</v>
      </c>
      <c r="EO162" s="231">
        <v>32231.79</v>
      </c>
      <c r="EP162" s="231">
        <v>9461.9</v>
      </c>
      <c r="EQ162" s="229">
        <v>0.29360000000000003</v>
      </c>
      <c r="ER162" s="231">
        <v>20043</v>
      </c>
      <c r="ES162" s="231">
        <v>11410</v>
      </c>
      <c r="ET162" s="231">
        <v>75941</v>
      </c>
      <c r="EU162" s="231">
        <v>21502901</v>
      </c>
      <c r="EV162" s="231">
        <v>107393</v>
      </c>
      <c r="EW162" s="231">
        <v>104577</v>
      </c>
      <c r="EX162" s="231">
        <v>2816</v>
      </c>
      <c r="EY162" s="229">
        <v>2.69E-2</v>
      </c>
      <c r="EZ162" s="229">
        <v>0.27139999999999997</v>
      </c>
      <c r="FA162" s="227" t="s">
        <v>555</v>
      </c>
      <c r="FB162" s="161">
        <f t="shared" ref="FB162:FB194" si="4">BX229-CB229</f>
        <v>0</v>
      </c>
    </row>
    <row r="163" spans="1:158" ht="17.25" thickBot="1" x14ac:dyDescent="0.3">
      <c r="A163" s="226">
        <v>46148</v>
      </c>
      <c r="B163" s="227" t="s">
        <v>168</v>
      </c>
      <c r="C163" s="227" t="s">
        <v>274</v>
      </c>
      <c r="D163" s="228">
        <v>500</v>
      </c>
      <c r="E163" s="231">
        <v>1431.3</v>
      </c>
      <c r="F163" s="231">
        <v>1372.1</v>
      </c>
      <c r="G163" s="228">
        <v>59.2</v>
      </c>
      <c r="H163" s="229">
        <v>4.3099999999999999E-2</v>
      </c>
      <c r="I163" s="231">
        <v>1421.5</v>
      </c>
      <c r="J163" s="231">
        <v>1364.2</v>
      </c>
      <c r="K163" s="228">
        <v>57.3</v>
      </c>
      <c r="L163" s="229">
        <v>4.2000000000000003E-2</v>
      </c>
      <c r="M163" s="231">
        <v>1431.3</v>
      </c>
      <c r="N163" s="231">
        <v>1372.1</v>
      </c>
      <c r="O163" s="228">
        <v>59.2</v>
      </c>
      <c r="P163" s="229">
        <v>4.3099999999999999E-2</v>
      </c>
      <c r="Q163" s="231">
        <v>1441.6</v>
      </c>
      <c r="R163" s="231">
        <v>1381.9</v>
      </c>
      <c r="S163" s="228">
        <v>59.7</v>
      </c>
      <c r="T163" s="229">
        <v>4.3200000000000002E-2</v>
      </c>
      <c r="U163" s="231">
        <v>1437.4</v>
      </c>
      <c r="V163" s="231">
        <v>1375.2</v>
      </c>
      <c r="W163" s="228">
        <v>62.2</v>
      </c>
      <c r="X163" s="229">
        <v>4.5199999999999997E-2</v>
      </c>
      <c r="Y163" s="228">
        <v>9.8000000000000007</v>
      </c>
      <c r="Z163" s="228">
        <v>7.9</v>
      </c>
      <c r="AA163" s="228">
        <v>1.9</v>
      </c>
      <c r="AB163" s="229">
        <v>6.8999999999999999E-3</v>
      </c>
      <c r="AC163" s="228">
        <v>9.8000000000000007</v>
      </c>
      <c r="AD163" s="228">
        <v>7.9</v>
      </c>
      <c r="AE163" s="228">
        <v>1.9</v>
      </c>
      <c r="AF163" s="229">
        <v>6.8999999999999999E-3</v>
      </c>
      <c r="AG163" s="228">
        <v>20.100000000000001</v>
      </c>
      <c r="AH163" s="228">
        <v>17.7</v>
      </c>
      <c r="AI163" s="228">
        <v>2.4</v>
      </c>
      <c r="AJ163" s="229">
        <v>1.41E-2</v>
      </c>
      <c r="AK163" s="228">
        <v>15.9</v>
      </c>
      <c r="AL163" s="228">
        <v>11</v>
      </c>
      <c r="AM163" s="228">
        <v>4.9000000000000004</v>
      </c>
      <c r="AN163" s="229">
        <v>1.12E-2</v>
      </c>
      <c r="AO163" s="231">
        <v>1419.68</v>
      </c>
      <c r="AP163" s="231">
        <v>1430.29</v>
      </c>
      <c r="AQ163" s="228">
        <v>0</v>
      </c>
      <c r="AR163" s="230">
        <v>3183500</v>
      </c>
      <c r="AS163" s="230">
        <v>803000</v>
      </c>
      <c r="AT163" s="230">
        <v>2380500</v>
      </c>
      <c r="AU163" s="229">
        <v>2.9645000000000001</v>
      </c>
      <c r="AV163" s="230">
        <v>3116500</v>
      </c>
      <c r="AW163" s="230">
        <v>781500</v>
      </c>
      <c r="AX163" s="230">
        <v>2335000</v>
      </c>
      <c r="AY163" s="229">
        <v>2.9878</v>
      </c>
      <c r="AZ163" s="230">
        <v>58000</v>
      </c>
      <c r="BA163" s="230">
        <v>18500</v>
      </c>
      <c r="BB163" s="230">
        <v>39500</v>
      </c>
      <c r="BC163" s="229">
        <v>2.1351</v>
      </c>
      <c r="BD163" s="230">
        <v>9000</v>
      </c>
      <c r="BE163" s="230">
        <v>3000</v>
      </c>
      <c r="BF163" s="230">
        <v>6000</v>
      </c>
      <c r="BG163" s="229">
        <v>2</v>
      </c>
      <c r="BH163" s="230">
        <v>7217500</v>
      </c>
      <c r="BI163" s="230">
        <v>899000</v>
      </c>
      <c r="BJ163" s="230">
        <v>6318500</v>
      </c>
      <c r="BK163" s="229">
        <v>7.0284000000000004</v>
      </c>
      <c r="BL163" s="230">
        <v>2689000</v>
      </c>
      <c r="BM163" s="230">
        <v>552000</v>
      </c>
      <c r="BN163" s="230">
        <v>2137000</v>
      </c>
      <c r="BO163" s="229">
        <v>3.8714</v>
      </c>
      <c r="BP163" s="230">
        <v>13090000</v>
      </c>
      <c r="BQ163" s="230">
        <v>2254000</v>
      </c>
      <c r="BR163" s="230">
        <v>10836000</v>
      </c>
      <c r="BS163" s="229">
        <v>4.8075000000000001</v>
      </c>
      <c r="BT163" s="230">
        <v>2315001</v>
      </c>
      <c r="BU163" s="230">
        <v>638901</v>
      </c>
      <c r="BV163" s="230">
        <v>1676100</v>
      </c>
      <c r="BW163" s="229">
        <v>2.6234000000000002</v>
      </c>
      <c r="BX163" s="230">
        <v>7711500</v>
      </c>
      <c r="BY163" s="230">
        <v>7111500</v>
      </c>
      <c r="BZ163" s="230">
        <v>600000</v>
      </c>
      <c r="CA163" s="229">
        <v>8.4400000000000003E-2</v>
      </c>
      <c r="CB163" s="230">
        <v>7625000</v>
      </c>
      <c r="CC163" s="230">
        <v>7027000</v>
      </c>
      <c r="CD163" s="230">
        <v>598000</v>
      </c>
      <c r="CE163" s="229">
        <v>8.5099999999999995E-2</v>
      </c>
      <c r="CF163" s="230">
        <v>73000</v>
      </c>
      <c r="CG163" s="230">
        <v>67500</v>
      </c>
      <c r="CH163" s="230">
        <v>5500</v>
      </c>
      <c r="CI163" s="229">
        <v>8.1500000000000003E-2</v>
      </c>
      <c r="CJ163" s="230">
        <v>13500</v>
      </c>
      <c r="CK163" s="230">
        <v>17000</v>
      </c>
      <c r="CL163" s="230">
        <v>-3500</v>
      </c>
      <c r="CM163" s="229">
        <v>-0.2059</v>
      </c>
      <c r="CN163" s="230">
        <v>1664000</v>
      </c>
      <c r="CO163" s="230">
        <v>1259500</v>
      </c>
      <c r="CP163" s="230">
        <v>404500</v>
      </c>
      <c r="CQ163" s="229">
        <v>0.32119999999999999</v>
      </c>
      <c r="CR163" s="230">
        <v>944500</v>
      </c>
      <c r="CS163" s="230">
        <v>762000</v>
      </c>
      <c r="CT163" s="230">
        <v>182500</v>
      </c>
      <c r="CU163" s="229">
        <v>0.23949999999999999</v>
      </c>
      <c r="CV163" s="230">
        <v>10320000</v>
      </c>
      <c r="CW163" s="230">
        <v>9133000</v>
      </c>
      <c r="CX163" s="230">
        <v>1187000</v>
      </c>
      <c r="CY163" s="229">
        <v>0.13</v>
      </c>
      <c r="CZ163" s="228">
        <v>29.33</v>
      </c>
      <c r="DA163" s="228">
        <v>28.39</v>
      </c>
      <c r="DB163" s="228">
        <v>0.94</v>
      </c>
      <c r="DC163" s="228">
        <v>0.94</v>
      </c>
      <c r="DD163" s="228">
        <v>26.31</v>
      </c>
      <c r="DE163" s="228">
        <v>25.74</v>
      </c>
      <c r="DF163" s="228">
        <v>3.02</v>
      </c>
      <c r="DG163" s="228">
        <v>0.56999999999999995</v>
      </c>
      <c r="DH163" s="228">
        <v>28.98</v>
      </c>
      <c r="DI163" s="228">
        <v>27.94</v>
      </c>
      <c r="DJ163" s="228">
        <v>1.04</v>
      </c>
      <c r="DK163" s="228">
        <v>1.04</v>
      </c>
      <c r="DL163" s="228">
        <v>30.27</v>
      </c>
      <c r="DM163" s="228">
        <v>29.14</v>
      </c>
      <c r="DN163" s="228">
        <v>1.1299999999999999</v>
      </c>
      <c r="DO163" s="228">
        <v>1.1299999999999999</v>
      </c>
      <c r="DP163" s="228">
        <v>0.56999999999999995</v>
      </c>
      <c r="DQ163" s="228">
        <v>0.61</v>
      </c>
      <c r="DR163" s="228">
        <v>-0.04</v>
      </c>
      <c r="DS163" s="229">
        <v>-6.5600000000000006E-2</v>
      </c>
      <c r="DT163" s="231">
        <v>1400</v>
      </c>
      <c r="DU163" s="231">
        <v>1400</v>
      </c>
      <c r="DV163" s="228">
        <v>0.37</v>
      </c>
      <c r="DW163" s="228">
        <v>0.61</v>
      </c>
      <c r="DX163" s="228">
        <v>-0.24</v>
      </c>
      <c r="DY163" s="229">
        <v>-0.39340000000000003</v>
      </c>
      <c r="DZ163" s="229">
        <v>1.12E-2</v>
      </c>
      <c r="EA163" s="230">
        <v>84500</v>
      </c>
      <c r="EB163" s="229">
        <v>7.1999999999999998E-3</v>
      </c>
      <c r="EC163" s="229">
        <v>1.12E-2</v>
      </c>
      <c r="ED163" s="228">
        <v>10.61</v>
      </c>
      <c r="EE163" s="229">
        <v>7.4999999999999997E-3</v>
      </c>
      <c r="EF163" s="230">
        <v>1154491</v>
      </c>
      <c r="EG163" s="230">
        <v>379587</v>
      </c>
      <c r="EH163" s="229">
        <v>2.0413999999999999</v>
      </c>
      <c r="EI163" s="229">
        <v>0.49869999999999998</v>
      </c>
      <c r="EJ163" s="231">
        <v>106827.4</v>
      </c>
      <c r="EK163" s="231">
        <v>37574.160000000003</v>
      </c>
      <c r="EL163" s="231">
        <v>45201.65</v>
      </c>
      <c r="EM163" s="231">
        <v>1938</v>
      </c>
      <c r="EN163" s="231">
        <v>189603.21</v>
      </c>
      <c r="EO163" s="231">
        <v>31480.09</v>
      </c>
      <c r="EP163" s="231">
        <v>158123.12</v>
      </c>
      <c r="EQ163" s="229">
        <v>5.0229999999999997</v>
      </c>
      <c r="ER163" s="231">
        <v>24404</v>
      </c>
      <c r="ES163" s="231">
        <v>12867</v>
      </c>
      <c r="ET163" s="231">
        <v>110383</v>
      </c>
      <c r="EU163" s="231">
        <v>31214205</v>
      </c>
      <c r="EV163" s="231">
        <v>147655</v>
      </c>
      <c r="EW163" s="231">
        <v>126106</v>
      </c>
      <c r="EX163" s="231">
        <v>21549</v>
      </c>
      <c r="EY163" s="229">
        <v>0.1709</v>
      </c>
      <c r="EZ163" s="229">
        <v>0.3306</v>
      </c>
      <c r="FA163" s="227" t="s">
        <v>555</v>
      </c>
      <c r="FB163" s="161">
        <f t="shared" si="4"/>
        <v>0</v>
      </c>
    </row>
    <row r="164" spans="1:158" ht="17.25" thickBot="1" x14ac:dyDescent="0.3">
      <c r="A164" s="226">
        <v>46148</v>
      </c>
      <c r="B164" s="227" t="s">
        <v>498</v>
      </c>
      <c r="C164" s="227" t="s">
        <v>483</v>
      </c>
      <c r="D164" s="228">
        <v>175</v>
      </c>
      <c r="E164" s="231">
        <v>3091.6</v>
      </c>
      <c r="F164" s="231">
        <v>3027</v>
      </c>
      <c r="G164" s="228">
        <v>64.599999999999994</v>
      </c>
      <c r="H164" s="229">
        <v>2.1299999999999999E-2</v>
      </c>
      <c r="I164" s="231">
        <v>3071</v>
      </c>
      <c r="J164" s="231">
        <v>3014.3</v>
      </c>
      <c r="K164" s="228">
        <v>56.7</v>
      </c>
      <c r="L164" s="229">
        <v>1.8800000000000001E-2</v>
      </c>
      <c r="M164" s="231">
        <v>3091.6</v>
      </c>
      <c r="N164" s="231">
        <v>3027</v>
      </c>
      <c r="O164" s="228">
        <v>64.599999999999994</v>
      </c>
      <c r="P164" s="229">
        <v>2.1299999999999999E-2</v>
      </c>
      <c r="Q164" s="231">
        <v>3075.3</v>
      </c>
      <c r="R164" s="231">
        <v>3016.4</v>
      </c>
      <c r="S164" s="228">
        <v>58.9</v>
      </c>
      <c r="T164" s="229">
        <v>1.95E-2</v>
      </c>
      <c r="U164" s="231">
        <v>3066.4</v>
      </c>
      <c r="V164" s="231">
        <v>2981.2</v>
      </c>
      <c r="W164" s="228">
        <v>85.2</v>
      </c>
      <c r="X164" s="229">
        <v>2.86E-2</v>
      </c>
      <c r="Y164" s="228">
        <v>20.6</v>
      </c>
      <c r="Z164" s="228">
        <v>12.7</v>
      </c>
      <c r="AA164" s="228">
        <v>7.9</v>
      </c>
      <c r="AB164" s="229">
        <v>6.7000000000000002E-3</v>
      </c>
      <c r="AC164" s="228">
        <v>20.6</v>
      </c>
      <c r="AD164" s="228">
        <v>12.7</v>
      </c>
      <c r="AE164" s="228">
        <v>7.9</v>
      </c>
      <c r="AF164" s="229">
        <v>6.7000000000000002E-3</v>
      </c>
      <c r="AG164" s="228">
        <v>4.3</v>
      </c>
      <c r="AH164" s="228">
        <v>2.1</v>
      </c>
      <c r="AI164" s="228">
        <v>2.2000000000000002</v>
      </c>
      <c r="AJ164" s="229">
        <v>1.4E-3</v>
      </c>
      <c r="AK164" s="228">
        <v>-4.5999999999999996</v>
      </c>
      <c r="AL164" s="228">
        <v>-33.1</v>
      </c>
      <c r="AM164" s="228">
        <v>28.5</v>
      </c>
      <c r="AN164" s="229">
        <v>-1.5E-3</v>
      </c>
      <c r="AO164" s="231">
        <v>3083.38</v>
      </c>
      <c r="AP164" s="231">
        <v>3065.73</v>
      </c>
      <c r="AQ164" s="228">
        <v>0</v>
      </c>
      <c r="AR164" s="230">
        <v>557025</v>
      </c>
      <c r="AS164" s="230">
        <v>260750</v>
      </c>
      <c r="AT164" s="230">
        <v>296275</v>
      </c>
      <c r="AU164" s="229">
        <v>1.1362000000000001</v>
      </c>
      <c r="AV164" s="230">
        <v>516950</v>
      </c>
      <c r="AW164" s="230">
        <v>251650</v>
      </c>
      <c r="AX164" s="230">
        <v>265300</v>
      </c>
      <c r="AY164" s="229">
        <v>1.0542</v>
      </c>
      <c r="AZ164" s="230">
        <v>34125</v>
      </c>
      <c r="BA164" s="230">
        <v>8400</v>
      </c>
      <c r="BB164" s="230">
        <v>25725</v>
      </c>
      <c r="BC164" s="229">
        <v>3.0625</v>
      </c>
      <c r="BD164" s="230">
        <v>5950</v>
      </c>
      <c r="BE164" s="228">
        <v>700</v>
      </c>
      <c r="BF164" s="230">
        <v>5250</v>
      </c>
      <c r="BG164" s="229">
        <v>7.5</v>
      </c>
      <c r="BH164" s="230">
        <v>916475</v>
      </c>
      <c r="BI164" s="230">
        <v>455875</v>
      </c>
      <c r="BJ164" s="230">
        <v>460600</v>
      </c>
      <c r="BK164" s="229">
        <v>1.0104</v>
      </c>
      <c r="BL164" s="230">
        <v>260225</v>
      </c>
      <c r="BM164" s="230">
        <v>142450</v>
      </c>
      <c r="BN164" s="230">
        <v>117775</v>
      </c>
      <c r="BO164" s="229">
        <v>0.82679999999999998</v>
      </c>
      <c r="BP164" s="230">
        <v>1733725</v>
      </c>
      <c r="BQ164" s="230">
        <v>859075</v>
      </c>
      <c r="BR164" s="230">
        <v>874650</v>
      </c>
      <c r="BS164" s="229">
        <v>1.0181</v>
      </c>
      <c r="BT164" s="230">
        <v>322641</v>
      </c>
      <c r="BU164" s="230">
        <v>191446</v>
      </c>
      <c r="BV164" s="230">
        <v>131195</v>
      </c>
      <c r="BW164" s="229">
        <v>0.68530000000000002</v>
      </c>
      <c r="BX164" s="230">
        <v>2767800</v>
      </c>
      <c r="BY164" s="230">
        <v>2724925</v>
      </c>
      <c r="BZ164" s="230">
        <v>42875</v>
      </c>
      <c r="CA164" s="229">
        <v>1.5699999999999999E-2</v>
      </c>
      <c r="CB164" s="230">
        <v>2695525</v>
      </c>
      <c r="CC164" s="230">
        <v>2665425</v>
      </c>
      <c r="CD164" s="230">
        <v>30100</v>
      </c>
      <c r="CE164" s="229">
        <v>1.1299999999999999E-2</v>
      </c>
      <c r="CF164" s="230">
        <v>63525</v>
      </c>
      <c r="CG164" s="230">
        <v>55125</v>
      </c>
      <c r="CH164" s="230">
        <v>8400</v>
      </c>
      <c r="CI164" s="229">
        <v>0.15240000000000001</v>
      </c>
      <c r="CJ164" s="230">
        <v>8750</v>
      </c>
      <c r="CK164" s="230">
        <v>4375</v>
      </c>
      <c r="CL164" s="230">
        <v>4375</v>
      </c>
      <c r="CM164" s="229">
        <v>1</v>
      </c>
      <c r="CN164" s="230">
        <v>994350</v>
      </c>
      <c r="CO164" s="230">
        <v>984200</v>
      </c>
      <c r="CP164" s="230">
        <v>10150</v>
      </c>
      <c r="CQ164" s="229">
        <v>1.03E-2</v>
      </c>
      <c r="CR164" s="230">
        <v>513275</v>
      </c>
      <c r="CS164" s="230">
        <v>528850</v>
      </c>
      <c r="CT164" s="230">
        <v>-15575</v>
      </c>
      <c r="CU164" s="229">
        <v>-2.9499999999999998E-2</v>
      </c>
      <c r="CV164" s="230">
        <v>4275425</v>
      </c>
      <c r="CW164" s="230">
        <v>4237975</v>
      </c>
      <c r="CX164" s="230">
        <v>37450</v>
      </c>
      <c r="CY164" s="229">
        <v>8.8000000000000005E-3</v>
      </c>
      <c r="CZ164" s="228">
        <v>34.979999999999997</v>
      </c>
      <c r="DA164" s="228">
        <v>34.92</v>
      </c>
      <c r="DB164" s="228">
        <v>0.06</v>
      </c>
      <c r="DC164" s="228">
        <v>0.06</v>
      </c>
      <c r="DD164" s="228">
        <v>31.26</v>
      </c>
      <c r="DE164" s="228">
        <v>31.21</v>
      </c>
      <c r="DF164" s="228">
        <v>3.72</v>
      </c>
      <c r="DG164" s="228">
        <v>0.05</v>
      </c>
      <c r="DH164" s="228">
        <v>34.86</v>
      </c>
      <c r="DI164" s="228">
        <v>34.79</v>
      </c>
      <c r="DJ164" s="228">
        <v>7.0000000000000007E-2</v>
      </c>
      <c r="DK164" s="228">
        <v>7.0000000000000007E-2</v>
      </c>
      <c r="DL164" s="228">
        <v>35.4</v>
      </c>
      <c r="DM164" s="228">
        <v>35.340000000000003</v>
      </c>
      <c r="DN164" s="228">
        <v>0.06</v>
      </c>
      <c r="DO164" s="228">
        <v>0.06</v>
      </c>
      <c r="DP164" s="228">
        <v>0.52</v>
      </c>
      <c r="DQ164" s="228">
        <v>0.54</v>
      </c>
      <c r="DR164" s="228">
        <v>-0.02</v>
      </c>
      <c r="DS164" s="229">
        <v>-3.6999999999999998E-2</v>
      </c>
      <c r="DT164" s="231">
        <v>3480</v>
      </c>
      <c r="DU164" s="231">
        <v>3000</v>
      </c>
      <c r="DV164" s="228">
        <v>0.28000000000000003</v>
      </c>
      <c r="DW164" s="228">
        <v>0.31</v>
      </c>
      <c r="DX164" s="228">
        <v>-0.03</v>
      </c>
      <c r="DY164" s="229">
        <v>-9.6799999999999997E-2</v>
      </c>
      <c r="DZ164" s="229">
        <v>2.6100000000000002E-2</v>
      </c>
      <c r="EA164" s="230">
        <v>59500</v>
      </c>
      <c r="EB164" s="229">
        <v>-5.3E-3</v>
      </c>
      <c r="EC164" s="229">
        <v>2.6100000000000002E-2</v>
      </c>
      <c r="ED164" s="228">
        <v>-17.649999999999999</v>
      </c>
      <c r="EE164" s="229">
        <v>-5.7000000000000002E-3</v>
      </c>
      <c r="EF164" s="230">
        <v>166780</v>
      </c>
      <c r="EG164" s="230">
        <v>81682</v>
      </c>
      <c r="EH164" s="229">
        <v>1.0418000000000001</v>
      </c>
      <c r="EI164" s="229">
        <v>0.51690000000000003</v>
      </c>
      <c r="EJ164" s="231">
        <v>29905.200000000001</v>
      </c>
      <c r="EK164" s="231">
        <v>8056.48</v>
      </c>
      <c r="EL164" s="231">
        <v>17166.96</v>
      </c>
      <c r="EM164" s="231">
        <v>1927</v>
      </c>
      <c r="EN164" s="231">
        <v>55128.639999999999</v>
      </c>
      <c r="EO164" s="231">
        <v>27286.42</v>
      </c>
      <c r="EP164" s="231">
        <v>27842.22</v>
      </c>
      <c r="EQ164" s="229">
        <v>1.0204</v>
      </c>
      <c r="ER164" s="231">
        <v>32477</v>
      </c>
      <c r="ES164" s="231">
        <v>15142</v>
      </c>
      <c r="ET164" s="231">
        <v>85557</v>
      </c>
      <c r="EU164" s="231">
        <v>8178275</v>
      </c>
      <c r="EV164" s="231">
        <v>133176</v>
      </c>
      <c r="EW164" s="231">
        <v>130099</v>
      </c>
      <c r="EX164" s="231">
        <v>3077</v>
      </c>
      <c r="EY164" s="229">
        <v>2.3699999999999999E-2</v>
      </c>
      <c r="EZ164" s="229">
        <v>0.52280000000000004</v>
      </c>
      <c r="FA164" s="227" t="s">
        <v>555</v>
      </c>
      <c r="FB164" s="161">
        <f t="shared" si="4"/>
        <v>0</v>
      </c>
    </row>
    <row r="165" spans="1:158" ht="17.25" thickBot="1" x14ac:dyDescent="0.3">
      <c r="A165" s="226">
        <v>46148</v>
      </c>
      <c r="B165" s="227" t="s">
        <v>172</v>
      </c>
      <c r="C165" s="227" t="s">
        <v>275</v>
      </c>
      <c r="D165" s="228">
        <v>8000</v>
      </c>
      <c r="E165" s="228">
        <v>110.95</v>
      </c>
      <c r="F165" s="228">
        <v>108.16</v>
      </c>
      <c r="G165" s="228">
        <v>2.79</v>
      </c>
      <c r="H165" s="229">
        <v>2.58E-2</v>
      </c>
      <c r="I165" s="228">
        <v>110.18</v>
      </c>
      <c r="J165" s="228">
        <v>107.89</v>
      </c>
      <c r="K165" s="228">
        <v>2.29</v>
      </c>
      <c r="L165" s="229">
        <v>2.12E-2</v>
      </c>
      <c r="M165" s="228">
        <v>110.95</v>
      </c>
      <c r="N165" s="228">
        <v>108.16</v>
      </c>
      <c r="O165" s="228">
        <v>2.79</v>
      </c>
      <c r="P165" s="229">
        <v>2.58E-2</v>
      </c>
      <c r="Q165" s="228">
        <v>111.53</v>
      </c>
      <c r="R165" s="228">
        <v>108.95</v>
      </c>
      <c r="S165" s="228">
        <v>2.58</v>
      </c>
      <c r="T165" s="229">
        <v>2.3699999999999999E-2</v>
      </c>
      <c r="U165" s="228">
        <v>112.19</v>
      </c>
      <c r="V165" s="228">
        <v>109.37</v>
      </c>
      <c r="W165" s="228">
        <v>2.82</v>
      </c>
      <c r="X165" s="229">
        <v>2.58E-2</v>
      </c>
      <c r="Y165" s="228">
        <v>0.77</v>
      </c>
      <c r="Z165" s="228">
        <v>0.27</v>
      </c>
      <c r="AA165" s="228">
        <v>0.5</v>
      </c>
      <c r="AB165" s="229">
        <v>7.0000000000000001E-3</v>
      </c>
      <c r="AC165" s="228">
        <v>0.77</v>
      </c>
      <c r="AD165" s="228">
        <v>0.27</v>
      </c>
      <c r="AE165" s="228">
        <v>0.5</v>
      </c>
      <c r="AF165" s="229">
        <v>7.0000000000000001E-3</v>
      </c>
      <c r="AG165" s="228">
        <v>1.35</v>
      </c>
      <c r="AH165" s="228">
        <v>1.06</v>
      </c>
      <c r="AI165" s="228">
        <v>0.28999999999999998</v>
      </c>
      <c r="AJ165" s="229">
        <v>1.23E-2</v>
      </c>
      <c r="AK165" s="228">
        <v>2.0099999999999998</v>
      </c>
      <c r="AL165" s="228">
        <v>1.48</v>
      </c>
      <c r="AM165" s="228">
        <v>0.53</v>
      </c>
      <c r="AN165" s="229">
        <v>1.8200000000000001E-2</v>
      </c>
      <c r="AO165" s="228">
        <v>110.45</v>
      </c>
      <c r="AP165" s="228">
        <v>111.15</v>
      </c>
      <c r="AQ165" s="228">
        <v>0</v>
      </c>
      <c r="AR165" s="230">
        <v>79936000</v>
      </c>
      <c r="AS165" s="230">
        <v>143328000</v>
      </c>
      <c r="AT165" s="230">
        <v>-63392000</v>
      </c>
      <c r="AU165" s="229">
        <v>-0.44230000000000003</v>
      </c>
      <c r="AV165" s="230">
        <v>71736000</v>
      </c>
      <c r="AW165" s="230">
        <v>136352000</v>
      </c>
      <c r="AX165" s="230">
        <v>-64616000</v>
      </c>
      <c r="AY165" s="229">
        <v>-0.47389999999999999</v>
      </c>
      <c r="AZ165" s="230">
        <v>7328000</v>
      </c>
      <c r="BA165" s="230">
        <v>6120000</v>
      </c>
      <c r="BB165" s="230">
        <v>1208000</v>
      </c>
      <c r="BC165" s="229">
        <v>0.19739999999999999</v>
      </c>
      <c r="BD165" s="230">
        <v>872000</v>
      </c>
      <c r="BE165" s="230">
        <v>856000</v>
      </c>
      <c r="BF165" s="230">
        <v>16000</v>
      </c>
      <c r="BG165" s="229">
        <v>1.8700000000000001E-2</v>
      </c>
      <c r="BH165" s="230">
        <v>228256000</v>
      </c>
      <c r="BI165" s="230">
        <v>387256000</v>
      </c>
      <c r="BJ165" s="230">
        <v>-159000000</v>
      </c>
      <c r="BK165" s="229">
        <v>-0.41060000000000002</v>
      </c>
      <c r="BL165" s="230">
        <v>153136000</v>
      </c>
      <c r="BM165" s="230">
        <v>241128000</v>
      </c>
      <c r="BN165" s="230">
        <v>-87992000</v>
      </c>
      <c r="BO165" s="229">
        <v>-0.3649</v>
      </c>
      <c r="BP165" s="230">
        <v>461328000</v>
      </c>
      <c r="BQ165" s="230">
        <v>771712000</v>
      </c>
      <c r="BR165" s="230">
        <v>-310384000</v>
      </c>
      <c r="BS165" s="229">
        <v>-0.4022</v>
      </c>
      <c r="BT165" s="230">
        <v>46628416</v>
      </c>
      <c r="BU165" s="230">
        <v>59830881</v>
      </c>
      <c r="BV165" s="230">
        <v>-13202465</v>
      </c>
      <c r="BW165" s="229">
        <v>-0.22070000000000001</v>
      </c>
      <c r="BX165" s="230">
        <v>296080000</v>
      </c>
      <c r="BY165" s="230">
        <v>290664000</v>
      </c>
      <c r="BZ165" s="230">
        <v>5416000</v>
      </c>
      <c r="CA165" s="229">
        <v>1.8599999999999998E-2</v>
      </c>
      <c r="CB165" s="230">
        <v>271944000</v>
      </c>
      <c r="CC165" s="230">
        <v>268048000</v>
      </c>
      <c r="CD165" s="230">
        <v>3896000</v>
      </c>
      <c r="CE165" s="229">
        <v>1.4500000000000001E-2</v>
      </c>
      <c r="CF165" s="230">
        <v>22904000</v>
      </c>
      <c r="CG165" s="230">
        <v>21552000</v>
      </c>
      <c r="CH165" s="230">
        <v>1352000</v>
      </c>
      <c r="CI165" s="229">
        <v>6.2700000000000006E-2</v>
      </c>
      <c r="CJ165" s="230">
        <v>1232000</v>
      </c>
      <c r="CK165" s="230">
        <v>1064000</v>
      </c>
      <c r="CL165" s="230">
        <v>168000</v>
      </c>
      <c r="CM165" s="229">
        <v>0.15790000000000001</v>
      </c>
      <c r="CN165" s="230">
        <v>105928000</v>
      </c>
      <c r="CO165" s="230">
        <v>101864000</v>
      </c>
      <c r="CP165" s="230">
        <v>4064000</v>
      </c>
      <c r="CQ165" s="229">
        <v>3.9899999999999998E-2</v>
      </c>
      <c r="CR165" s="230">
        <v>72488000</v>
      </c>
      <c r="CS165" s="230">
        <v>68576000</v>
      </c>
      <c r="CT165" s="230">
        <v>3912000</v>
      </c>
      <c r="CU165" s="229">
        <v>5.7000000000000002E-2</v>
      </c>
      <c r="CV165" s="230">
        <v>474496000</v>
      </c>
      <c r="CW165" s="230">
        <v>461104000</v>
      </c>
      <c r="CX165" s="230">
        <v>13392000</v>
      </c>
      <c r="CY165" s="229">
        <v>2.9000000000000001E-2</v>
      </c>
      <c r="CZ165" s="228">
        <v>32.590000000000003</v>
      </c>
      <c r="DA165" s="228">
        <v>34.450000000000003</v>
      </c>
      <c r="DB165" s="228">
        <v>-1.86</v>
      </c>
      <c r="DC165" s="228">
        <v>-1.86</v>
      </c>
      <c r="DD165" s="228">
        <v>37.36</v>
      </c>
      <c r="DE165" s="228">
        <v>37.29</v>
      </c>
      <c r="DF165" s="228">
        <v>-4.7699999999999996</v>
      </c>
      <c r="DG165" s="228">
        <v>7.0000000000000007E-2</v>
      </c>
      <c r="DH165" s="228">
        <v>32.61</v>
      </c>
      <c r="DI165" s="228">
        <v>34.93</v>
      </c>
      <c r="DJ165" s="228">
        <v>-2.3199999999999998</v>
      </c>
      <c r="DK165" s="228">
        <v>-2.3199999999999998</v>
      </c>
      <c r="DL165" s="228">
        <v>32.56</v>
      </c>
      <c r="DM165" s="228">
        <v>33.67</v>
      </c>
      <c r="DN165" s="228">
        <v>-1.1100000000000001</v>
      </c>
      <c r="DO165" s="228">
        <v>-1.1100000000000001</v>
      </c>
      <c r="DP165" s="228">
        <v>0.68</v>
      </c>
      <c r="DQ165" s="228">
        <v>0.67</v>
      </c>
      <c r="DR165" s="228">
        <v>0.01</v>
      </c>
      <c r="DS165" s="229">
        <v>1.49E-2</v>
      </c>
      <c r="DT165" s="228">
        <v>120</v>
      </c>
      <c r="DU165" s="228">
        <v>110</v>
      </c>
      <c r="DV165" s="228">
        <v>0.67</v>
      </c>
      <c r="DW165" s="228">
        <v>0.62</v>
      </c>
      <c r="DX165" s="228">
        <v>0.05</v>
      </c>
      <c r="DY165" s="229">
        <v>8.0600000000000005E-2</v>
      </c>
      <c r="DZ165" s="229">
        <v>8.1500000000000003E-2</v>
      </c>
      <c r="EA165" s="230">
        <v>22616000</v>
      </c>
      <c r="EB165" s="229">
        <v>5.1999999999999998E-3</v>
      </c>
      <c r="EC165" s="229">
        <v>8.1500000000000003E-2</v>
      </c>
      <c r="ED165" s="228">
        <v>0.7</v>
      </c>
      <c r="EE165" s="229">
        <v>6.3E-3</v>
      </c>
      <c r="EF165" s="230">
        <v>18236913</v>
      </c>
      <c r="EG165" s="230">
        <v>11657139</v>
      </c>
      <c r="EH165" s="229">
        <v>0.56440000000000001</v>
      </c>
      <c r="EI165" s="229">
        <v>0.3911</v>
      </c>
      <c r="EJ165" s="231">
        <v>265228.03999999998</v>
      </c>
      <c r="EK165" s="231">
        <v>166484.56</v>
      </c>
      <c r="EL165" s="231">
        <v>88353.95</v>
      </c>
      <c r="EM165" s="231">
        <v>7883</v>
      </c>
      <c r="EN165" s="231">
        <v>520066.55</v>
      </c>
      <c r="EO165" s="231">
        <v>865166.14</v>
      </c>
      <c r="EP165" s="231">
        <v>-345099.59</v>
      </c>
      <c r="EQ165" s="229">
        <v>-0.39889999999999998</v>
      </c>
      <c r="ER165" s="231">
        <v>123645</v>
      </c>
      <c r="ES165" s="231">
        <v>79093</v>
      </c>
      <c r="ET165" s="231">
        <v>328649</v>
      </c>
      <c r="EU165" s="231">
        <v>515822637</v>
      </c>
      <c r="EV165" s="231">
        <v>531387</v>
      </c>
      <c r="EW165" s="231">
        <v>508188</v>
      </c>
      <c r="EX165" s="231">
        <v>23199</v>
      </c>
      <c r="EY165" s="229">
        <v>4.5699999999999998E-2</v>
      </c>
      <c r="EZ165" s="229">
        <v>0.91990000000000005</v>
      </c>
      <c r="FA165" s="227" t="s">
        <v>555</v>
      </c>
      <c r="FB165" s="161">
        <f t="shared" si="4"/>
        <v>0</v>
      </c>
    </row>
    <row r="166" spans="1:158" ht="17.25" thickBot="1" x14ac:dyDescent="0.3">
      <c r="A166" s="226">
        <v>46148</v>
      </c>
      <c r="B166" s="227" t="s">
        <v>175</v>
      </c>
      <c r="C166" s="227" t="s">
        <v>667</v>
      </c>
      <c r="D166" s="228">
        <v>650</v>
      </c>
      <c r="E166" s="231">
        <v>1070.4000000000001</v>
      </c>
      <c r="F166" s="231">
        <v>1048.3</v>
      </c>
      <c r="G166" s="228">
        <v>22.1</v>
      </c>
      <c r="H166" s="229">
        <v>2.1100000000000001E-2</v>
      </c>
      <c r="I166" s="231">
        <v>1065.0999999999999</v>
      </c>
      <c r="J166" s="231">
        <v>1042.0999999999999</v>
      </c>
      <c r="K166" s="228">
        <v>23</v>
      </c>
      <c r="L166" s="229">
        <v>2.2100000000000002E-2</v>
      </c>
      <c r="M166" s="231">
        <v>1070.4000000000001</v>
      </c>
      <c r="N166" s="231">
        <v>1048.3</v>
      </c>
      <c r="O166" s="228">
        <v>22.1</v>
      </c>
      <c r="P166" s="229">
        <v>2.1100000000000001E-2</v>
      </c>
      <c r="Q166" s="231">
        <v>1075.9000000000001</v>
      </c>
      <c r="R166" s="231">
        <v>1054.2</v>
      </c>
      <c r="S166" s="228">
        <v>21.7</v>
      </c>
      <c r="T166" s="229">
        <v>2.06E-2</v>
      </c>
      <c r="U166" s="231">
        <v>1075.9000000000001</v>
      </c>
      <c r="V166" s="231">
        <v>1058</v>
      </c>
      <c r="W166" s="228">
        <v>17.899999999999999</v>
      </c>
      <c r="X166" s="229">
        <v>1.6899999999999998E-2</v>
      </c>
      <c r="Y166" s="228">
        <v>5.3</v>
      </c>
      <c r="Z166" s="228">
        <v>6.2</v>
      </c>
      <c r="AA166" s="228">
        <v>-0.9</v>
      </c>
      <c r="AB166" s="229">
        <v>5.0000000000000001E-3</v>
      </c>
      <c r="AC166" s="228">
        <v>5.3</v>
      </c>
      <c r="AD166" s="228">
        <v>6.2</v>
      </c>
      <c r="AE166" s="228">
        <v>-0.9</v>
      </c>
      <c r="AF166" s="229">
        <v>5.0000000000000001E-3</v>
      </c>
      <c r="AG166" s="228">
        <v>10.8</v>
      </c>
      <c r="AH166" s="228">
        <v>12.1</v>
      </c>
      <c r="AI166" s="228">
        <v>-1.3</v>
      </c>
      <c r="AJ166" s="229">
        <v>1.01E-2</v>
      </c>
      <c r="AK166" s="228">
        <v>10.8</v>
      </c>
      <c r="AL166" s="228">
        <v>15.9</v>
      </c>
      <c r="AM166" s="228">
        <v>-5.0999999999999996</v>
      </c>
      <c r="AN166" s="229">
        <v>1.01E-2</v>
      </c>
      <c r="AO166" s="231">
        <v>1064.18</v>
      </c>
      <c r="AP166" s="231">
        <v>1067.58</v>
      </c>
      <c r="AQ166" s="228">
        <v>0</v>
      </c>
      <c r="AR166" s="230">
        <v>1444300</v>
      </c>
      <c r="AS166" s="230">
        <v>809250</v>
      </c>
      <c r="AT166" s="230">
        <v>635050</v>
      </c>
      <c r="AU166" s="229">
        <v>0.78469999999999995</v>
      </c>
      <c r="AV166" s="230">
        <v>1405950</v>
      </c>
      <c r="AW166" s="230">
        <v>793000</v>
      </c>
      <c r="AX166" s="230">
        <v>612950</v>
      </c>
      <c r="AY166" s="229">
        <v>0.77300000000000002</v>
      </c>
      <c r="AZ166" s="230">
        <v>35100</v>
      </c>
      <c r="BA166" s="230">
        <v>16250</v>
      </c>
      <c r="BB166" s="230">
        <v>18850</v>
      </c>
      <c r="BC166" s="229">
        <v>1.1599999999999999</v>
      </c>
      <c r="BD166" s="230">
        <v>3250</v>
      </c>
      <c r="BE166" s="228">
        <v>0</v>
      </c>
      <c r="BF166" s="230">
        <v>3250</v>
      </c>
      <c r="BG166" s="229">
        <v>0</v>
      </c>
      <c r="BH166" s="230">
        <v>3251300</v>
      </c>
      <c r="BI166" s="230">
        <v>1286350</v>
      </c>
      <c r="BJ166" s="230">
        <v>1964950</v>
      </c>
      <c r="BK166" s="229">
        <v>1.5275000000000001</v>
      </c>
      <c r="BL166" s="230">
        <v>833300</v>
      </c>
      <c r="BM166" s="230">
        <v>425100</v>
      </c>
      <c r="BN166" s="230">
        <v>408200</v>
      </c>
      <c r="BO166" s="229">
        <v>0.96020000000000005</v>
      </c>
      <c r="BP166" s="230">
        <v>5528900</v>
      </c>
      <c r="BQ166" s="230">
        <v>2520700</v>
      </c>
      <c r="BR166" s="230">
        <v>3008200</v>
      </c>
      <c r="BS166" s="229">
        <v>1.1934</v>
      </c>
      <c r="BT166" s="230">
        <v>902965</v>
      </c>
      <c r="BU166" s="230">
        <v>910432</v>
      </c>
      <c r="BV166" s="230">
        <v>-7467</v>
      </c>
      <c r="BW166" s="229">
        <v>-8.2000000000000007E-3</v>
      </c>
      <c r="BX166" s="230">
        <v>10893350</v>
      </c>
      <c r="BY166" s="230">
        <v>10614500</v>
      </c>
      <c r="BZ166" s="230">
        <v>278850</v>
      </c>
      <c r="CA166" s="229">
        <v>2.63E-2</v>
      </c>
      <c r="CB166" s="230">
        <v>10827050</v>
      </c>
      <c r="CC166" s="230">
        <v>10559250</v>
      </c>
      <c r="CD166" s="230">
        <v>267800</v>
      </c>
      <c r="CE166" s="229">
        <v>2.5399999999999999E-2</v>
      </c>
      <c r="CF166" s="230">
        <v>63050</v>
      </c>
      <c r="CG166" s="230">
        <v>54600</v>
      </c>
      <c r="CH166" s="230">
        <v>8450</v>
      </c>
      <c r="CI166" s="229">
        <v>0.15479999999999999</v>
      </c>
      <c r="CJ166" s="230">
        <v>3250</v>
      </c>
      <c r="CK166" s="228">
        <v>650</v>
      </c>
      <c r="CL166" s="230">
        <v>2600</v>
      </c>
      <c r="CM166" s="229">
        <v>4</v>
      </c>
      <c r="CN166" s="230">
        <v>2245750</v>
      </c>
      <c r="CO166" s="230">
        <v>2002650</v>
      </c>
      <c r="CP166" s="230">
        <v>243100</v>
      </c>
      <c r="CQ166" s="229">
        <v>0.12139999999999999</v>
      </c>
      <c r="CR166" s="230">
        <v>1314950</v>
      </c>
      <c r="CS166" s="230">
        <v>1286350</v>
      </c>
      <c r="CT166" s="230">
        <v>28600</v>
      </c>
      <c r="CU166" s="229">
        <v>2.2200000000000001E-2</v>
      </c>
      <c r="CV166" s="230">
        <v>14454050</v>
      </c>
      <c r="CW166" s="230">
        <v>13903500</v>
      </c>
      <c r="CX166" s="230">
        <v>550550</v>
      </c>
      <c r="CY166" s="229">
        <v>3.9600000000000003E-2</v>
      </c>
      <c r="CZ166" s="228">
        <v>31.46</v>
      </c>
      <c r="DA166" s="228">
        <v>31.85</v>
      </c>
      <c r="DB166" s="228">
        <v>-0.39</v>
      </c>
      <c r="DC166" s="228">
        <v>-0.39</v>
      </c>
      <c r="DD166" s="228">
        <v>47.34</v>
      </c>
      <c r="DE166" s="228">
        <v>47.37</v>
      </c>
      <c r="DF166" s="228">
        <v>-15.88</v>
      </c>
      <c r="DG166" s="228">
        <v>-0.03</v>
      </c>
      <c r="DH166" s="228">
        <v>31.13</v>
      </c>
      <c r="DI166" s="228">
        <v>31.17</v>
      </c>
      <c r="DJ166" s="228">
        <v>-0.04</v>
      </c>
      <c r="DK166" s="228">
        <v>-0.04</v>
      </c>
      <c r="DL166" s="228">
        <v>32.71</v>
      </c>
      <c r="DM166" s="228">
        <v>33.880000000000003</v>
      </c>
      <c r="DN166" s="228">
        <v>-1.17</v>
      </c>
      <c r="DO166" s="228">
        <v>-1.17</v>
      </c>
      <c r="DP166" s="228">
        <v>0.59</v>
      </c>
      <c r="DQ166" s="228">
        <v>0.64</v>
      </c>
      <c r="DR166" s="228">
        <v>-0.05</v>
      </c>
      <c r="DS166" s="229">
        <v>-7.8100000000000003E-2</v>
      </c>
      <c r="DT166" s="231">
        <v>1140</v>
      </c>
      <c r="DU166" s="231">
        <v>1000</v>
      </c>
      <c r="DV166" s="228">
        <v>0.26</v>
      </c>
      <c r="DW166" s="228">
        <v>0.33</v>
      </c>
      <c r="DX166" s="228">
        <v>-7.0000000000000007E-2</v>
      </c>
      <c r="DY166" s="229">
        <v>-0.21210000000000001</v>
      </c>
      <c r="DZ166" s="229">
        <v>6.1000000000000004E-3</v>
      </c>
      <c r="EA166" s="230">
        <v>55250</v>
      </c>
      <c r="EB166" s="229">
        <v>5.1000000000000004E-3</v>
      </c>
      <c r="EC166" s="229">
        <v>6.1000000000000004E-3</v>
      </c>
      <c r="ED166" s="228">
        <v>3.4</v>
      </c>
      <c r="EE166" s="229">
        <v>3.2000000000000002E-3</v>
      </c>
      <c r="EF166" s="230">
        <v>486830</v>
      </c>
      <c r="EG166" s="230">
        <v>489424</v>
      </c>
      <c r="EH166" s="229">
        <v>-5.3E-3</v>
      </c>
      <c r="EI166" s="229">
        <v>0.53910000000000002</v>
      </c>
      <c r="EJ166" s="231">
        <v>36391.050000000003</v>
      </c>
      <c r="EK166" s="231">
        <v>8764.9699999999993</v>
      </c>
      <c r="EL166" s="231">
        <v>15371.25</v>
      </c>
      <c r="EM166" s="231">
        <v>1881</v>
      </c>
      <c r="EN166" s="231">
        <v>60527.27</v>
      </c>
      <c r="EO166" s="231">
        <v>27336.9</v>
      </c>
      <c r="EP166" s="231">
        <v>33190.370000000003</v>
      </c>
      <c r="EQ166" s="229">
        <v>1.2141</v>
      </c>
      <c r="ER166" s="231">
        <v>24483</v>
      </c>
      <c r="ES166" s="231">
        <v>12985</v>
      </c>
      <c r="ET166" s="231">
        <v>116606</v>
      </c>
      <c r="EU166" s="231">
        <v>28118603</v>
      </c>
      <c r="EV166" s="231">
        <v>154075</v>
      </c>
      <c r="EW166" s="231">
        <v>145661</v>
      </c>
      <c r="EX166" s="231">
        <v>8414</v>
      </c>
      <c r="EY166" s="229">
        <v>5.7799999999999997E-2</v>
      </c>
      <c r="EZ166" s="229">
        <v>0.51400000000000001</v>
      </c>
      <c r="FA166" s="227" t="s">
        <v>555</v>
      </c>
      <c r="FB166" s="161">
        <f t="shared" si="4"/>
        <v>0</v>
      </c>
    </row>
    <row r="167" spans="1:158" ht="17.25" thickBot="1" x14ac:dyDescent="0.3">
      <c r="A167" s="226">
        <v>46148</v>
      </c>
      <c r="B167" s="227" t="s">
        <v>614</v>
      </c>
      <c r="C167" s="227" t="s">
        <v>572</v>
      </c>
      <c r="D167" s="228">
        <v>350</v>
      </c>
      <c r="E167" s="231">
        <v>1714.1</v>
      </c>
      <c r="F167" s="231">
        <v>1689.7</v>
      </c>
      <c r="G167" s="228">
        <v>24.4</v>
      </c>
      <c r="H167" s="229">
        <v>1.44E-2</v>
      </c>
      <c r="I167" s="231">
        <v>1701.8</v>
      </c>
      <c r="J167" s="231">
        <v>1680.5</v>
      </c>
      <c r="K167" s="228">
        <v>21.3</v>
      </c>
      <c r="L167" s="229">
        <v>1.2699999999999999E-2</v>
      </c>
      <c r="M167" s="231">
        <v>1714.1</v>
      </c>
      <c r="N167" s="231">
        <v>1689.7</v>
      </c>
      <c r="O167" s="228">
        <v>24.4</v>
      </c>
      <c r="P167" s="229">
        <v>1.44E-2</v>
      </c>
      <c r="Q167" s="231">
        <v>1725.4</v>
      </c>
      <c r="R167" s="231">
        <v>1700.9</v>
      </c>
      <c r="S167" s="228">
        <v>24.5</v>
      </c>
      <c r="T167" s="229">
        <v>1.44E-2</v>
      </c>
      <c r="U167" s="231">
        <v>1685</v>
      </c>
      <c r="V167" s="231">
        <v>1685</v>
      </c>
      <c r="W167" s="228">
        <v>0</v>
      </c>
      <c r="X167" s="229">
        <v>0</v>
      </c>
      <c r="Y167" s="228">
        <v>12.3</v>
      </c>
      <c r="Z167" s="228">
        <v>9.1999999999999993</v>
      </c>
      <c r="AA167" s="228">
        <v>3.1</v>
      </c>
      <c r="AB167" s="229">
        <v>7.1999999999999998E-3</v>
      </c>
      <c r="AC167" s="228">
        <v>12.3</v>
      </c>
      <c r="AD167" s="228">
        <v>9.1999999999999993</v>
      </c>
      <c r="AE167" s="228">
        <v>3.1</v>
      </c>
      <c r="AF167" s="229">
        <v>7.1999999999999998E-3</v>
      </c>
      <c r="AG167" s="228">
        <v>23.6</v>
      </c>
      <c r="AH167" s="228">
        <v>20.399999999999999</v>
      </c>
      <c r="AI167" s="228">
        <v>3.2</v>
      </c>
      <c r="AJ167" s="229">
        <v>1.3899999999999999E-2</v>
      </c>
      <c r="AK167" s="228">
        <v>-16.8</v>
      </c>
      <c r="AL167" s="228">
        <v>4.5</v>
      </c>
      <c r="AM167" s="228">
        <v>-21.3</v>
      </c>
      <c r="AN167" s="229">
        <v>-9.9000000000000008E-3</v>
      </c>
      <c r="AO167" s="231">
        <v>1705.14</v>
      </c>
      <c r="AP167" s="231">
        <v>1715.09</v>
      </c>
      <c r="AQ167" s="228">
        <v>0</v>
      </c>
      <c r="AR167" s="230">
        <v>3270050</v>
      </c>
      <c r="AS167" s="230">
        <v>1062600</v>
      </c>
      <c r="AT167" s="230">
        <v>2207450</v>
      </c>
      <c r="AU167" s="229">
        <v>2.0773999999999999</v>
      </c>
      <c r="AV167" s="230">
        <v>3226650</v>
      </c>
      <c r="AW167" s="230">
        <v>1043700</v>
      </c>
      <c r="AX167" s="230">
        <v>2182950</v>
      </c>
      <c r="AY167" s="229">
        <v>2.0914999999999999</v>
      </c>
      <c r="AZ167" s="230">
        <v>43400</v>
      </c>
      <c r="BA167" s="230">
        <v>18900</v>
      </c>
      <c r="BB167" s="230">
        <v>24500</v>
      </c>
      <c r="BC167" s="229">
        <v>1.2963</v>
      </c>
      <c r="BD167" s="228">
        <v>0</v>
      </c>
      <c r="BE167" s="228">
        <v>0</v>
      </c>
      <c r="BF167" s="228">
        <v>0</v>
      </c>
      <c r="BG167" s="229">
        <v>0</v>
      </c>
      <c r="BH167" s="230">
        <v>6095600</v>
      </c>
      <c r="BI167" s="230">
        <v>1439900</v>
      </c>
      <c r="BJ167" s="230">
        <v>4655700</v>
      </c>
      <c r="BK167" s="229">
        <v>3.2332999999999998</v>
      </c>
      <c r="BL167" s="230">
        <v>3725050</v>
      </c>
      <c r="BM167" s="230">
        <v>609700</v>
      </c>
      <c r="BN167" s="230">
        <v>3115350</v>
      </c>
      <c r="BO167" s="229">
        <v>5.1096000000000004</v>
      </c>
      <c r="BP167" s="230">
        <v>13090700</v>
      </c>
      <c r="BQ167" s="230">
        <v>3112200</v>
      </c>
      <c r="BR167" s="230">
        <v>9978500</v>
      </c>
      <c r="BS167" s="229">
        <v>3.2063000000000001</v>
      </c>
      <c r="BT167" s="230">
        <v>1831955</v>
      </c>
      <c r="BU167" s="230">
        <v>532766</v>
      </c>
      <c r="BV167" s="230">
        <v>1299189</v>
      </c>
      <c r="BW167" s="229">
        <v>2.4386000000000001</v>
      </c>
      <c r="BX167" s="230">
        <v>8973650</v>
      </c>
      <c r="BY167" s="230">
        <v>8396150</v>
      </c>
      <c r="BZ167" s="230">
        <v>577500</v>
      </c>
      <c r="CA167" s="229">
        <v>6.88E-2</v>
      </c>
      <c r="CB167" s="230">
        <v>8793750</v>
      </c>
      <c r="CC167" s="230">
        <v>8223250</v>
      </c>
      <c r="CD167" s="230">
        <v>570500</v>
      </c>
      <c r="CE167" s="229">
        <v>6.9400000000000003E-2</v>
      </c>
      <c r="CF167" s="230">
        <v>178500</v>
      </c>
      <c r="CG167" s="230">
        <v>171500</v>
      </c>
      <c r="CH167" s="230">
        <v>7000</v>
      </c>
      <c r="CI167" s="229">
        <v>4.0800000000000003E-2</v>
      </c>
      <c r="CJ167" s="230">
        <v>1400</v>
      </c>
      <c r="CK167" s="230">
        <v>1400</v>
      </c>
      <c r="CL167" s="228">
        <v>0</v>
      </c>
      <c r="CM167" s="229">
        <v>0</v>
      </c>
      <c r="CN167" s="230">
        <v>1681400</v>
      </c>
      <c r="CO167" s="230">
        <v>1223950</v>
      </c>
      <c r="CP167" s="230">
        <v>457450</v>
      </c>
      <c r="CQ167" s="229">
        <v>0.37369999999999998</v>
      </c>
      <c r="CR167" s="230">
        <v>1064700</v>
      </c>
      <c r="CS167" s="230">
        <v>721350</v>
      </c>
      <c r="CT167" s="230">
        <v>343350</v>
      </c>
      <c r="CU167" s="229">
        <v>0.47599999999999998</v>
      </c>
      <c r="CV167" s="230">
        <v>11719750</v>
      </c>
      <c r="CW167" s="230">
        <v>10341450</v>
      </c>
      <c r="CX167" s="230">
        <v>1378300</v>
      </c>
      <c r="CY167" s="229">
        <v>0.1333</v>
      </c>
      <c r="CZ167" s="228">
        <v>44.09</v>
      </c>
      <c r="DA167" s="228">
        <v>43.52</v>
      </c>
      <c r="DB167" s="228">
        <v>0.56999999999999995</v>
      </c>
      <c r="DC167" s="228">
        <v>0.56999999999999995</v>
      </c>
      <c r="DD167" s="228">
        <v>44.95</v>
      </c>
      <c r="DE167" s="228">
        <v>45.02</v>
      </c>
      <c r="DF167" s="228">
        <v>-0.86</v>
      </c>
      <c r="DG167" s="228">
        <v>-7.0000000000000007E-2</v>
      </c>
      <c r="DH167" s="228">
        <v>43.7</v>
      </c>
      <c r="DI167" s="228">
        <v>43.07</v>
      </c>
      <c r="DJ167" s="228">
        <v>0.63</v>
      </c>
      <c r="DK167" s="228">
        <v>0.63</v>
      </c>
      <c r="DL167" s="228">
        <v>44.74</v>
      </c>
      <c r="DM167" s="228">
        <v>44.58</v>
      </c>
      <c r="DN167" s="228">
        <v>0.16</v>
      </c>
      <c r="DO167" s="228">
        <v>0.16</v>
      </c>
      <c r="DP167" s="228">
        <v>0.63</v>
      </c>
      <c r="DQ167" s="228">
        <v>0.59</v>
      </c>
      <c r="DR167" s="228">
        <v>0.04</v>
      </c>
      <c r="DS167" s="229">
        <v>6.7799999999999999E-2</v>
      </c>
      <c r="DT167" s="231">
        <v>1700</v>
      </c>
      <c r="DU167" s="231">
        <v>1660</v>
      </c>
      <c r="DV167" s="228">
        <v>0.61</v>
      </c>
      <c r="DW167" s="228">
        <v>0.42</v>
      </c>
      <c r="DX167" s="228">
        <v>0.19</v>
      </c>
      <c r="DY167" s="229">
        <v>0.45240000000000002</v>
      </c>
      <c r="DZ167" s="229">
        <v>0.02</v>
      </c>
      <c r="EA167" s="230">
        <v>172900</v>
      </c>
      <c r="EB167" s="229">
        <v>6.6E-3</v>
      </c>
      <c r="EC167" s="229">
        <v>0.02</v>
      </c>
      <c r="ED167" s="228">
        <v>9.9499999999999993</v>
      </c>
      <c r="EE167" s="229">
        <v>5.7999999999999996E-3</v>
      </c>
      <c r="EF167" s="230">
        <v>739088</v>
      </c>
      <c r="EG167" s="230">
        <v>192704</v>
      </c>
      <c r="EH167" s="229">
        <v>2.8353999999999999</v>
      </c>
      <c r="EI167" s="229">
        <v>0.40339999999999998</v>
      </c>
      <c r="EJ167" s="231">
        <v>109943.11</v>
      </c>
      <c r="EK167" s="231">
        <v>63479.77</v>
      </c>
      <c r="EL167" s="231">
        <v>55763.11</v>
      </c>
      <c r="EM167" s="231">
        <v>2537</v>
      </c>
      <c r="EN167" s="231">
        <v>229185.99</v>
      </c>
      <c r="EO167" s="231">
        <v>53971.32</v>
      </c>
      <c r="EP167" s="231">
        <v>175214.67</v>
      </c>
      <c r="EQ167" s="229">
        <v>3.2464</v>
      </c>
      <c r="ER167" s="231">
        <v>29345</v>
      </c>
      <c r="ES167" s="231">
        <v>17466</v>
      </c>
      <c r="ET167" s="231">
        <v>153837</v>
      </c>
      <c r="EU167" s="231">
        <v>69300607</v>
      </c>
      <c r="EV167" s="231">
        <v>200648</v>
      </c>
      <c r="EW167" s="231">
        <v>174990</v>
      </c>
      <c r="EX167" s="231">
        <v>25658</v>
      </c>
      <c r="EY167" s="229">
        <v>0.14660000000000001</v>
      </c>
      <c r="EZ167" s="229">
        <v>0.1691</v>
      </c>
      <c r="FA167" s="227" t="s">
        <v>555</v>
      </c>
      <c r="FB167" s="161">
        <f t="shared" si="4"/>
        <v>0</v>
      </c>
    </row>
    <row r="168" spans="1:158" ht="17.25" thickBot="1" x14ac:dyDescent="0.3">
      <c r="A168" s="226">
        <v>46148</v>
      </c>
      <c r="B168" s="227" t="s">
        <v>184</v>
      </c>
      <c r="C168" s="227" t="s">
        <v>519</v>
      </c>
      <c r="D168" s="228">
        <v>125</v>
      </c>
      <c r="E168" s="231">
        <v>8472</v>
      </c>
      <c r="F168" s="231">
        <v>8366.5</v>
      </c>
      <c r="G168" s="228">
        <v>105.5</v>
      </c>
      <c r="H168" s="229">
        <v>1.26E-2</v>
      </c>
      <c r="I168" s="231">
        <v>8415.5</v>
      </c>
      <c r="J168" s="231">
        <v>8337</v>
      </c>
      <c r="K168" s="228">
        <v>78.5</v>
      </c>
      <c r="L168" s="229">
        <v>9.4000000000000004E-3</v>
      </c>
      <c r="M168" s="231">
        <v>8472</v>
      </c>
      <c r="N168" s="231">
        <v>8366.5</v>
      </c>
      <c r="O168" s="228">
        <v>105.5</v>
      </c>
      <c r="P168" s="229">
        <v>1.26E-2</v>
      </c>
      <c r="Q168" s="231">
        <v>8470</v>
      </c>
      <c r="R168" s="231">
        <v>8379</v>
      </c>
      <c r="S168" s="228">
        <v>91</v>
      </c>
      <c r="T168" s="229">
        <v>1.09E-2</v>
      </c>
      <c r="U168" s="231">
        <v>8483.5</v>
      </c>
      <c r="V168" s="231">
        <v>8383</v>
      </c>
      <c r="W168" s="228">
        <v>100.5</v>
      </c>
      <c r="X168" s="229">
        <v>1.2E-2</v>
      </c>
      <c r="Y168" s="228">
        <v>56.5</v>
      </c>
      <c r="Z168" s="228">
        <v>29.5</v>
      </c>
      <c r="AA168" s="228">
        <v>27</v>
      </c>
      <c r="AB168" s="229">
        <v>6.7000000000000002E-3</v>
      </c>
      <c r="AC168" s="228">
        <v>56.5</v>
      </c>
      <c r="AD168" s="228">
        <v>29.5</v>
      </c>
      <c r="AE168" s="228">
        <v>27</v>
      </c>
      <c r="AF168" s="229">
        <v>6.7000000000000002E-3</v>
      </c>
      <c r="AG168" s="228">
        <v>54.5</v>
      </c>
      <c r="AH168" s="228">
        <v>42</v>
      </c>
      <c r="AI168" s="228">
        <v>12.5</v>
      </c>
      <c r="AJ168" s="229">
        <v>6.4999999999999997E-3</v>
      </c>
      <c r="AK168" s="228">
        <v>68</v>
      </c>
      <c r="AL168" s="228">
        <v>46</v>
      </c>
      <c r="AM168" s="228">
        <v>22</v>
      </c>
      <c r="AN168" s="229">
        <v>8.0999999999999996E-3</v>
      </c>
      <c r="AO168" s="231">
        <v>8486.9</v>
      </c>
      <c r="AP168" s="231">
        <v>8493.25</v>
      </c>
      <c r="AQ168" s="228">
        <v>0</v>
      </c>
      <c r="AR168" s="230">
        <v>1585875</v>
      </c>
      <c r="AS168" s="230">
        <v>896500</v>
      </c>
      <c r="AT168" s="230">
        <v>689375</v>
      </c>
      <c r="AU168" s="229">
        <v>0.76900000000000002</v>
      </c>
      <c r="AV168" s="230">
        <v>1521750</v>
      </c>
      <c r="AW168" s="230">
        <v>869250</v>
      </c>
      <c r="AX168" s="230">
        <v>652500</v>
      </c>
      <c r="AY168" s="229">
        <v>0.75060000000000004</v>
      </c>
      <c r="AZ168" s="230">
        <v>59625</v>
      </c>
      <c r="BA168" s="230">
        <v>26750</v>
      </c>
      <c r="BB168" s="230">
        <v>32875</v>
      </c>
      <c r="BC168" s="229">
        <v>1.2290000000000001</v>
      </c>
      <c r="BD168" s="230">
        <v>4500</v>
      </c>
      <c r="BE168" s="228">
        <v>500</v>
      </c>
      <c r="BF168" s="230">
        <v>4000</v>
      </c>
      <c r="BG168" s="229">
        <v>8</v>
      </c>
      <c r="BH168" s="230">
        <v>5698750</v>
      </c>
      <c r="BI168" s="230">
        <v>1893500</v>
      </c>
      <c r="BJ168" s="230">
        <v>3805250</v>
      </c>
      <c r="BK168" s="229">
        <v>2.0095999999999998</v>
      </c>
      <c r="BL168" s="230">
        <v>3505875</v>
      </c>
      <c r="BM168" s="230">
        <v>1000750</v>
      </c>
      <c r="BN168" s="230">
        <v>2505125</v>
      </c>
      <c r="BO168" s="229">
        <v>2.5032000000000001</v>
      </c>
      <c r="BP168" s="230">
        <v>10790500</v>
      </c>
      <c r="BQ168" s="230">
        <v>3790750</v>
      </c>
      <c r="BR168" s="230">
        <v>6999750</v>
      </c>
      <c r="BS168" s="229">
        <v>1.8465</v>
      </c>
      <c r="BT168" s="230">
        <v>1121829</v>
      </c>
      <c r="BU168" s="230">
        <v>478037</v>
      </c>
      <c r="BV168" s="230">
        <v>643792</v>
      </c>
      <c r="BW168" s="229">
        <v>1.3467</v>
      </c>
      <c r="BX168" s="230">
        <v>2063875</v>
      </c>
      <c r="BY168" s="230">
        <v>1982375</v>
      </c>
      <c r="BZ168" s="230">
        <v>81500</v>
      </c>
      <c r="CA168" s="229">
        <v>4.1099999999999998E-2</v>
      </c>
      <c r="CB168" s="230">
        <v>2023125</v>
      </c>
      <c r="CC168" s="230">
        <v>1950625</v>
      </c>
      <c r="CD168" s="230">
        <v>72500</v>
      </c>
      <c r="CE168" s="229">
        <v>3.7199999999999997E-2</v>
      </c>
      <c r="CF168" s="230">
        <v>37500</v>
      </c>
      <c r="CG168" s="230">
        <v>30000</v>
      </c>
      <c r="CH168" s="230">
        <v>7500</v>
      </c>
      <c r="CI168" s="229">
        <v>0.25</v>
      </c>
      <c r="CJ168" s="230">
        <v>3250</v>
      </c>
      <c r="CK168" s="230">
        <v>1750</v>
      </c>
      <c r="CL168" s="230">
        <v>1500</v>
      </c>
      <c r="CM168" s="229">
        <v>0.85709999999999997</v>
      </c>
      <c r="CN168" s="230">
        <v>1250875</v>
      </c>
      <c r="CO168" s="230">
        <v>896000</v>
      </c>
      <c r="CP168" s="230">
        <v>354875</v>
      </c>
      <c r="CQ168" s="229">
        <v>0.39610000000000001</v>
      </c>
      <c r="CR168" s="230">
        <v>1362875</v>
      </c>
      <c r="CS168" s="230">
        <v>1195250</v>
      </c>
      <c r="CT168" s="230">
        <v>167625</v>
      </c>
      <c r="CU168" s="229">
        <v>0.14019999999999999</v>
      </c>
      <c r="CV168" s="230">
        <v>4677625</v>
      </c>
      <c r="CW168" s="230">
        <v>4073625</v>
      </c>
      <c r="CX168" s="230">
        <v>604000</v>
      </c>
      <c r="CY168" s="229">
        <v>0.14829999999999999</v>
      </c>
      <c r="CZ168" s="228">
        <v>34.21</v>
      </c>
      <c r="DA168" s="228">
        <v>39.75</v>
      </c>
      <c r="DB168" s="228">
        <v>-5.54</v>
      </c>
      <c r="DC168" s="228">
        <v>-5.54</v>
      </c>
      <c r="DD168" s="228">
        <v>41.09</v>
      </c>
      <c r="DE168" s="228">
        <v>41.18</v>
      </c>
      <c r="DF168" s="228">
        <v>-6.88</v>
      </c>
      <c r="DG168" s="228">
        <v>-0.09</v>
      </c>
      <c r="DH168" s="228">
        <v>32.840000000000003</v>
      </c>
      <c r="DI168" s="228">
        <v>38.07</v>
      </c>
      <c r="DJ168" s="228">
        <v>-5.23</v>
      </c>
      <c r="DK168" s="228">
        <v>-5.23</v>
      </c>
      <c r="DL168" s="228">
        <v>36.43</v>
      </c>
      <c r="DM168" s="228">
        <v>42.93</v>
      </c>
      <c r="DN168" s="228">
        <v>-6.5</v>
      </c>
      <c r="DO168" s="228">
        <v>-6.5</v>
      </c>
      <c r="DP168" s="228">
        <v>1.0900000000000001</v>
      </c>
      <c r="DQ168" s="228">
        <v>1.33</v>
      </c>
      <c r="DR168" s="228">
        <v>-0.24</v>
      </c>
      <c r="DS168" s="229">
        <v>-0.18049999999999999</v>
      </c>
      <c r="DT168" s="231">
        <v>9000</v>
      </c>
      <c r="DU168" s="231">
        <v>7500</v>
      </c>
      <c r="DV168" s="228">
        <v>0.62</v>
      </c>
      <c r="DW168" s="228">
        <v>0.53</v>
      </c>
      <c r="DX168" s="228">
        <v>0.09</v>
      </c>
      <c r="DY168" s="229">
        <v>0.16980000000000001</v>
      </c>
      <c r="DZ168" s="229">
        <v>1.9699999999999999E-2</v>
      </c>
      <c r="EA168" s="230">
        <v>31750</v>
      </c>
      <c r="EB168" s="229">
        <v>-2.0000000000000001E-4</v>
      </c>
      <c r="EC168" s="229">
        <v>1.9699999999999999E-2</v>
      </c>
      <c r="ED168" s="228">
        <v>6.35</v>
      </c>
      <c r="EE168" s="229">
        <v>6.9999999999999999E-4</v>
      </c>
      <c r="EF168" s="230">
        <v>515723</v>
      </c>
      <c r="EG168" s="230">
        <v>196947</v>
      </c>
      <c r="EH168" s="229">
        <v>1.6186</v>
      </c>
      <c r="EI168" s="229">
        <v>0.4597</v>
      </c>
      <c r="EJ168" s="231">
        <v>510805.58</v>
      </c>
      <c r="EK168" s="231">
        <v>282761.2</v>
      </c>
      <c r="EL168" s="231">
        <v>134595.57</v>
      </c>
      <c r="EM168" s="231">
        <v>4982</v>
      </c>
      <c r="EN168" s="231">
        <v>928162.35</v>
      </c>
      <c r="EO168" s="231">
        <v>321595.23</v>
      </c>
      <c r="EP168" s="231">
        <v>606567.12</v>
      </c>
      <c r="EQ168" s="229">
        <v>1.8861000000000001</v>
      </c>
      <c r="ER168" s="231">
        <v>107986</v>
      </c>
      <c r="ES168" s="231">
        <v>104722</v>
      </c>
      <c r="ET168" s="231">
        <v>174851</v>
      </c>
      <c r="EU168" s="231">
        <v>8693344</v>
      </c>
      <c r="EV168" s="231">
        <v>387558</v>
      </c>
      <c r="EW168" s="231">
        <v>332091</v>
      </c>
      <c r="EX168" s="231">
        <v>55467</v>
      </c>
      <c r="EY168" s="229">
        <v>0.16700000000000001</v>
      </c>
      <c r="EZ168" s="229">
        <v>0.53810000000000002</v>
      </c>
      <c r="FA168" s="227" t="s">
        <v>555</v>
      </c>
      <c r="FB168" s="161">
        <f t="shared" si="4"/>
        <v>0</v>
      </c>
    </row>
    <row r="169" spans="1:158" ht="17.25" thickBot="1" x14ac:dyDescent="0.3">
      <c r="A169" s="226">
        <v>46148</v>
      </c>
      <c r="B169" s="227" t="s">
        <v>161</v>
      </c>
      <c r="C169" s="227" t="s">
        <v>276</v>
      </c>
      <c r="D169" s="228">
        <v>1900</v>
      </c>
      <c r="E169" s="228">
        <v>316.75</v>
      </c>
      <c r="F169" s="228">
        <v>319.64999999999998</v>
      </c>
      <c r="G169" s="228">
        <v>-2.9</v>
      </c>
      <c r="H169" s="229">
        <v>-9.1000000000000004E-3</v>
      </c>
      <c r="I169" s="228">
        <v>315.95</v>
      </c>
      <c r="J169" s="228">
        <v>319.45</v>
      </c>
      <c r="K169" s="228">
        <v>-3.5</v>
      </c>
      <c r="L169" s="229">
        <v>-1.0999999999999999E-2</v>
      </c>
      <c r="M169" s="228">
        <v>316.75</v>
      </c>
      <c r="N169" s="228">
        <v>319.64999999999998</v>
      </c>
      <c r="O169" s="228">
        <v>-2.9</v>
      </c>
      <c r="P169" s="229">
        <v>-9.1000000000000004E-3</v>
      </c>
      <c r="Q169" s="228">
        <v>318.85000000000002</v>
      </c>
      <c r="R169" s="228">
        <v>322.05</v>
      </c>
      <c r="S169" s="228">
        <v>-3.2</v>
      </c>
      <c r="T169" s="229">
        <v>-9.9000000000000008E-3</v>
      </c>
      <c r="U169" s="228">
        <v>320.75</v>
      </c>
      <c r="V169" s="228">
        <v>324.3</v>
      </c>
      <c r="W169" s="228">
        <v>-3.55</v>
      </c>
      <c r="X169" s="229">
        <v>-1.09E-2</v>
      </c>
      <c r="Y169" s="228">
        <v>0.8</v>
      </c>
      <c r="Z169" s="228">
        <v>0.2</v>
      </c>
      <c r="AA169" s="228">
        <v>0.6</v>
      </c>
      <c r="AB169" s="229">
        <v>2.5000000000000001E-3</v>
      </c>
      <c r="AC169" s="228">
        <v>0.8</v>
      </c>
      <c r="AD169" s="228">
        <v>0.2</v>
      </c>
      <c r="AE169" s="228">
        <v>0.6</v>
      </c>
      <c r="AF169" s="229">
        <v>2.5000000000000001E-3</v>
      </c>
      <c r="AG169" s="228">
        <v>2.9</v>
      </c>
      <c r="AH169" s="228">
        <v>2.6</v>
      </c>
      <c r="AI169" s="228">
        <v>0.3</v>
      </c>
      <c r="AJ169" s="229">
        <v>9.1999999999999998E-3</v>
      </c>
      <c r="AK169" s="228">
        <v>4.8</v>
      </c>
      <c r="AL169" s="228">
        <v>4.8499999999999996</v>
      </c>
      <c r="AM169" s="228">
        <v>-0.05</v>
      </c>
      <c r="AN169" s="229">
        <v>1.52E-2</v>
      </c>
      <c r="AO169" s="228">
        <v>317.54000000000002</v>
      </c>
      <c r="AP169" s="228">
        <v>319.73</v>
      </c>
      <c r="AQ169" s="228">
        <v>0</v>
      </c>
      <c r="AR169" s="230">
        <v>7035700</v>
      </c>
      <c r="AS169" s="230">
        <v>8677300</v>
      </c>
      <c r="AT169" s="230">
        <v>-1641600</v>
      </c>
      <c r="AU169" s="229">
        <v>-0.18920000000000001</v>
      </c>
      <c r="AV169" s="230">
        <v>6498000</v>
      </c>
      <c r="AW169" s="230">
        <v>8114900</v>
      </c>
      <c r="AX169" s="230">
        <v>-1616900</v>
      </c>
      <c r="AY169" s="229">
        <v>-0.1993</v>
      </c>
      <c r="AZ169" s="230">
        <v>397100</v>
      </c>
      <c r="BA169" s="230">
        <v>545300</v>
      </c>
      <c r="BB169" s="230">
        <v>-148200</v>
      </c>
      <c r="BC169" s="229">
        <v>-0.27179999999999999</v>
      </c>
      <c r="BD169" s="230">
        <v>140600</v>
      </c>
      <c r="BE169" s="230">
        <v>17100</v>
      </c>
      <c r="BF169" s="230">
        <v>123500</v>
      </c>
      <c r="BG169" s="229">
        <v>7.2222</v>
      </c>
      <c r="BH169" s="230">
        <v>21652400</v>
      </c>
      <c r="BI169" s="230">
        <v>28500000</v>
      </c>
      <c r="BJ169" s="230">
        <v>-6847600</v>
      </c>
      <c r="BK169" s="229">
        <v>-0.24030000000000001</v>
      </c>
      <c r="BL169" s="230">
        <v>9747000</v>
      </c>
      <c r="BM169" s="230">
        <v>11356300</v>
      </c>
      <c r="BN169" s="230">
        <v>-1609300</v>
      </c>
      <c r="BO169" s="229">
        <v>-0.14169999999999999</v>
      </c>
      <c r="BP169" s="230">
        <v>38435100</v>
      </c>
      <c r="BQ169" s="230">
        <v>48533600</v>
      </c>
      <c r="BR169" s="230">
        <v>-10098500</v>
      </c>
      <c r="BS169" s="229">
        <v>-0.20810000000000001</v>
      </c>
      <c r="BT169" s="230">
        <v>5126299</v>
      </c>
      <c r="BU169" s="230">
        <v>8754021</v>
      </c>
      <c r="BV169" s="230">
        <v>-3627722</v>
      </c>
      <c r="BW169" s="229">
        <v>-0.41439999999999999</v>
      </c>
      <c r="BX169" s="230">
        <v>82070500</v>
      </c>
      <c r="BY169" s="230">
        <v>80890600</v>
      </c>
      <c r="BZ169" s="230">
        <v>1179900</v>
      </c>
      <c r="CA169" s="229">
        <v>1.46E-2</v>
      </c>
      <c r="CB169" s="230">
        <v>69342400</v>
      </c>
      <c r="CC169" s="230">
        <v>68510200</v>
      </c>
      <c r="CD169" s="230">
        <v>832200</v>
      </c>
      <c r="CE169" s="229">
        <v>1.21E-2</v>
      </c>
      <c r="CF169" s="230">
        <v>12551400</v>
      </c>
      <c r="CG169" s="230">
        <v>12298700</v>
      </c>
      <c r="CH169" s="230">
        <v>252700</v>
      </c>
      <c r="CI169" s="229">
        <v>2.0500000000000001E-2</v>
      </c>
      <c r="CJ169" s="230">
        <v>176700</v>
      </c>
      <c r="CK169" s="230">
        <v>81700</v>
      </c>
      <c r="CL169" s="230">
        <v>95000</v>
      </c>
      <c r="CM169" s="229">
        <v>1.1628000000000001</v>
      </c>
      <c r="CN169" s="230">
        <v>24183200</v>
      </c>
      <c r="CO169" s="230">
        <v>22752500</v>
      </c>
      <c r="CP169" s="230">
        <v>1430700</v>
      </c>
      <c r="CQ169" s="229">
        <v>6.2899999999999998E-2</v>
      </c>
      <c r="CR169" s="230">
        <v>12051700</v>
      </c>
      <c r="CS169" s="230">
        <v>12046000</v>
      </c>
      <c r="CT169" s="230">
        <v>5700</v>
      </c>
      <c r="CU169" s="229">
        <v>5.0000000000000001E-4</v>
      </c>
      <c r="CV169" s="230">
        <v>118305400</v>
      </c>
      <c r="CW169" s="230">
        <v>115689100</v>
      </c>
      <c r="CX169" s="230">
        <v>2616300</v>
      </c>
      <c r="CY169" s="229">
        <v>2.2599999999999999E-2</v>
      </c>
      <c r="CZ169" s="228">
        <v>24.8</v>
      </c>
      <c r="DA169" s="228">
        <v>24.21</v>
      </c>
      <c r="DB169" s="228">
        <v>0.59</v>
      </c>
      <c r="DC169" s="228">
        <v>0.59</v>
      </c>
      <c r="DD169" s="228">
        <v>28.34</v>
      </c>
      <c r="DE169" s="228">
        <v>28.37</v>
      </c>
      <c r="DF169" s="228">
        <v>-3.54</v>
      </c>
      <c r="DG169" s="228">
        <v>-0.03</v>
      </c>
      <c r="DH169" s="228">
        <v>25.06</v>
      </c>
      <c r="DI169" s="228">
        <v>24.1</v>
      </c>
      <c r="DJ169" s="228">
        <v>0.96</v>
      </c>
      <c r="DK169" s="228">
        <v>0.96</v>
      </c>
      <c r="DL169" s="228">
        <v>24.23</v>
      </c>
      <c r="DM169" s="228">
        <v>24.51</v>
      </c>
      <c r="DN169" s="228">
        <v>-0.28000000000000003</v>
      </c>
      <c r="DO169" s="228">
        <v>-0.28000000000000003</v>
      </c>
      <c r="DP169" s="228">
        <v>0.5</v>
      </c>
      <c r="DQ169" s="228">
        <v>0.53</v>
      </c>
      <c r="DR169" s="228">
        <v>-0.03</v>
      </c>
      <c r="DS169" s="229">
        <v>-5.6599999999999998E-2</v>
      </c>
      <c r="DT169" s="228">
        <v>320</v>
      </c>
      <c r="DU169" s="228">
        <v>320</v>
      </c>
      <c r="DV169" s="228">
        <v>0.45</v>
      </c>
      <c r="DW169" s="228">
        <v>0.4</v>
      </c>
      <c r="DX169" s="228">
        <v>0.05</v>
      </c>
      <c r="DY169" s="229">
        <v>0.125</v>
      </c>
      <c r="DZ169" s="229">
        <v>0.15509999999999999</v>
      </c>
      <c r="EA169" s="230">
        <v>12380400</v>
      </c>
      <c r="EB169" s="229">
        <v>6.6E-3</v>
      </c>
      <c r="EC169" s="229">
        <v>0.15509999999999999</v>
      </c>
      <c r="ED169" s="228">
        <v>2.19</v>
      </c>
      <c r="EE169" s="229">
        <v>6.8999999999999999E-3</v>
      </c>
      <c r="EF169" s="230">
        <v>2867282</v>
      </c>
      <c r="EG169" s="230">
        <v>4094850</v>
      </c>
      <c r="EH169" s="229">
        <v>-0.29980000000000001</v>
      </c>
      <c r="EI169" s="229">
        <v>0.55930000000000002</v>
      </c>
      <c r="EJ169" s="231">
        <v>71814.259999999995</v>
      </c>
      <c r="EK169" s="231">
        <v>31141.06</v>
      </c>
      <c r="EL169" s="231">
        <v>22355.84</v>
      </c>
      <c r="EM169" s="231">
        <v>4268</v>
      </c>
      <c r="EN169" s="231">
        <v>125311.16</v>
      </c>
      <c r="EO169" s="231">
        <v>158833.98000000001</v>
      </c>
      <c r="EP169" s="231">
        <v>-33522.82</v>
      </c>
      <c r="EQ169" s="229">
        <v>-0.21110000000000001</v>
      </c>
      <c r="ER169" s="231">
        <v>79746</v>
      </c>
      <c r="ES169" s="231">
        <v>37245</v>
      </c>
      <c r="ET169" s="231">
        <v>260229</v>
      </c>
      <c r="EU169" s="231">
        <v>660840864</v>
      </c>
      <c r="EV169" s="231">
        <v>377220</v>
      </c>
      <c r="EW169" s="231">
        <v>371051</v>
      </c>
      <c r="EX169" s="231">
        <v>6169</v>
      </c>
      <c r="EY169" s="229">
        <v>1.66E-2</v>
      </c>
      <c r="EZ169" s="229">
        <v>0.17899999999999999</v>
      </c>
      <c r="FA169" s="227" t="s">
        <v>566</v>
      </c>
      <c r="FB169" s="161">
        <f t="shared" si="4"/>
        <v>0</v>
      </c>
    </row>
    <row r="170" spans="1:158" ht="17.25" thickBot="1" x14ac:dyDescent="0.3">
      <c r="A170" s="226">
        <v>46148</v>
      </c>
      <c r="B170" s="227" t="s">
        <v>184</v>
      </c>
      <c r="C170" s="227" t="s">
        <v>683</v>
      </c>
      <c r="D170" s="228">
        <v>25</v>
      </c>
      <c r="E170" s="231">
        <v>33600</v>
      </c>
      <c r="F170" s="231">
        <v>34315</v>
      </c>
      <c r="G170" s="228">
        <v>-715</v>
      </c>
      <c r="H170" s="229">
        <v>-2.0799999999999999E-2</v>
      </c>
      <c r="I170" s="231">
        <v>33380</v>
      </c>
      <c r="J170" s="231">
        <v>34255</v>
      </c>
      <c r="K170" s="228">
        <v>-875</v>
      </c>
      <c r="L170" s="229">
        <v>-2.5499999999999998E-2</v>
      </c>
      <c r="M170" s="231">
        <v>33600</v>
      </c>
      <c r="N170" s="231">
        <v>34315</v>
      </c>
      <c r="O170" s="228">
        <v>-715</v>
      </c>
      <c r="P170" s="229">
        <v>-2.0799999999999999E-2</v>
      </c>
      <c r="Q170" s="231">
        <v>33715</v>
      </c>
      <c r="R170" s="231">
        <v>34355</v>
      </c>
      <c r="S170" s="228">
        <v>-640</v>
      </c>
      <c r="T170" s="229">
        <v>-1.8599999999999998E-2</v>
      </c>
      <c r="U170" s="231">
        <v>33710</v>
      </c>
      <c r="V170" s="231">
        <v>34450</v>
      </c>
      <c r="W170" s="228">
        <v>-740</v>
      </c>
      <c r="X170" s="229">
        <v>-2.1499999999999998E-2</v>
      </c>
      <c r="Y170" s="228">
        <v>220</v>
      </c>
      <c r="Z170" s="228">
        <v>60</v>
      </c>
      <c r="AA170" s="228">
        <v>160</v>
      </c>
      <c r="AB170" s="229">
        <v>6.6E-3</v>
      </c>
      <c r="AC170" s="228">
        <v>220</v>
      </c>
      <c r="AD170" s="228">
        <v>60</v>
      </c>
      <c r="AE170" s="228">
        <v>160</v>
      </c>
      <c r="AF170" s="229">
        <v>6.6E-3</v>
      </c>
      <c r="AG170" s="228">
        <v>335</v>
      </c>
      <c r="AH170" s="228">
        <v>100</v>
      </c>
      <c r="AI170" s="228">
        <v>235</v>
      </c>
      <c r="AJ170" s="229">
        <v>0.01</v>
      </c>
      <c r="AK170" s="228">
        <v>330</v>
      </c>
      <c r="AL170" s="228">
        <v>195</v>
      </c>
      <c r="AM170" s="228">
        <v>135</v>
      </c>
      <c r="AN170" s="229">
        <v>9.9000000000000008E-3</v>
      </c>
      <c r="AO170" s="231">
        <v>33514.050000000003</v>
      </c>
      <c r="AP170" s="231">
        <v>33652.5</v>
      </c>
      <c r="AQ170" s="228">
        <v>0</v>
      </c>
      <c r="AR170" s="230">
        <v>141150</v>
      </c>
      <c r="AS170" s="230">
        <v>77425</v>
      </c>
      <c r="AT170" s="230">
        <v>63725</v>
      </c>
      <c r="AU170" s="229">
        <v>0.82310000000000005</v>
      </c>
      <c r="AV170" s="230">
        <v>135200</v>
      </c>
      <c r="AW170" s="230">
        <v>73100</v>
      </c>
      <c r="AX170" s="230">
        <v>62100</v>
      </c>
      <c r="AY170" s="229">
        <v>0.84950000000000003</v>
      </c>
      <c r="AZ170" s="230">
        <v>5200</v>
      </c>
      <c r="BA170" s="230">
        <v>4175</v>
      </c>
      <c r="BB170" s="230">
        <v>1025</v>
      </c>
      <c r="BC170" s="229">
        <v>0.2455</v>
      </c>
      <c r="BD170" s="228">
        <v>750</v>
      </c>
      <c r="BE170" s="228">
        <v>150</v>
      </c>
      <c r="BF170" s="228">
        <v>600</v>
      </c>
      <c r="BG170" s="229">
        <v>4</v>
      </c>
      <c r="BH170" s="230">
        <v>312800</v>
      </c>
      <c r="BI170" s="230">
        <v>185000</v>
      </c>
      <c r="BJ170" s="230">
        <v>127800</v>
      </c>
      <c r="BK170" s="229">
        <v>0.69079999999999997</v>
      </c>
      <c r="BL170" s="230">
        <v>439325</v>
      </c>
      <c r="BM170" s="230">
        <v>447700</v>
      </c>
      <c r="BN170" s="230">
        <v>-8375</v>
      </c>
      <c r="BO170" s="229">
        <v>-1.8700000000000001E-2</v>
      </c>
      <c r="BP170" s="230">
        <v>893275</v>
      </c>
      <c r="BQ170" s="230">
        <v>710125</v>
      </c>
      <c r="BR170" s="230">
        <v>183150</v>
      </c>
      <c r="BS170" s="229">
        <v>0.25790000000000002</v>
      </c>
      <c r="BT170" s="230">
        <v>187111</v>
      </c>
      <c r="BU170" s="230">
        <v>99989</v>
      </c>
      <c r="BV170" s="230">
        <v>87122</v>
      </c>
      <c r="BW170" s="229">
        <v>0.87129999999999996</v>
      </c>
      <c r="BX170" s="230">
        <v>385850</v>
      </c>
      <c r="BY170" s="230">
        <v>396475</v>
      </c>
      <c r="BZ170" s="230">
        <v>-10625</v>
      </c>
      <c r="CA170" s="229">
        <v>-2.6800000000000001E-2</v>
      </c>
      <c r="CB170" s="230">
        <v>374750</v>
      </c>
      <c r="CC170" s="230">
        <v>385125</v>
      </c>
      <c r="CD170" s="230">
        <v>-10375</v>
      </c>
      <c r="CE170" s="229">
        <v>-2.69E-2</v>
      </c>
      <c r="CF170" s="230">
        <v>9825</v>
      </c>
      <c r="CG170" s="230">
        <v>10350</v>
      </c>
      <c r="CH170" s="228">
        <v>-525</v>
      </c>
      <c r="CI170" s="229">
        <v>-5.0700000000000002E-2</v>
      </c>
      <c r="CJ170" s="230">
        <v>1275</v>
      </c>
      <c r="CK170" s="230">
        <v>1000</v>
      </c>
      <c r="CL170" s="228">
        <v>275</v>
      </c>
      <c r="CM170" s="229">
        <v>0.27500000000000002</v>
      </c>
      <c r="CN170" s="230">
        <v>244750</v>
      </c>
      <c r="CO170" s="230">
        <v>226900</v>
      </c>
      <c r="CP170" s="230">
        <v>17850</v>
      </c>
      <c r="CQ170" s="229">
        <v>7.8700000000000006E-2</v>
      </c>
      <c r="CR170" s="230">
        <v>211700</v>
      </c>
      <c r="CS170" s="230">
        <v>217900</v>
      </c>
      <c r="CT170" s="230">
        <v>-6200</v>
      </c>
      <c r="CU170" s="229">
        <v>-2.8500000000000001E-2</v>
      </c>
      <c r="CV170" s="230">
        <v>842300</v>
      </c>
      <c r="CW170" s="230">
        <v>841275</v>
      </c>
      <c r="CX170" s="230">
        <v>1025</v>
      </c>
      <c r="CY170" s="229">
        <v>1.1999999999999999E-3</v>
      </c>
      <c r="CZ170" s="228">
        <v>48.4</v>
      </c>
      <c r="DA170" s="228">
        <v>55.54</v>
      </c>
      <c r="DB170" s="228">
        <v>-7.14</v>
      </c>
      <c r="DC170" s="228">
        <v>-7.14</v>
      </c>
      <c r="DD170" s="228">
        <v>56.56</v>
      </c>
      <c r="DE170" s="228">
        <v>56.59</v>
      </c>
      <c r="DF170" s="228">
        <v>-8.16</v>
      </c>
      <c r="DG170" s="228">
        <v>-0.03</v>
      </c>
      <c r="DH170" s="228">
        <v>42.7</v>
      </c>
      <c r="DI170" s="228">
        <v>41.83</v>
      </c>
      <c r="DJ170" s="228">
        <v>0.87</v>
      </c>
      <c r="DK170" s="228">
        <v>0.87</v>
      </c>
      <c r="DL170" s="228">
        <v>52.46</v>
      </c>
      <c r="DM170" s="228">
        <v>61.2</v>
      </c>
      <c r="DN170" s="228">
        <v>-8.74</v>
      </c>
      <c r="DO170" s="228">
        <v>-8.74</v>
      </c>
      <c r="DP170" s="228">
        <v>0.86</v>
      </c>
      <c r="DQ170" s="228">
        <v>0.96</v>
      </c>
      <c r="DR170" s="228">
        <v>-0.1</v>
      </c>
      <c r="DS170" s="229">
        <v>-0.1042</v>
      </c>
      <c r="DT170" s="231">
        <v>33000</v>
      </c>
      <c r="DU170" s="231">
        <v>30000</v>
      </c>
      <c r="DV170" s="228">
        <v>1.4</v>
      </c>
      <c r="DW170" s="228">
        <v>2.42</v>
      </c>
      <c r="DX170" s="228">
        <v>-1.02</v>
      </c>
      <c r="DY170" s="229">
        <v>-0.42149999999999999</v>
      </c>
      <c r="DZ170" s="229">
        <v>2.8799999999999999E-2</v>
      </c>
      <c r="EA170" s="230">
        <v>11350</v>
      </c>
      <c r="EB170" s="229">
        <v>3.3999999999999998E-3</v>
      </c>
      <c r="EC170" s="229">
        <v>2.8799999999999999E-2</v>
      </c>
      <c r="ED170" s="228">
        <v>138.44999999999999</v>
      </c>
      <c r="EE170" s="229">
        <v>4.1000000000000003E-3</v>
      </c>
      <c r="EF170" s="230">
        <v>70456</v>
      </c>
      <c r="EG170" s="230">
        <v>32272</v>
      </c>
      <c r="EH170" s="229">
        <v>1.1832</v>
      </c>
      <c r="EI170" s="229">
        <v>0.3765</v>
      </c>
      <c r="EJ170" s="231">
        <v>112532.3</v>
      </c>
      <c r="EK170" s="231">
        <v>126948.82</v>
      </c>
      <c r="EL170" s="231">
        <v>47313.52</v>
      </c>
      <c r="EM170" s="231">
        <v>3642</v>
      </c>
      <c r="EN170" s="231">
        <v>286794.64</v>
      </c>
      <c r="EO170" s="231">
        <v>214122.22</v>
      </c>
      <c r="EP170" s="231">
        <v>72672.42</v>
      </c>
      <c r="EQ170" s="229">
        <v>0.33939999999999998</v>
      </c>
      <c r="ER170" s="231">
        <v>82482</v>
      </c>
      <c r="ES170" s="231">
        <v>64806</v>
      </c>
      <c r="ET170" s="231">
        <v>129658</v>
      </c>
      <c r="EU170" s="231">
        <v>1917916</v>
      </c>
      <c r="EV170" s="231">
        <v>276946</v>
      </c>
      <c r="EW170" s="231">
        <v>278715</v>
      </c>
      <c r="EX170" s="231">
        <v>-1769</v>
      </c>
      <c r="EY170" s="229">
        <v>-6.3E-3</v>
      </c>
      <c r="EZ170" s="229">
        <v>0.43919999999999998</v>
      </c>
      <c r="FA170" s="227" t="s">
        <v>567</v>
      </c>
      <c r="FB170" s="161">
        <f t="shared" si="4"/>
        <v>0</v>
      </c>
    </row>
    <row r="171" spans="1:158" ht="17.25" thickBot="1" x14ac:dyDescent="0.3">
      <c r="A171" s="226">
        <v>46148</v>
      </c>
      <c r="B171" s="227" t="s">
        <v>184</v>
      </c>
      <c r="C171" s="227" t="s">
        <v>686</v>
      </c>
      <c r="D171" s="228">
        <v>575</v>
      </c>
      <c r="E171" s="231">
        <v>1019.7</v>
      </c>
      <c r="F171" s="231">
        <v>1030.3</v>
      </c>
      <c r="G171" s="228">
        <v>-10.6</v>
      </c>
      <c r="H171" s="229">
        <v>-1.03E-2</v>
      </c>
      <c r="I171" s="231">
        <v>1033</v>
      </c>
      <c r="J171" s="231">
        <v>1042.9000000000001</v>
      </c>
      <c r="K171" s="228">
        <v>-9.9</v>
      </c>
      <c r="L171" s="229">
        <v>-9.4999999999999998E-3</v>
      </c>
      <c r="M171" s="231">
        <v>1019.7</v>
      </c>
      <c r="N171" s="231">
        <v>1030.3</v>
      </c>
      <c r="O171" s="228">
        <v>-10.6</v>
      </c>
      <c r="P171" s="229">
        <v>-1.03E-2</v>
      </c>
      <c r="Q171" s="231">
        <v>1007.6</v>
      </c>
      <c r="R171" s="231">
        <v>1020.2</v>
      </c>
      <c r="S171" s="228">
        <v>-12.6</v>
      </c>
      <c r="T171" s="229">
        <v>-1.24E-2</v>
      </c>
      <c r="U171" s="231">
        <v>1015</v>
      </c>
      <c r="V171" s="231">
        <v>1010.3</v>
      </c>
      <c r="W171" s="228">
        <v>4.7</v>
      </c>
      <c r="X171" s="229">
        <v>4.7000000000000002E-3</v>
      </c>
      <c r="Y171" s="228">
        <v>-13.3</v>
      </c>
      <c r="Z171" s="228">
        <v>-12.6</v>
      </c>
      <c r="AA171" s="228">
        <v>-0.7</v>
      </c>
      <c r="AB171" s="229">
        <v>-1.29E-2</v>
      </c>
      <c r="AC171" s="228">
        <v>-13.3</v>
      </c>
      <c r="AD171" s="228">
        <v>-12.6</v>
      </c>
      <c r="AE171" s="228">
        <v>-0.7</v>
      </c>
      <c r="AF171" s="229">
        <v>-1.29E-2</v>
      </c>
      <c r="AG171" s="228">
        <v>-25.4</v>
      </c>
      <c r="AH171" s="228">
        <v>-22.7</v>
      </c>
      <c r="AI171" s="228">
        <v>-2.7</v>
      </c>
      <c r="AJ171" s="229">
        <v>-2.46E-2</v>
      </c>
      <c r="AK171" s="228">
        <v>-18</v>
      </c>
      <c r="AL171" s="228">
        <v>-32.6</v>
      </c>
      <c r="AM171" s="228">
        <v>14.6</v>
      </c>
      <c r="AN171" s="229">
        <v>-1.7399999999999999E-2</v>
      </c>
      <c r="AO171" s="231">
        <v>1024.04</v>
      </c>
      <c r="AP171" s="231">
        <v>1008.95</v>
      </c>
      <c r="AQ171" s="228">
        <v>0</v>
      </c>
      <c r="AR171" s="230">
        <v>1357575</v>
      </c>
      <c r="AS171" s="230">
        <v>1290300</v>
      </c>
      <c r="AT171" s="230">
        <v>67275</v>
      </c>
      <c r="AU171" s="229">
        <v>5.21E-2</v>
      </c>
      <c r="AV171" s="230">
        <v>1205200</v>
      </c>
      <c r="AW171" s="230">
        <v>1095950</v>
      </c>
      <c r="AX171" s="230">
        <v>109250</v>
      </c>
      <c r="AY171" s="229">
        <v>9.9699999999999997E-2</v>
      </c>
      <c r="AZ171" s="230">
        <v>151800</v>
      </c>
      <c r="BA171" s="230">
        <v>194350</v>
      </c>
      <c r="BB171" s="230">
        <v>-42550</v>
      </c>
      <c r="BC171" s="229">
        <v>-0.21890000000000001</v>
      </c>
      <c r="BD171" s="228">
        <v>575</v>
      </c>
      <c r="BE171" s="228">
        <v>0</v>
      </c>
      <c r="BF171" s="228">
        <v>575</v>
      </c>
      <c r="BG171" s="229">
        <v>0</v>
      </c>
      <c r="BH171" s="230">
        <v>2689850</v>
      </c>
      <c r="BI171" s="230">
        <v>3589150</v>
      </c>
      <c r="BJ171" s="230">
        <v>-899300</v>
      </c>
      <c r="BK171" s="229">
        <v>-0.25059999999999999</v>
      </c>
      <c r="BL171" s="230">
        <v>1468550</v>
      </c>
      <c r="BM171" s="230">
        <v>1908425</v>
      </c>
      <c r="BN171" s="230">
        <v>-439875</v>
      </c>
      <c r="BO171" s="229">
        <v>-0.23050000000000001</v>
      </c>
      <c r="BP171" s="230">
        <v>5515975</v>
      </c>
      <c r="BQ171" s="230">
        <v>6787875</v>
      </c>
      <c r="BR171" s="230">
        <v>-1271900</v>
      </c>
      <c r="BS171" s="229">
        <v>-0.18740000000000001</v>
      </c>
      <c r="BT171" s="230">
        <v>1013513</v>
      </c>
      <c r="BU171" s="230">
        <v>1071705</v>
      </c>
      <c r="BV171" s="230">
        <v>-58192</v>
      </c>
      <c r="BW171" s="229">
        <v>-5.4300000000000001E-2</v>
      </c>
      <c r="BX171" s="230">
        <v>10898775</v>
      </c>
      <c r="BY171" s="230">
        <v>10712475</v>
      </c>
      <c r="BZ171" s="230">
        <v>186300</v>
      </c>
      <c r="CA171" s="229">
        <v>1.7399999999999999E-2</v>
      </c>
      <c r="CB171" s="230">
        <v>10299400</v>
      </c>
      <c r="CC171" s="230">
        <v>10217175</v>
      </c>
      <c r="CD171" s="230">
        <v>82225</v>
      </c>
      <c r="CE171" s="229">
        <v>8.0000000000000002E-3</v>
      </c>
      <c r="CF171" s="230">
        <v>597425</v>
      </c>
      <c r="CG171" s="230">
        <v>493350</v>
      </c>
      <c r="CH171" s="230">
        <v>104075</v>
      </c>
      <c r="CI171" s="229">
        <v>0.21099999999999999</v>
      </c>
      <c r="CJ171" s="230">
        <v>1950</v>
      </c>
      <c r="CK171" s="230">
        <v>1950</v>
      </c>
      <c r="CL171" s="228">
        <v>0</v>
      </c>
      <c r="CM171" s="229">
        <v>0</v>
      </c>
      <c r="CN171" s="230">
        <v>2275850</v>
      </c>
      <c r="CO171" s="230">
        <v>2012500</v>
      </c>
      <c r="CP171" s="230">
        <v>263350</v>
      </c>
      <c r="CQ171" s="229">
        <v>0.13089999999999999</v>
      </c>
      <c r="CR171" s="230">
        <v>2036650</v>
      </c>
      <c r="CS171" s="230">
        <v>1932000</v>
      </c>
      <c r="CT171" s="230">
        <v>104650</v>
      </c>
      <c r="CU171" s="229">
        <v>5.4199999999999998E-2</v>
      </c>
      <c r="CV171" s="230">
        <v>15211275</v>
      </c>
      <c r="CW171" s="230">
        <v>14656975</v>
      </c>
      <c r="CX171" s="230">
        <v>554300</v>
      </c>
      <c r="CY171" s="229">
        <v>3.78E-2</v>
      </c>
      <c r="CZ171" s="228">
        <v>38.57</v>
      </c>
      <c r="DA171" s="228">
        <v>39.020000000000003</v>
      </c>
      <c r="DB171" s="228">
        <v>-0.45</v>
      </c>
      <c r="DC171" s="228">
        <v>-0.45</v>
      </c>
      <c r="DD171" s="228">
        <v>47.84</v>
      </c>
      <c r="DE171" s="228">
        <v>47.94</v>
      </c>
      <c r="DF171" s="228">
        <v>-9.27</v>
      </c>
      <c r="DG171" s="228">
        <v>-0.1</v>
      </c>
      <c r="DH171" s="228">
        <v>38.97</v>
      </c>
      <c r="DI171" s="228">
        <v>38.75</v>
      </c>
      <c r="DJ171" s="228">
        <v>0.22</v>
      </c>
      <c r="DK171" s="228">
        <v>0.22</v>
      </c>
      <c r="DL171" s="228">
        <v>37.85</v>
      </c>
      <c r="DM171" s="228">
        <v>39.520000000000003</v>
      </c>
      <c r="DN171" s="228">
        <v>-1.67</v>
      </c>
      <c r="DO171" s="228">
        <v>-1.67</v>
      </c>
      <c r="DP171" s="228">
        <v>0.89</v>
      </c>
      <c r="DQ171" s="228">
        <v>0.96</v>
      </c>
      <c r="DR171" s="228">
        <v>-7.0000000000000007E-2</v>
      </c>
      <c r="DS171" s="229">
        <v>-7.2900000000000006E-2</v>
      </c>
      <c r="DT171" s="231">
        <v>1060</v>
      </c>
      <c r="DU171" s="231">
        <v>1000</v>
      </c>
      <c r="DV171" s="228">
        <v>0.55000000000000004</v>
      </c>
      <c r="DW171" s="228">
        <v>0.53</v>
      </c>
      <c r="DX171" s="228">
        <v>0.02</v>
      </c>
      <c r="DY171" s="229">
        <v>3.7699999999999997E-2</v>
      </c>
      <c r="DZ171" s="229">
        <v>5.5E-2</v>
      </c>
      <c r="EA171" s="230">
        <v>495300</v>
      </c>
      <c r="EB171" s="229">
        <v>-1.1900000000000001E-2</v>
      </c>
      <c r="EC171" s="229">
        <v>5.5E-2</v>
      </c>
      <c r="ED171" s="228">
        <v>-15.09</v>
      </c>
      <c r="EE171" s="229">
        <v>-1.47E-2</v>
      </c>
      <c r="EF171" s="230">
        <v>419385</v>
      </c>
      <c r="EG171" s="230">
        <v>449638</v>
      </c>
      <c r="EH171" s="229">
        <v>-6.7299999999999999E-2</v>
      </c>
      <c r="EI171" s="229">
        <v>0.4138</v>
      </c>
      <c r="EJ171" s="231">
        <v>29118.16</v>
      </c>
      <c r="EK171" s="231">
        <v>14764.11</v>
      </c>
      <c r="EL171" s="231">
        <v>13879.9</v>
      </c>
      <c r="EM171" s="231">
        <v>3005</v>
      </c>
      <c r="EN171" s="231">
        <v>57762.17</v>
      </c>
      <c r="EO171" s="231">
        <v>71547.16</v>
      </c>
      <c r="EP171" s="231">
        <v>-13784.99</v>
      </c>
      <c r="EQ171" s="229">
        <v>-0.19270000000000001</v>
      </c>
      <c r="ER171" s="231">
        <v>24055</v>
      </c>
      <c r="ES171" s="231">
        <v>19983</v>
      </c>
      <c r="ET171" s="231">
        <v>111062</v>
      </c>
      <c r="EU171" s="231">
        <v>23961540</v>
      </c>
      <c r="EV171" s="231">
        <v>155100</v>
      </c>
      <c r="EW171" s="231">
        <v>150373</v>
      </c>
      <c r="EX171" s="231">
        <v>4727</v>
      </c>
      <c r="EY171" s="229">
        <v>3.1399999999999997E-2</v>
      </c>
      <c r="EZ171" s="229">
        <v>0.63480000000000003</v>
      </c>
      <c r="FA171" s="227" t="s">
        <v>566</v>
      </c>
      <c r="FB171" s="161">
        <f t="shared" si="4"/>
        <v>0</v>
      </c>
    </row>
    <row r="172" spans="1:158" ht="17.25" thickBot="1" x14ac:dyDescent="0.3">
      <c r="A172" s="226">
        <v>46148</v>
      </c>
      <c r="B172" s="227" t="s">
        <v>206</v>
      </c>
      <c r="C172" s="227" t="s">
        <v>604</v>
      </c>
      <c r="D172" s="228">
        <v>450</v>
      </c>
      <c r="E172" s="231">
        <v>1464.9</v>
      </c>
      <c r="F172" s="231">
        <v>1440.2</v>
      </c>
      <c r="G172" s="228">
        <v>24.7</v>
      </c>
      <c r="H172" s="229">
        <v>1.72E-2</v>
      </c>
      <c r="I172" s="231">
        <v>1455.2</v>
      </c>
      <c r="J172" s="231">
        <v>1432.2</v>
      </c>
      <c r="K172" s="228">
        <v>23</v>
      </c>
      <c r="L172" s="229">
        <v>1.61E-2</v>
      </c>
      <c r="M172" s="231">
        <v>1464.9</v>
      </c>
      <c r="N172" s="231">
        <v>1440.2</v>
      </c>
      <c r="O172" s="228">
        <v>24.7</v>
      </c>
      <c r="P172" s="229">
        <v>1.72E-2</v>
      </c>
      <c r="Q172" s="231">
        <v>1473.9</v>
      </c>
      <c r="R172" s="231">
        <v>1447</v>
      </c>
      <c r="S172" s="228">
        <v>26.9</v>
      </c>
      <c r="T172" s="229">
        <v>1.8599999999999998E-2</v>
      </c>
      <c r="U172" s="231">
        <v>1435</v>
      </c>
      <c r="V172" s="231">
        <v>1435</v>
      </c>
      <c r="W172" s="228">
        <v>0</v>
      </c>
      <c r="X172" s="229">
        <v>0</v>
      </c>
      <c r="Y172" s="228">
        <v>9.6999999999999993</v>
      </c>
      <c r="Z172" s="228">
        <v>8</v>
      </c>
      <c r="AA172" s="228">
        <v>1.7</v>
      </c>
      <c r="AB172" s="229">
        <v>6.7000000000000002E-3</v>
      </c>
      <c r="AC172" s="228">
        <v>9.6999999999999993</v>
      </c>
      <c r="AD172" s="228">
        <v>8</v>
      </c>
      <c r="AE172" s="228">
        <v>1.7</v>
      </c>
      <c r="AF172" s="229">
        <v>6.7000000000000002E-3</v>
      </c>
      <c r="AG172" s="228">
        <v>18.7</v>
      </c>
      <c r="AH172" s="228">
        <v>14.8</v>
      </c>
      <c r="AI172" s="228">
        <v>3.9</v>
      </c>
      <c r="AJ172" s="229">
        <v>1.29E-2</v>
      </c>
      <c r="AK172" s="228">
        <v>-20.2</v>
      </c>
      <c r="AL172" s="228">
        <v>2.8</v>
      </c>
      <c r="AM172" s="228">
        <v>-23</v>
      </c>
      <c r="AN172" s="229">
        <v>-1.3899999999999999E-2</v>
      </c>
      <c r="AO172" s="231">
        <v>1457.65</v>
      </c>
      <c r="AP172" s="231">
        <v>1468.99</v>
      </c>
      <c r="AQ172" s="228">
        <v>0</v>
      </c>
      <c r="AR172" s="230">
        <v>669150</v>
      </c>
      <c r="AS172" s="230">
        <v>782550</v>
      </c>
      <c r="AT172" s="230">
        <v>-113400</v>
      </c>
      <c r="AU172" s="229">
        <v>-0.1449</v>
      </c>
      <c r="AV172" s="230">
        <v>659250</v>
      </c>
      <c r="AW172" s="230">
        <v>765900</v>
      </c>
      <c r="AX172" s="230">
        <v>-106650</v>
      </c>
      <c r="AY172" s="229">
        <v>-0.13919999999999999</v>
      </c>
      <c r="AZ172" s="230">
        <v>9900</v>
      </c>
      <c r="BA172" s="230">
        <v>16650</v>
      </c>
      <c r="BB172" s="230">
        <v>-6750</v>
      </c>
      <c r="BC172" s="229">
        <v>-0.40539999999999998</v>
      </c>
      <c r="BD172" s="228">
        <v>0</v>
      </c>
      <c r="BE172" s="228">
        <v>0</v>
      </c>
      <c r="BF172" s="228">
        <v>0</v>
      </c>
      <c r="BG172" s="229">
        <v>0</v>
      </c>
      <c r="BH172" s="230">
        <v>768600</v>
      </c>
      <c r="BI172" s="230">
        <v>848250</v>
      </c>
      <c r="BJ172" s="230">
        <v>-79650</v>
      </c>
      <c r="BK172" s="229">
        <v>-9.3899999999999997E-2</v>
      </c>
      <c r="BL172" s="230">
        <v>190800</v>
      </c>
      <c r="BM172" s="230">
        <v>417600</v>
      </c>
      <c r="BN172" s="230">
        <v>-226800</v>
      </c>
      <c r="BO172" s="229">
        <v>-0.54310000000000003</v>
      </c>
      <c r="BP172" s="230">
        <v>1628550</v>
      </c>
      <c r="BQ172" s="230">
        <v>2048400</v>
      </c>
      <c r="BR172" s="230">
        <v>-419850</v>
      </c>
      <c r="BS172" s="229">
        <v>-0.20499999999999999</v>
      </c>
      <c r="BT172" s="230">
        <v>714376</v>
      </c>
      <c r="BU172" s="230">
        <v>338830</v>
      </c>
      <c r="BV172" s="230">
        <v>375546</v>
      </c>
      <c r="BW172" s="229">
        <v>1.1084000000000001</v>
      </c>
      <c r="BX172" s="230">
        <v>5914800</v>
      </c>
      <c r="BY172" s="230">
        <v>5894550</v>
      </c>
      <c r="BZ172" s="230">
        <v>20250</v>
      </c>
      <c r="CA172" s="229">
        <v>3.3999999999999998E-3</v>
      </c>
      <c r="CB172" s="230">
        <v>5669100</v>
      </c>
      <c r="CC172" s="230">
        <v>5648400</v>
      </c>
      <c r="CD172" s="230">
        <v>20700</v>
      </c>
      <c r="CE172" s="229">
        <v>3.7000000000000002E-3</v>
      </c>
      <c r="CF172" s="230">
        <v>245250</v>
      </c>
      <c r="CG172" s="230">
        <v>245700</v>
      </c>
      <c r="CH172" s="228">
        <v>-450</v>
      </c>
      <c r="CI172" s="229">
        <v>-1.8E-3</v>
      </c>
      <c r="CJ172" s="228">
        <v>450</v>
      </c>
      <c r="CK172" s="228">
        <v>450</v>
      </c>
      <c r="CL172" s="228">
        <v>0</v>
      </c>
      <c r="CM172" s="229">
        <v>0</v>
      </c>
      <c r="CN172" s="230">
        <v>1062000</v>
      </c>
      <c r="CO172" s="230">
        <v>998100</v>
      </c>
      <c r="CP172" s="230">
        <v>63900</v>
      </c>
      <c r="CQ172" s="229">
        <v>6.4000000000000001E-2</v>
      </c>
      <c r="CR172" s="230">
        <v>789750</v>
      </c>
      <c r="CS172" s="230">
        <v>809550</v>
      </c>
      <c r="CT172" s="230">
        <v>-19800</v>
      </c>
      <c r="CU172" s="229">
        <v>-2.4500000000000001E-2</v>
      </c>
      <c r="CV172" s="230">
        <v>7766550</v>
      </c>
      <c r="CW172" s="230">
        <v>7702200</v>
      </c>
      <c r="CX172" s="230">
        <v>64350</v>
      </c>
      <c r="CY172" s="229">
        <v>8.3999999999999995E-3</v>
      </c>
      <c r="CZ172" s="228">
        <v>34.29</v>
      </c>
      <c r="DA172" s="228">
        <v>35.880000000000003</v>
      </c>
      <c r="DB172" s="228">
        <v>-1.59</v>
      </c>
      <c r="DC172" s="228">
        <v>-1.59</v>
      </c>
      <c r="DD172" s="228">
        <v>44.18</v>
      </c>
      <c r="DE172" s="228">
        <v>44.23</v>
      </c>
      <c r="DF172" s="228">
        <v>-9.89</v>
      </c>
      <c r="DG172" s="228">
        <v>-0.05</v>
      </c>
      <c r="DH172" s="228">
        <v>33.46</v>
      </c>
      <c r="DI172" s="228">
        <v>34.909999999999997</v>
      </c>
      <c r="DJ172" s="228">
        <v>-1.45</v>
      </c>
      <c r="DK172" s="228">
        <v>-1.45</v>
      </c>
      <c r="DL172" s="228">
        <v>37.630000000000003</v>
      </c>
      <c r="DM172" s="228">
        <v>37.85</v>
      </c>
      <c r="DN172" s="228">
        <v>-0.22</v>
      </c>
      <c r="DO172" s="228">
        <v>-0.22</v>
      </c>
      <c r="DP172" s="228">
        <v>0.74</v>
      </c>
      <c r="DQ172" s="228">
        <v>0.81</v>
      </c>
      <c r="DR172" s="228">
        <v>-7.0000000000000007E-2</v>
      </c>
      <c r="DS172" s="229">
        <v>-8.6400000000000005E-2</v>
      </c>
      <c r="DT172" s="231">
        <v>1600</v>
      </c>
      <c r="DU172" s="231">
        <v>1400</v>
      </c>
      <c r="DV172" s="228">
        <v>0.25</v>
      </c>
      <c r="DW172" s="228">
        <v>0.49</v>
      </c>
      <c r="DX172" s="228">
        <v>-0.24</v>
      </c>
      <c r="DY172" s="229">
        <v>-0.48980000000000001</v>
      </c>
      <c r="DZ172" s="229">
        <v>4.1500000000000002E-2</v>
      </c>
      <c r="EA172" s="230">
        <v>246150</v>
      </c>
      <c r="EB172" s="229">
        <v>6.1000000000000004E-3</v>
      </c>
      <c r="EC172" s="229">
        <v>4.1500000000000002E-2</v>
      </c>
      <c r="ED172" s="228">
        <v>11.34</v>
      </c>
      <c r="EE172" s="229">
        <v>7.7999999999999996E-3</v>
      </c>
      <c r="EF172" s="230">
        <v>408424</v>
      </c>
      <c r="EG172" s="230">
        <v>114543</v>
      </c>
      <c r="EH172" s="229">
        <v>2.5657000000000001</v>
      </c>
      <c r="EI172" s="229">
        <v>0.57169999999999999</v>
      </c>
      <c r="EJ172" s="231">
        <v>11917.53</v>
      </c>
      <c r="EK172" s="231">
        <v>2707.89</v>
      </c>
      <c r="EL172" s="231">
        <v>9754.9699999999993</v>
      </c>
      <c r="EM172" s="231">
        <v>1539</v>
      </c>
      <c r="EN172" s="231">
        <v>24380.39</v>
      </c>
      <c r="EO172" s="231">
        <v>30540.080000000002</v>
      </c>
      <c r="EP172" s="231">
        <v>-6159.69</v>
      </c>
      <c r="EQ172" s="229">
        <v>-0.20169999999999999</v>
      </c>
      <c r="ER172" s="231">
        <v>15993</v>
      </c>
      <c r="ES172" s="231">
        <v>10779</v>
      </c>
      <c r="ET172" s="231">
        <v>86668</v>
      </c>
      <c r="EU172" s="231">
        <v>25234534</v>
      </c>
      <c r="EV172" s="231">
        <v>113440</v>
      </c>
      <c r="EW172" s="231">
        <v>110915</v>
      </c>
      <c r="EX172" s="231">
        <v>2525</v>
      </c>
      <c r="EY172" s="229">
        <v>2.2800000000000001E-2</v>
      </c>
      <c r="EZ172" s="229">
        <v>0.30780000000000002</v>
      </c>
      <c r="FA172" s="227" t="s">
        <v>555</v>
      </c>
      <c r="FB172" s="161">
        <f t="shared" si="4"/>
        <v>0</v>
      </c>
    </row>
    <row r="173" spans="1:158" ht="17.25" thickBot="1" x14ac:dyDescent="0.3">
      <c r="A173" s="226">
        <v>46148</v>
      </c>
      <c r="B173" s="227" t="s">
        <v>172</v>
      </c>
      <c r="C173" s="227" t="s">
        <v>279</v>
      </c>
      <c r="D173" s="228">
        <v>3175</v>
      </c>
      <c r="E173" s="228">
        <v>338.15</v>
      </c>
      <c r="F173" s="228">
        <v>333.7</v>
      </c>
      <c r="G173" s="228">
        <v>4.45</v>
      </c>
      <c r="H173" s="229">
        <v>1.3299999999999999E-2</v>
      </c>
      <c r="I173" s="228">
        <v>335.85</v>
      </c>
      <c r="J173" s="228">
        <v>332.95</v>
      </c>
      <c r="K173" s="228">
        <v>2.9</v>
      </c>
      <c r="L173" s="229">
        <v>8.6999999999999994E-3</v>
      </c>
      <c r="M173" s="228">
        <v>338.15</v>
      </c>
      <c r="N173" s="228">
        <v>333.7</v>
      </c>
      <c r="O173" s="228">
        <v>4.45</v>
      </c>
      <c r="P173" s="229">
        <v>1.3299999999999999E-2</v>
      </c>
      <c r="Q173" s="228">
        <v>340.6</v>
      </c>
      <c r="R173" s="228">
        <v>335.75</v>
      </c>
      <c r="S173" s="228">
        <v>4.8499999999999996</v>
      </c>
      <c r="T173" s="229">
        <v>1.44E-2</v>
      </c>
      <c r="U173" s="228">
        <v>338.5</v>
      </c>
      <c r="V173" s="228">
        <v>341.75</v>
      </c>
      <c r="W173" s="228">
        <v>-3.25</v>
      </c>
      <c r="X173" s="229">
        <v>-9.4999999999999998E-3</v>
      </c>
      <c r="Y173" s="228">
        <v>2.2999999999999998</v>
      </c>
      <c r="Z173" s="228">
        <v>0.75</v>
      </c>
      <c r="AA173" s="228">
        <v>1.55</v>
      </c>
      <c r="AB173" s="229">
        <v>6.7999999999999996E-3</v>
      </c>
      <c r="AC173" s="228">
        <v>2.2999999999999998</v>
      </c>
      <c r="AD173" s="228">
        <v>0.75</v>
      </c>
      <c r="AE173" s="228">
        <v>1.55</v>
      </c>
      <c r="AF173" s="229">
        <v>6.7999999999999996E-3</v>
      </c>
      <c r="AG173" s="228">
        <v>4.75</v>
      </c>
      <c r="AH173" s="228">
        <v>2.8</v>
      </c>
      <c r="AI173" s="228">
        <v>1.95</v>
      </c>
      <c r="AJ173" s="229">
        <v>1.41E-2</v>
      </c>
      <c r="AK173" s="228">
        <v>2.65</v>
      </c>
      <c r="AL173" s="228">
        <v>8.8000000000000007</v>
      </c>
      <c r="AM173" s="228">
        <v>-6.15</v>
      </c>
      <c r="AN173" s="229">
        <v>7.9000000000000008E-3</v>
      </c>
      <c r="AO173" s="228">
        <v>338.64</v>
      </c>
      <c r="AP173" s="228">
        <v>340.19</v>
      </c>
      <c r="AQ173" s="228">
        <v>0</v>
      </c>
      <c r="AR173" s="230">
        <v>15376525</v>
      </c>
      <c r="AS173" s="230">
        <v>7747000</v>
      </c>
      <c r="AT173" s="230">
        <v>7629525</v>
      </c>
      <c r="AU173" s="229">
        <v>0.98480000000000001</v>
      </c>
      <c r="AV173" s="230">
        <v>15078075</v>
      </c>
      <c r="AW173" s="230">
        <v>7550150</v>
      </c>
      <c r="AX173" s="230">
        <v>7527925</v>
      </c>
      <c r="AY173" s="229">
        <v>0.99709999999999999</v>
      </c>
      <c r="AZ173" s="230">
        <v>288925</v>
      </c>
      <c r="BA173" s="230">
        <v>196850</v>
      </c>
      <c r="BB173" s="230">
        <v>92075</v>
      </c>
      <c r="BC173" s="229">
        <v>0.4677</v>
      </c>
      <c r="BD173" s="230">
        <v>9525</v>
      </c>
      <c r="BE173" s="228">
        <v>0</v>
      </c>
      <c r="BF173" s="230">
        <v>9525</v>
      </c>
      <c r="BG173" s="229">
        <v>0</v>
      </c>
      <c r="BH173" s="230">
        <v>37915850</v>
      </c>
      <c r="BI173" s="230">
        <v>21520150</v>
      </c>
      <c r="BJ173" s="230">
        <v>16395700</v>
      </c>
      <c r="BK173" s="229">
        <v>0.76190000000000002</v>
      </c>
      <c r="BL173" s="230">
        <v>15205075</v>
      </c>
      <c r="BM173" s="230">
        <v>10299700</v>
      </c>
      <c r="BN173" s="230">
        <v>4905375</v>
      </c>
      <c r="BO173" s="229">
        <v>0.4763</v>
      </c>
      <c r="BP173" s="230">
        <v>68497450</v>
      </c>
      <c r="BQ173" s="230">
        <v>39566850</v>
      </c>
      <c r="BR173" s="230">
        <v>28930600</v>
      </c>
      <c r="BS173" s="229">
        <v>0.73119999999999996</v>
      </c>
      <c r="BT173" s="230">
        <v>5060174</v>
      </c>
      <c r="BU173" s="230">
        <v>4520142</v>
      </c>
      <c r="BV173" s="230">
        <v>540032</v>
      </c>
      <c r="BW173" s="229">
        <v>0.1195</v>
      </c>
      <c r="BX173" s="230">
        <v>66817875</v>
      </c>
      <c r="BY173" s="230">
        <v>65960625</v>
      </c>
      <c r="BZ173" s="230">
        <v>857250</v>
      </c>
      <c r="CA173" s="229">
        <v>1.2999999999999999E-2</v>
      </c>
      <c r="CB173" s="230">
        <v>66268600</v>
      </c>
      <c r="CC173" s="230">
        <v>65417700</v>
      </c>
      <c r="CD173" s="230">
        <v>850900</v>
      </c>
      <c r="CE173" s="229">
        <v>1.2999999999999999E-2</v>
      </c>
      <c r="CF173" s="230">
        <v>530225</v>
      </c>
      <c r="CG173" s="230">
        <v>530225</v>
      </c>
      <c r="CH173" s="228">
        <v>0</v>
      </c>
      <c r="CI173" s="229">
        <v>0</v>
      </c>
      <c r="CJ173" s="230">
        <v>19050</v>
      </c>
      <c r="CK173" s="230">
        <v>12700</v>
      </c>
      <c r="CL173" s="230">
        <v>6350</v>
      </c>
      <c r="CM173" s="229">
        <v>0.5</v>
      </c>
      <c r="CN173" s="230">
        <v>19926300</v>
      </c>
      <c r="CO173" s="230">
        <v>19634200</v>
      </c>
      <c r="CP173" s="230">
        <v>292100</v>
      </c>
      <c r="CQ173" s="229">
        <v>1.49E-2</v>
      </c>
      <c r="CR173" s="230">
        <v>15087600</v>
      </c>
      <c r="CS173" s="230">
        <v>14417675</v>
      </c>
      <c r="CT173" s="230">
        <v>669925</v>
      </c>
      <c r="CU173" s="229">
        <v>4.65E-2</v>
      </c>
      <c r="CV173" s="230">
        <v>101831775</v>
      </c>
      <c r="CW173" s="230">
        <v>100012500</v>
      </c>
      <c r="CX173" s="230">
        <v>1819275</v>
      </c>
      <c r="CY173" s="229">
        <v>1.8200000000000001E-2</v>
      </c>
      <c r="CZ173" s="228">
        <v>33.770000000000003</v>
      </c>
      <c r="DA173" s="228">
        <v>34.65</v>
      </c>
      <c r="DB173" s="228">
        <v>-0.88</v>
      </c>
      <c r="DC173" s="228">
        <v>-0.88</v>
      </c>
      <c r="DD173" s="228">
        <v>43.41</v>
      </c>
      <c r="DE173" s="228">
        <v>43.5</v>
      </c>
      <c r="DF173" s="228">
        <v>-9.64</v>
      </c>
      <c r="DG173" s="228">
        <v>-0.09</v>
      </c>
      <c r="DH173" s="228">
        <v>33.82</v>
      </c>
      <c r="DI173" s="228">
        <v>34.33</v>
      </c>
      <c r="DJ173" s="228">
        <v>-0.51</v>
      </c>
      <c r="DK173" s="228">
        <v>-0.51</v>
      </c>
      <c r="DL173" s="228">
        <v>33.65</v>
      </c>
      <c r="DM173" s="228">
        <v>35.32</v>
      </c>
      <c r="DN173" s="228">
        <v>-1.67</v>
      </c>
      <c r="DO173" s="228">
        <v>-1.67</v>
      </c>
      <c r="DP173" s="228">
        <v>0.76</v>
      </c>
      <c r="DQ173" s="228">
        <v>0.73</v>
      </c>
      <c r="DR173" s="228">
        <v>0.03</v>
      </c>
      <c r="DS173" s="229">
        <v>4.1099999999999998E-2</v>
      </c>
      <c r="DT173" s="228">
        <v>350</v>
      </c>
      <c r="DU173" s="228">
        <v>300</v>
      </c>
      <c r="DV173" s="228">
        <v>0.4</v>
      </c>
      <c r="DW173" s="228">
        <v>0.48</v>
      </c>
      <c r="DX173" s="228">
        <v>-0.08</v>
      </c>
      <c r="DY173" s="229">
        <v>-0.16669999999999999</v>
      </c>
      <c r="DZ173" s="229">
        <v>8.2000000000000007E-3</v>
      </c>
      <c r="EA173" s="230">
        <v>542925</v>
      </c>
      <c r="EB173" s="229">
        <v>7.1999999999999998E-3</v>
      </c>
      <c r="EC173" s="229">
        <v>8.2000000000000007E-3</v>
      </c>
      <c r="ED173" s="228">
        <v>1.55</v>
      </c>
      <c r="EE173" s="229">
        <v>4.5999999999999999E-3</v>
      </c>
      <c r="EF173" s="230">
        <v>1409180</v>
      </c>
      <c r="EG173" s="230">
        <v>1793753</v>
      </c>
      <c r="EH173" s="229">
        <v>-0.21440000000000001</v>
      </c>
      <c r="EI173" s="229">
        <v>0.27850000000000003</v>
      </c>
      <c r="EJ173" s="231">
        <v>135066.75</v>
      </c>
      <c r="EK173" s="231">
        <v>50976.800000000003</v>
      </c>
      <c r="EL173" s="231">
        <v>52075.14</v>
      </c>
      <c r="EM173" s="231">
        <v>5994</v>
      </c>
      <c r="EN173" s="231">
        <v>238118.69</v>
      </c>
      <c r="EO173" s="231">
        <v>135454.63</v>
      </c>
      <c r="EP173" s="231">
        <v>102664.06</v>
      </c>
      <c r="EQ173" s="229">
        <v>0.75790000000000002</v>
      </c>
      <c r="ER173" s="231">
        <v>68693</v>
      </c>
      <c r="ES173" s="231">
        <v>47477</v>
      </c>
      <c r="ET173" s="231">
        <v>225958</v>
      </c>
      <c r="EU173" s="231">
        <v>92573471</v>
      </c>
      <c r="EV173" s="231">
        <v>342128</v>
      </c>
      <c r="EW173" s="231">
        <v>332986</v>
      </c>
      <c r="EX173" s="231">
        <v>9142</v>
      </c>
      <c r="EY173" s="229">
        <v>2.75E-2</v>
      </c>
      <c r="EZ173" s="229">
        <v>1.1000000000000001</v>
      </c>
      <c r="FA173" s="227" t="s">
        <v>555</v>
      </c>
      <c r="FB173" s="161">
        <f t="shared" si="4"/>
        <v>0</v>
      </c>
    </row>
    <row r="174" spans="1:158" ht="17.25" thickBot="1" x14ac:dyDescent="0.3">
      <c r="A174" s="226">
        <v>46148</v>
      </c>
      <c r="B174" s="227" t="s">
        <v>175</v>
      </c>
      <c r="C174" s="227" t="s">
        <v>280</v>
      </c>
      <c r="D174" s="228">
        <v>1400</v>
      </c>
      <c r="E174" s="228">
        <v>361.45</v>
      </c>
      <c r="F174" s="228">
        <v>358.6</v>
      </c>
      <c r="G174" s="228">
        <v>2.85</v>
      </c>
      <c r="H174" s="229">
        <v>7.9000000000000008E-3</v>
      </c>
      <c r="I174" s="228">
        <v>359.1</v>
      </c>
      <c r="J174" s="228">
        <v>356.4</v>
      </c>
      <c r="K174" s="228">
        <v>2.7</v>
      </c>
      <c r="L174" s="229">
        <v>7.6E-3</v>
      </c>
      <c r="M174" s="228">
        <v>361.45</v>
      </c>
      <c r="N174" s="228">
        <v>358.6</v>
      </c>
      <c r="O174" s="228">
        <v>2.85</v>
      </c>
      <c r="P174" s="229">
        <v>7.9000000000000008E-3</v>
      </c>
      <c r="Q174" s="228">
        <v>363.45</v>
      </c>
      <c r="R174" s="228">
        <v>360.2</v>
      </c>
      <c r="S174" s="228">
        <v>3.25</v>
      </c>
      <c r="T174" s="229">
        <v>8.9999999999999993E-3</v>
      </c>
      <c r="U174" s="228">
        <v>365.1</v>
      </c>
      <c r="V174" s="228">
        <v>363</v>
      </c>
      <c r="W174" s="228">
        <v>2.1</v>
      </c>
      <c r="X174" s="229">
        <v>5.7999999999999996E-3</v>
      </c>
      <c r="Y174" s="228">
        <v>2.35</v>
      </c>
      <c r="Z174" s="228">
        <v>2.2000000000000002</v>
      </c>
      <c r="AA174" s="228">
        <v>0.15</v>
      </c>
      <c r="AB174" s="229">
        <v>6.4999999999999997E-3</v>
      </c>
      <c r="AC174" s="228">
        <v>2.35</v>
      </c>
      <c r="AD174" s="228">
        <v>2.2000000000000002</v>
      </c>
      <c r="AE174" s="228">
        <v>0.15</v>
      </c>
      <c r="AF174" s="229">
        <v>6.4999999999999997E-3</v>
      </c>
      <c r="AG174" s="228">
        <v>4.3499999999999996</v>
      </c>
      <c r="AH174" s="228">
        <v>3.8</v>
      </c>
      <c r="AI174" s="228">
        <v>0.55000000000000004</v>
      </c>
      <c r="AJ174" s="229">
        <v>1.21E-2</v>
      </c>
      <c r="AK174" s="228">
        <v>6</v>
      </c>
      <c r="AL174" s="228">
        <v>6.6</v>
      </c>
      <c r="AM174" s="228">
        <v>-0.6</v>
      </c>
      <c r="AN174" s="229">
        <v>1.67E-2</v>
      </c>
      <c r="AO174" s="228">
        <v>358.14</v>
      </c>
      <c r="AP174" s="228">
        <v>359.3</v>
      </c>
      <c r="AQ174" s="228">
        <v>0</v>
      </c>
      <c r="AR174" s="230">
        <v>8474200</v>
      </c>
      <c r="AS174" s="230">
        <v>6616400</v>
      </c>
      <c r="AT174" s="230">
        <v>1857800</v>
      </c>
      <c r="AU174" s="229">
        <v>0.28079999999999999</v>
      </c>
      <c r="AV174" s="230">
        <v>7592200</v>
      </c>
      <c r="AW174" s="230">
        <v>6169800</v>
      </c>
      <c r="AX174" s="230">
        <v>1422400</v>
      </c>
      <c r="AY174" s="229">
        <v>0.23050000000000001</v>
      </c>
      <c r="AZ174" s="230">
        <v>782600</v>
      </c>
      <c r="BA174" s="230">
        <v>403200</v>
      </c>
      <c r="BB174" s="230">
        <v>379400</v>
      </c>
      <c r="BC174" s="229">
        <v>0.94099999999999995</v>
      </c>
      <c r="BD174" s="230">
        <v>99400</v>
      </c>
      <c r="BE174" s="230">
        <v>43400</v>
      </c>
      <c r="BF174" s="230">
        <v>56000</v>
      </c>
      <c r="BG174" s="229">
        <v>1.2903</v>
      </c>
      <c r="BH174" s="230">
        <v>24992800</v>
      </c>
      <c r="BI174" s="230">
        <v>24606400</v>
      </c>
      <c r="BJ174" s="230">
        <v>386400</v>
      </c>
      <c r="BK174" s="229">
        <v>1.5699999999999999E-2</v>
      </c>
      <c r="BL174" s="230">
        <v>12210800</v>
      </c>
      <c r="BM174" s="230">
        <v>9090200</v>
      </c>
      <c r="BN174" s="230">
        <v>3120600</v>
      </c>
      <c r="BO174" s="229">
        <v>0.34329999999999999</v>
      </c>
      <c r="BP174" s="230">
        <v>45677800</v>
      </c>
      <c r="BQ174" s="230">
        <v>40313000</v>
      </c>
      <c r="BR174" s="230">
        <v>5364800</v>
      </c>
      <c r="BS174" s="229">
        <v>0.1331</v>
      </c>
      <c r="BT174" s="230">
        <v>10340398</v>
      </c>
      <c r="BU174" s="230">
        <v>7420560</v>
      </c>
      <c r="BV174" s="230">
        <v>2919838</v>
      </c>
      <c r="BW174" s="229">
        <v>0.39350000000000002</v>
      </c>
      <c r="BX174" s="230">
        <v>67975600</v>
      </c>
      <c r="BY174" s="230">
        <v>67050900</v>
      </c>
      <c r="BZ174" s="230">
        <v>924700</v>
      </c>
      <c r="CA174" s="229">
        <v>1.38E-2</v>
      </c>
      <c r="CB174" s="230">
        <v>63786800</v>
      </c>
      <c r="CC174" s="230">
        <v>63156800</v>
      </c>
      <c r="CD174" s="230">
        <v>630000</v>
      </c>
      <c r="CE174" s="229">
        <v>0.01</v>
      </c>
      <c r="CF174" s="230">
        <v>3949400</v>
      </c>
      <c r="CG174" s="230">
        <v>3711400</v>
      </c>
      <c r="CH174" s="230">
        <v>238000</v>
      </c>
      <c r="CI174" s="229">
        <v>6.4100000000000004E-2</v>
      </c>
      <c r="CJ174" s="230">
        <v>239400</v>
      </c>
      <c r="CK174" s="230">
        <v>182700</v>
      </c>
      <c r="CL174" s="230">
        <v>56700</v>
      </c>
      <c r="CM174" s="229">
        <v>0.31030000000000002</v>
      </c>
      <c r="CN174" s="230">
        <v>28649600</v>
      </c>
      <c r="CO174" s="230">
        <v>28184800</v>
      </c>
      <c r="CP174" s="230">
        <v>464800</v>
      </c>
      <c r="CQ174" s="229">
        <v>1.6500000000000001E-2</v>
      </c>
      <c r="CR174" s="230">
        <v>17333575</v>
      </c>
      <c r="CS174" s="230">
        <v>16788800</v>
      </c>
      <c r="CT174" s="230">
        <v>544775</v>
      </c>
      <c r="CU174" s="229">
        <v>3.2399999999999998E-2</v>
      </c>
      <c r="CV174" s="230">
        <v>113958775</v>
      </c>
      <c r="CW174" s="230">
        <v>112024500</v>
      </c>
      <c r="CX174" s="230">
        <v>1934275</v>
      </c>
      <c r="CY174" s="229">
        <v>1.7299999999999999E-2</v>
      </c>
      <c r="CZ174" s="228">
        <v>32.85</v>
      </c>
      <c r="DA174" s="228">
        <v>33.450000000000003</v>
      </c>
      <c r="DB174" s="228">
        <v>-0.6</v>
      </c>
      <c r="DC174" s="228">
        <v>-0.6</v>
      </c>
      <c r="DD174" s="228">
        <v>42.15</v>
      </c>
      <c r="DE174" s="228">
        <v>42.24</v>
      </c>
      <c r="DF174" s="228">
        <v>-9.3000000000000007</v>
      </c>
      <c r="DG174" s="228">
        <v>-0.09</v>
      </c>
      <c r="DH174" s="228">
        <v>32.799999999999997</v>
      </c>
      <c r="DI174" s="228">
        <v>33.25</v>
      </c>
      <c r="DJ174" s="228">
        <v>-0.45</v>
      </c>
      <c r="DK174" s="228">
        <v>-0.45</v>
      </c>
      <c r="DL174" s="228">
        <v>32.94</v>
      </c>
      <c r="DM174" s="228">
        <v>33.97</v>
      </c>
      <c r="DN174" s="228">
        <v>-1.03</v>
      </c>
      <c r="DO174" s="228">
        <v>-1.03</v>
      </c>
      <c r="DP174" s="228">
        <v>0.61</v>
      </c>
      <c r="DQ174" s="228">
        <v>0.6</v>
      </c>
      <c r="DR174" s="228">
        <v>0.01</v>
      </c>
      <c r="DS174" s="229">
        <v>1.67E-2</v>
      </c>
      <c r="DT174" s="228">
        <v>400</v>
      </c>
      <c r="DU174" s="228">
        <v>360</v>
      </c>
      <c r="DV174" s="228">
        <v>0.49</v>
      </c>
      <c r="DW174" s="228">
        <v>0.37</v>
      </c>
      <c r="DX174" s="228">
        <v>0.12</v>
      </c>
      <c r="DY174" s="229">
        <v>0.32429999999999998</v>
      </c>
      <c r="DZ174" s="229">
        <v>6.1600000000000002E-2</v>
      </c>
      <c r="EA174" s="230">
        <v>3894100</v>
      </c>
      <c r="EB174" s="229">
        <v>5.4999999999999997E-3</v>
      </c>
      <c r="EC174" s="229">
        <v>6.1600000000000002E-2</v>
      </c>
      <c r="ED174" s="228">
        <v>1.1599999999999999</v>
      </c>
      <c r="EE174" s="229">
        <v>3.2000000000000002E-3</v>
      </c>
      <c r="EF174" s="230">
        <v>5197256</v>
      </c>
      <c r="EG174" s="230">
        <v>3829964</v>
      </c>
      <c r="EH174" s="229">
        <v>0.35699999999999998</v>
      </c>
      <c r="EI174" s="229">
        <v>0.50260000000000005</v>
      </c>
      <c r="EJ174" s="231">
        <v>95526.66</v>
      </c>
      <c r="EK174" s="231">
        <v>43200.23</v>
      </c>
      <c r="EL174" s="231">
        <v>30406.15</v>
      </c>
      <c r="EM174" s="231">
        <v>7284</v>
      </c>
      <c r="EN174" s="231">
        <v>169133.04</v>
      </c>
      <c r="EO174" s="231">
        <v>150296.98000000001</v>
      </c>
      <c r="EP174" s="231">
        <v>18836.060000000001</v>
      </c>
      <c r="EQ174" s="229">
        <v>0.12529999999999999</v>
      </c>
      <c r="ER174" s="231">
        <v>110230</v>
      </c>
      <c r="ES174" s="231">
        <v>61696</v>
      </c>
      <c r="ET174" s="231">
        <v>245786</v>
      </c>
      <c r="EU174" s="231">
        <v>187084550</v>
      </c>
      <c r="EV174" s="231">
        <v>417712</v>
      </c>
      <c r="EW174" s="231">
        <v>408822</v>
      </c>
      <c r="EX174" s="231">
        <v>8890</v>
      </c>
      <c r="EY174" s="229">
        <v>2.1700000000000001E-2</v>
      </c>
      <c r="EZ174" s="229">
        <v>0.60909999999999997</v>
      </c>
      <c r="FA174" s="227" t="s">
        <v>555</v>
      </c>
      <c r="FB174" s="161">
        <f t="shared" si="4"/>
        <v>0</v>
      </c>
    </row>
    <row r="175" spans="1:158" ht="17.25" thickBot="1" x14ac:dyDescent="0.3">
      <c r="A175" s="226">
        <v>46148</v>
      </c>
      <c r="B175" s="227" t="s">
        <v>193</v>
      </c>
      <c r="C175" s="227" t="s">
        <v>281</v>
      </c>
      <c r="D175" s="228">
        <v>500</v>
      </c>
      <c r="E175" s="231">
        <v>1446.2</v>
      </c>
      <c r="F175" s="231">
        <v>1467.4</v>
      </c>
      <c r="G175" s="228">
        <v>-21.2</v>
      </c>
      <c r="H175" s="229">
        <v>-1.44E-2</v>
      </c>
      <c r="I175" s="231">
        <v>1437.9</v>
      </c>
      <c r="J175" s="231">
        <v>1463.6</v>
      </c>
      <c r="K175" s="228">
        <v>-25.7</v>
      </c>
      <c r="L175" s="229">
        <v>-1.7600000000000001E-2</v>
      </c>
      <c r="M175" s="231">
        <v>1446.2</v>
      </c>
      <c r="N175" s="231">
        <v>1467.4</v>
      </c>
      <c r="O175" s="228">
        <v>-21.2</v>
      </c>
      <c r="P175" s="229">
        <v>-1.44E-2</v>
      </c>
      <c r="Q175" s="231">
        <v>1455.9</v>
      </c>
      <c r="R175" s="231">
        <v>1477.1</v>
      </c>
      <c r="S175" s="228">
        <v>-21.2</v>
      </c>
      <c r="T175" s="229">
        <v>-1.44E-2</v>
      </c>
      <c r="U175" s="231">
        <v>1463.6</v>
      </c>
      <c r="V175" s="231">
        <v>1484.6</v>
      </c>
      <c r="W175" s="228">
        <v>-21</v>
      </c>
      <c r="X175" s="229">
        <v>-1.41E-2</v>
      </c>
      <c r="Y175" s="228">
        <v>8.3000000000000007</v>
      </c>
      <c r="Z175" s="228">
        <v>3.8</v>
      </c>
      <c r="AA175" s="228">
        <v>4.5</v>
      </c>
      <c r="AB175" s="229">
        <v>5.7999999999999996E-3</v>
      </c>
      <c r="AC175" s="228">
        <v>8.3000000000000007</v>
      </c>
      <c r="AD175" s="228">
        <v>3.8</v>
      </c>
      <c r="AE175" s="228">
        <v>4.5</v>
      </c>
      <c r="AF175" s="229">
        <v>5.7999999999999996E-3</v>
      </c>
      <c r="AG175" s="228">
        <v>18</v>
      </c>
      <c r="AH175" s="228">
        <v>13.5</v>
      </c>
      <c r="AI175" s="228">
        <v>4.5</v>
      </c>
      <c r="AJ175" s="229">
        <v>1.2500000000000001E-2</v>
      </c>
      <c r="AK175" s="228">
        <v>25.7</v>
      </c>
      <c r="AL175" s="228">
        <v>21</v>
      </c>
      <c r="AM175" s="228">
        <v>4.7</v>
      </c>
      <c r="AN175" s="229">
        <v>1.7899999999999999E-2</v>
      </c>
      <c r="AO175" s="231">
        <v>1451.07</v>
      </c>
      <c r="AP175" s="231">
        <v>1460.09</v>
      </c>
      <c r="AQ175" s="228">
        <v>0</v>
      </c>
      <c r="AR175" s="230">
        <v>12876000</v>
      </c>
      <c r="AS175" s="230">
        <v>13434500</v>
      </c>
      <c r="AT175" s="230">
        <v>-558500</v>
      </c>
      <c r="AU175" s="229">
        <v>-4.1599999999999998E-2</v>
      </c>
      <c r="AV175" s="230">
        <v>11273000</v>
      </c>
      <c r="AW175" s="230">
        <v>12154000</v>
      </c>
      <c r="AX175" s="230">
        <v>-881000</v>
      </c>
      <c r="AY175" s="229">
        <v>-7.2499999999999995E-2</v>
      </c>
      <c r="AZ175" s="230">
        <v>1309500</v>
      </c>
      <c r="BA175" s="230">
        <v>1143000</v>
      </c>
      <c r="BB175" s="230">
        <v>166500</v>
      </c>
      <c r="BC175" s="229">
        <v>0.1457</v>
      </c>
      <c r="BD175" s="230">
        <v>293500</v>
      </c>
      <c r="BE175" s="230">
        <v>137500</v>
      </c>
      <c r="BF175" s="230">
        <v>156000</v>
      </c>
      <c r="BG175" s="229">
        <v>1.1345000000000001</v>
      </c>
      <c r="BH175" s="230">
        <v>99113500</v>
      </c>
      <c r="BI175" s="230">
        <v>61682500</v>
      </c>
      <c r="BJ175" s="230">
        <v>37431000</v>
      </c>
      <c r="BK175" s="229">
        <v>0.60680000000000001</v>
      </c>
      <c r="BL175" s="230">
        <v>60362500</v>
      </c>
      <c r="BM175" s="230">
        <v>45436500</v>
      </c>
      <c r="BN175" s="230">
        <v>14926000</v>
      </c>
      <c r="BO175" s="229">
        <v>0.32850000000000001</v>
      </c>
      <c r="BP175" s="230">
        <v>172352000</v>
      </c>
      <c r="BQ175" s="230">
        <v>120553500</v>
      </c>
      <c r="BR175" s="230">
        <v>51798500</v>
      </c>
      <c r="BS175" s="229">
        <v>0.42970000000000003</v>
      </c>
      <c r="BT175" s="230">
        <v>15207996</v>
      </c>
      <c r="BU175" s="230">
        <v>24543159</v>
      </c>
      <c r="BV175" s="230">
        <v>-9335163</v>
      </c>
      <c r="BW175" s="229">
        <v>-0.38040000000000002</v>
      </c>
      <c r="BX175" s="230">
        <v>97085500</v>
      </c>
      <c r="BY175" s="230">
        <v>95807500</v>
      </c>
      <c r="BZ175" s="230">
        <v>1278000</v>
      </c>
      <c r="CA175" s="229">
        <v>1.3299999999999999E-2</v>
      </c>
      <c r="CB175" s="230">
        <v>76972000</v>
      </c>
      <c r="CC175" s="230">
        <v>76328000</v>
      </c>
      <c r="CD175" s="230">
        <v>644000</v>
      </c>
      <c r="CE175" s="229">
        <v>8.3999999999999995E-3</v>
      </c>
      <c r="CF175" s="230">
        <v>19647500</v>
      </c>
      <c r="CG175" s="230">
        <v>19182500</v>
      </c>
      <c r="CH175" s="230">
        <v>465000</v>
      </c>
      <c r="CI175" s="229">
        <v>2.4199999999999999E-2</v>
      </c>
      <c r="CJ175" s="230">
        <v>466000</v>
      </c>
      <c r="CK175" s="230">
        <v>297000</v>
      </c>
      <c r="CL175" s="230">
        <v>169000</v>
      </c>
      <c r="CM175" s="229">
        <v>0.56899999999999995</v>
      </c>
      <c r="CN175" s="230">
        <v>48645000</v>
      </c>
      <c r="CO175" s="230">
        <v>40086000</v>
      </c>
      <c r="CP175" s="230">
        <v>8559000</v>
      </c>
      <c r="CQ175" s="229">
        <v>0.2135</v>
      </c>
      <c r="CR175" s="230">
        <v>35061500</v>
      </c>
      <c r="CS175" s="230">
        <v>37083500</v>
      </c>
      <c r="CT175" s="230">
        <v>-2022000</v>
      </c>
      <c r="CU175" s="229">
        <v>-5.45E-2</v>
      </c>
      <c r="CV175" s="230">
        <v>180792000</v>
      </c>
      <c r="CW175" s="230">
        <v>172977000</v>
      </c>
      <c r="CX175" s="230">
        <v>7815000</v>
      </c>
      <c r="CY175" s="229">
        <v>4.5199999999999997E-2</v>
      </c>
      <c r="CZ175" s="228">
        <v>21.24</v>
      </c>
      <c r="DA175" s="228">
        <v>21.55</v>
      </c>
      <c r="DB175" s="228">
        <v>-0.31</v>
      </c>
      <c r="DC175" s="228">
        <v>-0.31</v>
      </c>
      <c r="DD175" s="228">
        <v>26.71</v>
      </c>
      <c r="DE175" s="228">
        <v>26.67</v>
      </c>
      <c r="DF175" s="228">
        <v>-5.47</v>
      </c>
      <c r="DG175" s="228">
        <v>0.04</v>
      </c>
      <c r="DH175" s="228">
        <v>20.63</v>
      </c>
      <c r="DI175" s="228">
        <v>20.3</v>
      </c>
      <c r="DJ175" s="228">
        <v>0.33</v>
      </c>
      <c r="DK175" s="228">
        <v>0.33</v>
      </c>
      <c r="DL175" s="228">
        <v>22.24</v>
      </c>
      <c r="DM175" s="228">
        <v>23.26</v>
      </c>
      <c r="DN175" s="228">
        <v>-1.02</v>
      </c>
      <c r="DO175" s="228">
        <v>-1.02</v>
      </c>
      <c r="DP175" s="228">
        <v>0.72</v>
      </c>
      <c r="DQ175" s="228">
        <v>0.93</v>
      </c>
      <c r="DR175" s="228">
        <v>-0.21</v>
      </c>
      <c r="DS175" s="229">
        <v>-0.2258</v>
      </c>
      <c r="DT175" s="231">
        <v>1500</v>
      </c>
      <c r="DU175" s="231">
        <v>1400</v>
      </c>
      <c r="DV175" s="228">
        <v>0.61</v>
      </c>
      <c r="DW175" s="228">
        <v>0.74</v>
      </c>
      <c r="DX175" s="228">
        <v>-0.13</v>
      </c>
      <c r="DY175" s="229">
        <v>-0.1757</v>
      </c>
      <c r="DZ175" s="229">
        <v>0.2072</v>
      </c>
      <c r="EA175" s="230">
        <v>19479500</v>
      </c>
      <c r="EB175" s="229">
        <v>6.7000000000000002E-3</v>
      </c>
      <c r="EC175" s="229">
        <v>0.2072</v>
      </c>
      <c r="ED175" s="228">
        <v>9.02</v>
      </c>
      <c r="EE175" s="229">
        <v>6.1999999999999998E-3</v>
      </c>
      <c r="EF175" s="230">
        <v>7393624</v>
      </c>
      <c r="EG175" s="230">
        <v>11155792</v>
      </c>
      <c r="EH175" s="229">
        <v>-0.3372</v>
      </c>
      <c r="EI175" s="229">
        <v>0.48620000000000002</v>
      </c>
      <c r="EJ175" s="231">
        <v>1492066.34</v>
      </c>
      <c r="EK175" s="231">
        <v>862651.54</v>
      </c>
      <c r="EL175" s="231">
        <v>187004.45</v>
      </c>
      <c r="EM175" s="231">
        <v>35614</v>
      </c>
      <c r="EN175" s="231">
        <v>2541722.33</v>
      </c>
      <c r="EO175" s="231">
        <v>1786178.38</v>
      </c>
      <c r="EP175" s="231">
        <v>755543.95</v>
      </c>
      <c r="EQ175" s="229">
        <v>0.42299999999999999</v>
      </c>
      <c r="ER175" s="231">
        <v>718866</v>
      </c>
      <c r="ES175" s="231">
        <v>482153</v>
      </c>
      <c r="ET175" s="231">
        <v>1406037</v>
      </c>
      <c r="EU175" s="231">
        <v>664381721</v>
      </c>
      <c r="EV175" s="231">
        <v>2607056</v>
      </c>
      <c r="EW175" s="231">
        <v>2508473</v>
      </c>
      <c r="EX175" s="231">
        <v>98583</v>
      </c>
      <c r="EY175" s="229">
        <v>3.9300000000000002E-2</v>
      </c>
      <c r="EZ175" s="229">
        <v>0.27210000000000001</v>
      </c>
      <c r="FA175" s="227" t="s">
        <v>566</v>
      </c>
      <c r="FB175" s="161">
        <f t="shared" si="4"/>
        <v>0</v>
      </c>
    </row>
    <row r="176" spans="1:158" ht="17.25" thickBot="1" x14ac:dyDescent="0.3">
      <c r="A176" s="226">
        <v>46148</v>
      </c>
      <c r="B176" s="227" t="s">
        <v>215</v>
      </c>
      <c r="C176" s="227" t="s">
        <v>672</v>
      </c>
      <c r="D176" s="228">
        <v>1525</v>
      </c>
      <c r="E176" s="228">
        <v>304.25</v>
      </c>
      <c r="F176" s="228">
        <v>298.3</v>
      </c>
      <c r="G176" s="228">
        <v>5.95</v>
      </c>
      <c r="H176" s="229">
        <v>1.9900000000000001E-2</v>
      </c>
      <c r="I176" s="228">
        <v>305.10000000000002</v>
      </c>
      <c r="J176" s="228">
        <v>300.45</v>
      </c>
      <c r="K176" s="228">
        <v>4.6500000000000004</v>
      </c>
      <c r="L176" s="229">
        <v>1.55E-2</v>
      </c>
      <c r="M176" s="228">
        <v>304.25</v>
      </c>
      <c r="N176" s="228">
        <v>298.3</v>
      </c>
      <c r="O176" s="228">
        <v>5.95</v>
      </c>
      <c r="P176" s="229">
        <v>1.9900000000000001E-2</v>
      </c>
      <c r="Q176" s="228">
        <v>294.3</v>
      </c>
      <c r="R176" s="228">
        <v>288.25</v>
      </c>
      <c r="S176" s="228">
        <v>6.05</v>
      </c>
      <c r="T176" s="229">
        <v>2.1000000000000001E-2</v>
      </c>
      <c r="U176" s="228">
        <v>289.25</v>
      </c>
      <c r="V176" s="228">
        <v>283.14999999999998</v>
      </c>
      <c r="W176" s="228">
        <v>6.1</v>
      </c>
      <c r="X176" s="229">
        <v>2.1499999999999998E-2</v>
      </c>
      <c r="Y176" s="228">
        <v>-0.85</v>
      </c>
      <c r="Z176" s="228">
        <v>-2.15</v>
      </c>
      <c r="AA176" s="228">
        <v>1.3</v>
      </c>
      <c r="AB176" s="229">
        <v>-2.8E-3</v>
      </c>
      <c r="AC176" s="228">
        <v>-0.85</v>
      </c>
      <c r="AD176" s="228">
        <v>-2.15</v>
      </c>
      <c r="AE176" s="228">
        <v>1.3</v>
      </c>
      <c r="AF176" s="229">
        <v>-2.8E-3</v>
      </c>
      <c r="AG176" s="228">
        <v>-10.8</v>
      </c>
      <c r="AH176" s="228">
        <v>-12.2</v>
      </c>
      <c r="AI176" s="228">
        <v>1.4</v>
      </c>
      <c r="AJ176" s="229">
        <v>-3.5400000000000001E-2</v>
      </c>
      <c r="AK176" s="228">
        <v>-15.85</v>
      </c>
      <c r="AL176" s="228">
        <v>-17.3</v>
      </c>
      <c r="AM176" s="228">
        <v>1.45</v>
      </c>
      <c r="AN176" s="229">
        <v>-5.1999999999999998E-2</v>
      </c>
      <c r="AO176" s="228">
        <v>301.55</v>
      </c>
      <c r="AP176" s="228">
        <v>291.08</v>
      </c>
      <c r="AQ176" s="228">
        <v>0</v>
      </c>
      <c r="AR176" s="230">
        <v>8495775</v>
      </c>
      <c r="AS176" s="230">
        <v>7318475</v>
      </c>
      <c r="AT176" s="230">
        <v>1177300</v>
      </c>
      <c r="AU176" s="229">
        <v>0.16089999999999999</v>
      </c>
      <c r="AV176" s="230">
        <v>5755350</v>
      </c>
      <c r="AW176" s="230">
        <v>5075200</v>
      </c>
      <c r="AX176" s="230">
        <v>680150</v>
      </c>
      <c r="AY176" s="229">
        <v>0.13400000000000001</v>
      </c>
      <c r="AZ176" s="230">
        <v>2529975</v>
      </c>
      <c r="BA176" s="230">
        <v>1883375</v>
      </c>
      <c r="BB176" s="230">
        <v>646600</v>
      </c>
      <c r="BC176" s="229">
        <v>0.34329999999999999</v>
      </c>
      <c r="BD176" s="230">
        <v>210450</v>
      </c>
      <c r="BE176" s="230">
        <v>359900</v>
      </c>
      <c r="BF176" s="230">
        <v>-149450</v>
      </c>
      <c r="BG176" s="229">
        <v>-0.4153</v>
      </c>
      <c r="BH176" s="230">
        <v>15916425</v>
      </c>
      <c r="BI176" s="230">
        <v>17429225</v>
      </c>
      <c r="BJ176" s="230">
        <v>-1512800</v>
      </c>
      <c r="BK176" s="229">
        <v>-8.6800000000000002E-2</v>
      </c>
      <c r="BL176" s="230">
        <v>2996625</v>
      </c>
      <c r="BM176" s="230">
        <v>4341675</v>
      </c>
      <c r="BN176" s="230">
        <v>-1345050</v>
      </c>
      <c r="BO176" s="229">
        <v>-0.30980000000000002</v>
      </c>
      <c r="BP176" s="230">
        <v>27408825</v>
      </c>
      <c r="BQ176" s="230">
        <v>29089375</v>
      </c>
      <c r="BR176" s="230">
        <v>-1680550</v>
      </c>
      <c r="BS176" s="229">
        <v>-5.7799999999999997E-2</v>
      </c>
      <c r="BT176" s="230">
        <v>5774533</v>
      </c>
      <c r="BU176" s="230">
        <v>7405587</v>
      </c>
      <c r="BV176" s="230">
        <v>-1631054</v>
      </c>
      <c r="BW176" s="229">
        <v>-0.22020000000000001</v>
      </c>
      <c r="BX176" s="230">
        <v>55984100</v>
      </c>
      <c r="BY176" s="230">
        <v>55066375</v>
      </c>
      <c r="BZ176" s="230">
        <v>917725</v>
      </c>
      <c r="CA176" s="229">
        <v>1.67E-2</v>
      </c>
      <c r="CB176" s="230">
        <v>48061900</v>
      </c>
      <c r="CC176" s="230">
        <v>48440100</v>
      </c>
      <c r="CD176" s="230">
        <v>-378200</v>
      </c>
      <c r="CE176" s="229">
        <v>-7.7999999999999996E-3</v>
      </c>
      <c r="CF176" s="230">
        <v>5787375</v>
      </c>
      <c r="CG176" s="230">
        <v>4614650</v>
      </c>
      <c r="CH176" s="230">
        <v>1172725</v>
      </c>
      <c r="CI176" s="229">
        <v>0.25409999999999999</v>
      </c>
      <c r="CJ176" s="230">
        <v>2134825</v>
      </c>
      <c r="CK176" s="230">
        <v>2011625</v>
      </c>
      <c r="CL176" s="230">
        <v>123200</v>
      </c>
      <c r="CM176" s="229">
        <v>6.1199999999999997E-2</v>
      </c>
      <c r="CN176" s="230">
        <v>14223675</v>
      </c>
      <c r="CO176" s="230">
        <v>14835200</v>
      </c>
      <c r="CP176" s="230">
        <v>-611525</v>
      </c>
      <c r="CQ176" s="229">
        <v>-4.1200000000000001E-2</v>
      </c>
      <c r="CR176" s="230">
        <v>8691900</v>
      </c>
      <c r="CS176" s="230">
        <v>8524900</v>
      </c>
      <c r="CT176" s="230">
        <v>167000</v>
      </c>
      <c r="CU176" s="229">
        <v>1.9599999999999999E-2</v>
      </c>
      <c r="CV176" s="230">
        <v>78899675</v>
      </c>
      <c r="CW176" s="230">
        <v>78426475</v>
      </c>
      <c r="CX176" s="230">
        <v>473200</v>
      </c>
      <c r="CY176" s="229">
        <v>6.0000000000000001E-3</v>
      </c>
      <c r="CZ176" s="228">
        <v>42.69</v>
      </c>
      <c r="DA176" s="228">
        <v>45.05</v>
      </c>
      <c r="DB176" s="228">
        <v>-2.36</v>
      </c>
      <c r="DC176" s="228">
        <v>-2.36</v>
      </c>
      <c r="DD176" s="228">
        <v>57.23</v>
      </c>
      <c r="DE176" s="228">
        <v>57.31</v>
      </c>
      <c r="DF176" s="228">
        <v>-14.54</v>
      </c>
      <c r="DG176" s="228">
        <v>-0.08</v>
      </c>
      <c r="DH176" s="228">
        <v>42.63</v>
      </c>
      <c r="DI176" s="228">
        <v>44.9</v>
      </c>
      <c r="DJ176" s="228">
        <v>-2.27</v>
      </c>
      <c r="DK176" s="228">
        <v>-2.27</v>
      </c>
      <c r="DL176" s="228">
        <v>43.01</v>
      </c>
      <c r="DM176" s="228">
        <v>45.64</v>
      </c>
      <c r="DN176" s="228">
        <v>-2.63</v>
      </c>
      <c r="DO176" s="228">
        <v>-2.63</v>
      </c>
      <c r="DP176" s="228">
        <v>0.61</v>
      </c>
      <c r="DQ176" s="228">
        <v>0.56999999999999995</v>
      </c>
      <c r="DR176" s="228">
        <v>0.04</v>
      </c>
      <c r="DS176" s="229">
        <v>7.0199999999999999E-2</v>
      </c>
      <c r="DT176" s="228">
        <v>300</v>
      </c>
      <c r="DU176" s="228">
        <v>300</v>
      </c>
      <c r="DV176" s="228">
        <v>0.19</v>
      </c>
      <c r="DW176" s="228">
        <v>0.25</v>
      </c>
      <c r="DX176" s="228">
        <v>-0.06</v>
      </c>
      <c r="DY176" s="229">
        <v>-0.24</v>
      </c>
      <c r="DZ176" s="229">
        <v>0.14149999999999999</v>
      </c>
      <c r="EA176" s="230">
        <v>6626275</v>
      </c>
      <c r="EB176" s="229">
        <v>-3.27E-2</v>
      </c>
      <c r="EC176" s="229">
        <v>0.14149999999999999</v>
      </c>
      <c r="ED176" s="228">
        <v>-10.47</v>
      </c>
      <c r="EE176" s="229">
        <v>-3.4700000000000002E-2</v>
      </c>
      <c r="EF176" s="230">
        <v>1579342</v>
      </c>
      <c r="EG176" s="230">
        <v>1295477</v>
      </c>
      <c r="EH176" s="229">
        <v>0.21909999999999999</v>
      </c>
      <c r="EI176" s="229">
        <v>0.27350000000000002</v>
      </c>
      <c r="EJ176" s="231">
        <v>51670.26</v>
      </c>
      <c r="EK176" s="231">
        <v>8900.31</v>
      </c>
      <c r="EL176" s="231">
        <v>25479.34</v>
      </c>
      <c r="EM176" s="231">
        <v>5250</v>
      </c>
      <c r="EN176" s="231">
        <v>86049.91</v>
      </c>
      <c r="EO176" s="231">
        <v>90943.78</v>
      </c>
      <c r="EP176" s="231">
        <v>-4893.87</v>
      </c>
      <c r="EQ176" s="229">
        <v>-5.3800000000000001E-2</v>
      </c>
      <c r="ER176" s="231">
        <v>44922</v>
      </c>
      <c r="ES176" s="231">
        <v>25165</v>
      </c>
      <c r="ET176" s="231">
        <v>169436</v>
      </c>
      <c r="EU176" s="231">
        <v>84941460</v>
      </c>
      <c r="EV176" s="231">
        <v>239522</v>
      </c>
      <c r="EW176" s="231">
        <v>234744</v>
      </c>
      <c r="EX176" s="231">
        <v>4778</v>
      </c>
      <c r="EY176" s="229">
        <v>2.0400000000000001E-2</v>
      </c>
      <c r="EZ176" s="229">
        <v>0.92889999999999995</v>
      </c>
      <c r="FA176" s="227" t="s">
        <v>555</v>
      </c>
      <c r="FB176" s="161">
        <f t="shared" si="4"/>
        <v>0</v>
      </c>
    </row>
    <row r="177" spans="1:158" ht="17.25" thickBot="1" x14ac:dyDescent="0.3">
      <c r="A177" s="226">
        <v>46148</v>
      </c>
      <c r="B177" s="227" t="s">
        <v>227</v>
      </c>
      <c r="C177" s="227" t="s">
        <v>282</v>
      </c>
      <c r="D177" s="228">
        <v>4700</v>
      </c>
      <c r="E177" s="228">
        <v>187.47</v>
      </c>
      <c r="F177" s="228">
        <v>188.5</v>
      </c>
      <c r="G177" s="228">
        <v>-1.03</v>
      </c>
      <c r="H177" s="229">
        <v>-5.4999999999999997E-3</v>
      </c>
      <c r="I177" s="228">
        <v>186.04</v>
      </c>
      <c r="J177" s="228">
        <v>187.31</v>
      </c>
      <c r="K177" s="228">
        <v>-1.27</v>
      </c>
      <c r="L177" s="229">
        <v>-6.7999999999999996E-3</v>
      </c>
      <c r="M177" s="228">
        <v>187.47</v>
      </c>
      <c r="N177" s="228">
        <v>188.5</v>
      </c>
      <c r="O177" s="228">
        <v>-1.03</v>
      </c>
      <c r="P177" s="229">
        <v>-5.4999999999999997E-3</v>
      </c>
      <c r="Q177" s="228">
        <v>188.68</v>
      </c>
      <c r="R177" s="228">
        <v>189.7</v>
      </c>
      <c r="S177" s="228">
        <v>-1.02</v>
      </c>
      <c r="T177" s="229">
        <v>-5.4000000000000003E-3</v>
      </c>
      <c r="U177" s="228">
        <v>190.48</v>
      </c>
      <c r="V177" s="228">
        <v>191.02</v>
      </c>
      <c r="W177" s="228">
        <v>-0.54</v>
      </c>
      <c r="X177" s="229">
        <v>-2.8E-3</v>
      </c>
      <c r="Y177" s="228">
        <v>1.43</v>
      </c>
      <c r="Z177" s="228">
        <v>1.19</v>
      </c>
      <c r="AA177" s="228">
        <v>0.24</v>
      </c>
      <c r="AB177" s="229">
        <v>7.7000000000000002E-3</v>
      </c>
      <c r="AC177" s="228">
        <v>1.43</v>
      </c>
      <c r="AD177" s="228">
        <v>1.19</v>
      </c>
      <c r="AE177" s="228">
        <v>0.24</v>
      </c>
      <c r="AF177" s="229">
        <v>7.7000000000000002E-3</v>
      </c>
      <c r="AG177" s="228">
        <v>2.64</v>
      </c>
      <c r="AH177" s="228">
        <v>2.39</v>
      </c>
      <c r="AI177" s="228">
        <v>0.25</v>
      </c>
      <c r="AJ177" s="229">
        <v>1.4200000000000001E-2</v>
      </c>
      <c r="AK177" s="228">
        <v>4.4400000000000004</v>
      </c>
      <c r="AL177" s="228">
        <v>3.71</v>
      </c>
      <c r="AM177" s="228">
        <v>0.73</v>
      </c>
      <c r="AN177" s="229">
        <v>2.3900000000000001E-2</v>
      </c>
      <c r="AO177" s="228">
        <v>188.37</v>
      </c>
      <c r="AP177" s="228">
        <v>189.51</v>
      </c>
      <c r="AQ177" s="228">
        <v>0</v>
      </c>
      <c r="AR177" s="230">
        <v>11891000</v>
      </c>
      <c r="AS177" s="230">
        <v>12323400</v>
      </c>
      <c r="AT177" s="230">
        <v>-432400</v>
      </c>
      <c r="AU177" s="229">
        <v>-3.5099999999999999E-2</v>
      </c>
      <c r="AV177" s="230">
        <v>10951000</v>
      </c>
      <c r="AW177" s="230">
        <v>11623100</v>
      </c>
      <c r="AX177" s="230">
        <v>-672100</v>
      </c>
      <c r="AY177" s="229">
        <v>-5.7799999999999997E-2</v>
      </c>
      <c r="AZ177" s="230">
        <v>841300</v>
      </c>
      <c r="BA177" s="230">
        <v>564000</v>
      </c>
      <c r="BB177" s="230">
        <v>277300</v>
      </c>
      <c r="BC177" s="229">
        <v>0.49170000000000003</v>
      </c>
      <c r="BD177" s="230">
        <v>98700</v>
      </c>
      <c r="BE177" s="230">
        <v>136300</v>
      </c>
      <c r="BF177" s="230">
        <v>-37600</v>
      </c>
      <c r="BG177" s="229">
        <v>-0.27589999999999998</v>
      </c>
      <c r="BH177" s="230">
        <v>5945500</v>
      </c>
      <c r="BI177" s="230">
        <v>8116900</v>
      </c>
      <c r="BJ177" s="230">
        <v>-2171400</v>
      </c>
      <c r="BK177" s="229">
        <v>-0.26750000000000002</v>
      </c>
      <c r="BL177" s="230">
        <v>2636700</v>
      </c>
      <c r="BM177" s="230">
        <v>3529700</v>
      </c>
      <c r="BN177" s="230">
        <v>-893000</v>
      </c>
      <c r="BO177" s="229">
        <v>-0.253</v>
      </c>
      <c r="BP177" s="230">
        <v>20473200</v>
      </c>
      <c r="BQ177" s="230">
        <v>23970000</v>
      </c>
      <c r="BR177" s="230">
        <v>-3496800</v>
      </c>
      <c r="BS177" s="229">
        <v>-0.1459</v>
      </c>
      <c r="BT177" s="230">
        <v>13707203</v>
      </c>
      <c r="BU177" s="230">
        <v>16104570</v>
      </c>
      <c r="BV177" s="230">
        <v>-2397367</v>
      </c>
      <c r="BW177" s="229">
        <v>-0.1489</v>
      </c>
      <c r="BX177" s="230">
        <v>199867500</v>
      </c>
      <c r="BY177" s="230">
        <v>196793700</v>
      </c>
      <c r="BZ177" s="230">
        <v>3073800</v>
      </c>
      <c r="CA177" s="229">
        <v>1.5599999999999999E-2</v>
      </c>
      <c r="CB177" s="230">
        <v>196605700</v>
      </c>
      <c r="CC177" s="230">
        <v>194114700</v>
      </c>
      <c r="CD177" s="230">
        <v>2491000</v>
      </c>
      <c r="CE177" s="229">
        <v>1.2800000000000001E-2</v>
      </c>
      <c r="CF177" s="230">
        <v>2768300</v>
      </c>
      <c r="CG177" s="230">
        <v>2213700</v>
      </c>
      <c r="CH177" s="230">
        <v>554600</v>
      </c>
      <c r="CI177" s="229">
        <v>0.2505</v>
      </c>
      <c r="CJ177" s="230">
        <v>493500</v>
      </c>
      <c r="CK177" s="230">
        <v>465300</v>
      </c>
      <c r="CL177" s="230">
        <v>28200</v>
      </c>
      <c r="CM177" s="229">
        <v>6.0600000000000001E-2</v>
      </c>
      <c r="CN177" s="230">
        <v>7792600</v>
      </c>
      <c r="CO177" s="230">
        <v>7567000</v>
      </c>
      <c r="CP177" s="230">
        <v>225600</v>
      </c>
      <c r="CQ177" s="229">
        <v>2.98E-2</v>
      </c>
      <c r="CR177" s="230">
        <v>5405000</v>
      </c>
      <c r="CS177" s="230">
        <v>5395600</v>
      </c>
      <c r="CT177" s="230">
        <v>9400</v>
      </c>
      <c r="CU177" s="229">
        <v>1.6999999999999999E-3</v>
      </c>
      <c r="CV177" s="230">
        <v>213065100</v>
      </c>
      <c r="CW177" s="230">
        <v>209756300</v>
      </c>
      <c r="CX177" s="230">
        <v>3308800</v>
      </c>
      <c r="CY177" s="229">
        <v>1.5800000000000002E-2</v>
      </c>
      <c r="CZ177" s="228">
        <v>38</v>
      </c>
      <c r="DA177" s="228">
        <v>37.11</v>
      </c>
      <c r="DB177" s="228">
        <v>0.89</v>
      </c>
      <c r="DC177" s="228">
        <v>0.89</v>
      </c>
      <c r="DD177" s="228">
        <v>43.6</v>
      </c>
      <c r="DE177" s="228">
        <v>43.7</v>
      </c>
      <c r="DF177" s="228">
        <v>-5.6</v>
      </c>
      <c r="DG177" s="228">
        <v>-0.1</v>
      </c>
      <c r="DH177" s="228">
        <v>38.57</v>
      </c>
      <c r="DI177" s="228">
        <v>37.4</v>
      </c>
      <c r="DJ177" s="228">
        <v>1.17</v>
      </c>
      <c r="DK177" s="228">
        <v>1.17</v>
      </c>
      <c r="DL177" s="228">
        <v>36.700000000000003</v>
      </c>
      <c r="DM177" s="228">
        <v>36.450000000000003</v>
      </c>
      <c r="DN177" s="228">
        <v>0.25</v>
      </c>
      <c r="DO177" s="228">
        <v>0.25</v>
      </c>
      <c r="DP177" s="228">
        <v>0.69</v>
      </c>
      <c r="DQ177" s="228">
        <v>0.71</v>
      </c>
      <c r="DR177" s="228">
        <v>-0.02</v>
      </c>
      <c r="DS177" s="229">
        <v>-2.8199999999999999E-2</v>
      </c>
      <c r="DT177" s="228">
        <v>180</v>
      </c>
      <c r="DU177" s="228">
        <v>180</v>
      </c>
      <c r="DV177" s="228">
        <v>0.44</v>
      </c>
      <c r="DW177" s="228">
        <v>0.43</v>
      </c>
      <c r="DX177" s="228">
        <v>0.01</v>
      </c>
      <c r="DY177" s="229">
        <v>2.3300000000000001E-2</v>
      </c>
      <c r="DZ177" s="229">
        <v>1.6299999999999999E-2</v>
      </c>
      <c r="EA177" s="230">
        <v>2679000</v>
      </c>
      <c r="EB177" s="229">
        <v>6.4999999999999997E-3</v>
      </c>
      <c r="EC177" s="229">
        <v>1.6299999999999999E-2</v>
      </c>
      <c r="ED177" s="228">
        <v>1.1399999999999999</v>
      </c>
      <c r="EE177" s="229">
        <v>6.1000000000000004E-3</v>
      </c>
      <c r="EF177" s="230">
        <v>5360397</v>
      </c>
      <c r="EG177" s="230">
        <v>6053277</v>
      </c>
      <c r="EH177" s="229">
        <v>-0.1145</v>
      </c>
      <c r="EI177" s="229">
        <v>0.3911</v>
      </c>
      <c r="EJ177" s="231">
        <v>11869.57</v>
      </c>
      <c r="EK177" s="231">
        <v>4833.1899999999996</v>
      </c>
      <c r="EL177" s="231">
        <v>22410.28</v>
      </c>
      <c r="EM177" s="231">
        <v>3628</v>
      </c>
      <c r="EN177" s="231">
        <v>39113.040000000001</v>
      </c>
      <c r="EO177" s="231">
        <v>45838.03</v>
      </c>
      <c r="EP177" s="231">
        <v>-6724.99</v>
      </c>
      <c r="EQ177" s="229">
        <v>-0.1467</v>
      </c>
      <c r="ER177" s="231">
        <v>14905</v>
      </c>
      <c r="ES177" s="231">
        <v>9577</v>
      </c>
      <c r="ET177" s="231">
        <v>374740</v>
      </c>
      <c r="EU177" s="231">
        <v>216861410</v>
      </c>
      <c r="EV177" s="231">
        <v>399222</v>
      </c>
      <c r="EW177" s="231">
        <v>394990</v>
      </c>
      <c r="EX177" s="231">
        <v>4232</v>
      </c>
      <c r="EY177" s="229">
        <v>1.0699999999999999E-2</v>
      </c>
      <c r="EZ177" s="229">
        <v>0.98250000000000004</v>
      </c>
      <c r="FA177" s="227" t="s">
        <v>566</v>
      </c>
      <c r="FB177" s="161">
        <f t="shared" si="4"/>
        <v>0</v>
      </c>
    </row>
    <row r="178" spans="1:158" ht="17.25" thickBot="1" x14ac:dyDescent="0.3">
      <c r="A178" s="226">
        <v>46148</v>
      </c>
      <c r="B178" s="227" t="s">
        <v>175</v>
      </c>
      <c r="C178" s="227" t="s">
        <v>682</v>
      </c>
      <c r="D178" s="228">
        <v>4300</v>
      </c>
      <c r="E178" s="228">
        <v>150.6</v>
      </c>
      <c r="F178" s="228">
        <v>145.25</v>
      </c>
      <c r="G178" s="228">
        <v>5.35</v>
      </c>
      <c r="H178" s="229">
        <v>3.6799999999999999E-2</v>
      </c>
      <c r="I178" s="228">
        <v>149.78</v>
      </c>
      <c r="J178" s="228">
        <v>144.38999999999999</v>
      </c>
      <c r="K178" s="228">
        <v>5.39</v>
      </c>
      <c r="L178" s="229">
        <v>3.73E-2</v>
      </c>
      <c r="M178" s="228">
        <v>150.6</v>
      </c>
      <c r="N178" s="228">
        <v>145.25</v>
      </c>
      <c r="O178" s="228">
        <v>5.35</v>
      </c>
      <c r="P178" s="229">
        <v>3.6799999999999999E-2</v>
      </c>
      <c r="Q178" s="228">
        <v>151.53</v>
      </c>
      <c r="R178" s="228">
        <v>146.26</v>
      </c>
      <c r="S178" s="228">
        <v>5.27</v>
      </c>
      <c r="T178" s="229">
        <v>3.5999999999999997E-2</v>
      </c>
      <c r="U178" s="228">
        <v>0</v>
      </c>
      <c r="V178" s="228">
        <v>0</v>
      </c>
      <c r="W178" s="228">
        <v>0</v>
      </c>
      <c r="X178" s="229">
        <v>0</v>
      </c>
      <c r="Y178" s="228">
        <v>0.82</v>
      </c>
      <c r="Z178" s="228">
        <v>0.86</v>
      </c>
      <c r="AA178" s="228">
        <v>-0.04</v>
      </c>
      <c r="AB178" s="229">
        <v>5.4999999999999997E-3</v>
      </c>
      <c r="AC178" s="228">
        <v>0.82</v>
      </c>
      <c r="AD178" s="228">
        <v>0.86</v>
      </c>
      <c r="AE178" s="228">
        <v>-0.04</v>
      </c>
      <c r="AF178" s="229">
        <v>5.4999999999999997E-3</v>
      </c>
      <c r="AG178" s="228">
        <v>1.75</v>
      </c>
      <c r="AH178" s="228">
        <v>1.87</v>
      </c>
      <c r="AI178" s="228">
        <v>-0.12</v>
      </c>
      <c r="AJ178" s="229">
        <v>1.17E-2</v>
      </c>
      <c r="AK178" s="228">
        <v>0</v>
      </c>
      <c r="AL178" s="228">
        <v>0</v>
      </c>
      <c r="AM178" s="228">
        <v>0</v>
      </c>
      <c r="AN178" s="229">
        <v>0</v>
      </c>
      <c r="AO178" s="228">
        <v>149.44999999999999</v>
      </c>
      <c r="AP178" s="228">
        <v>150.27000000000001</v>
      </c>
      <c r="AQ178" s="228">
        <v>0</v>
      </c>
      <c r="AR178" s="230">
        <v>20489500</v>
      </c>
      <c r="AS178" s="230">
        <v>9300900</v>
      </c>
      <c r="AT178" s="230">
        <v>11188600</v>
      </c>
      <c r="AU178" s="229">
        <v>1.2030000000000001</v>
      </c>
      <c r="AV178" s="230">
        <v>19474700</v>
      </c>
      <c r="AW178" s="230">
        <v>8694600</v>
      </c>
      <c r="AX178" s="230">
        <v>10780100</v>
      </c>
      <c r="AY178" s="229">
        <v>1.2399</v>
      </c>
      <c r="AZ178" s="230">
        <v>1014800</v>
      </c>
      <c r="BA178" s="230">
        <v>606300</v>
      </c>
      <c r="BB178" s="230">
        <v>408500</v>
      </c>
      <c r="BC178" s="229">
        <v>0.67379999999999995</v>
      </c>
      <c r="BD178" s="228">
        <v>0</v>
      </c>
      <c r="BE178" s="228">
        <v>0</v>
      </c>
      <c r="BF178" s="228">
        <v>0</v>
      </c>
      <c r="BG178" s="229">
        <v>0</v>
      </c>
      <c r="BH178" s="230">
        <v>35857700</v>
      </c>
      <c r="BI178" s="230">
        <v>10294200</v>
      </c>
      <c r="BJ178" s="230">
        <v>25563500</v>
      </c>
      <c r="BK178" s="229">
        <v>2.4832999999999998</v>
      </c>
      <c r="BL178" s="230">
        <v>6746700</v>
      </c>
      <c r="BM178" s="230">
        <v>2704700</v>
      </c>
      <c r="BN178" s="230">
        <v>4042000</v>
      </c>
      <c r="BO178" s="229">
        <v>1.4944</v>
      </c>
      <c r="BP178" s="230">
        <v>63093900</v>
      </c>
      <c r="BQ178" s="230">
        <v>22299800</v>
      </c>
      <c r="BR178" s="230">
        <v>40794100</v>
      </c>
      <c r="BS178" s="229">
        <v>1.8292999999999999</v>
      </c>
      <c r="BT178" s="230">
        <v>26250965</v>
      </c>
      <c r="BU178" s="230">
        <v>13070629</v>
      </c>
      <c r="BV178" s="230">
        <v>13180336</v>
      </c>
      <c r="BW178" s="229">
        <v>1.0084</v>
      </c>
      <c r="BX178" s="230">
        <v>105156500</v>
      </c>
      <c r="BY178" s="230">
        <v>108024600</v>
      </c>
      <c r="BZ178" s="230">
        <v>-2868100</v>
      </c>
      <c r="CA178" s="229">
        <v>-2.6599999999999999E-2</v>
      </c>
      <c r="CB178" s="230">
        <v>100297500</v>
      </c>
      <c r="CC178" s="230">
        <v>103277400</v>
      </c>
      <c r="CD178" s="230">
        <v>-2979900</v>
      </c>
      <c r="CE178" s="229">
        <v>-2.8899999999999999E-2</v>
      </c>
      <c r="CF178" s="230">
        <v>4859000</v>
      </c>
      <c r="CG178" s="230">
        <v>4747200</v>
      </c>
      <c r="CH178" s="230">
        <v>111800</v>
      </c>
      <c r="CI178" s="229">
        <v>2.3599999999999999E-2</v>
      </c>
      <c r="CJ178" s="228">
        <v>0</v>
      </c>
      <c r="CK178" s="228">
        <v>0</v>
      </c>
      <c r="CL178" s="228">
        <v>0</v>
      </c>
      <c r="CM178" s="229">
        <v>0</v>
      </c>
      <c r="CN178" s="230">
        <v>21590300</v>
      </c>
      <c r="CO178" s="230">
        <v>21302200</v>
      </c>
      <c r="CP178" s="230">
        <v>288100</v>
      </c>
      <c r="CQ178" s="229">
        <v>1.35E-2</v>
      </c>
      <c r="CR178" s="230">
        <v>13256900</v>
      </c>
      <c r="CS178" s="230">
        <v>13428900</v>
      </c>
      <c r="CT178" s="230">
        <v>-172000</v>
      </c>
      <c r="CU178" s="229">
        <v>-1.2800000000000001E-2</v>
      </c>
      <c r="CV178" s="230">
        <v>140003700</v>
      </c>
      <c r="CW178" s="230">
        <v>142755700</v>
      </c>
      <c r="CX178" s="230">
        <v>-2752000</v>
      </c>
      <c r="CY178" s="229">
        <v>-1.9300000000000001E-2</v>
      </c>
      <c r="CZ178" s="228">
        <v>39.89</v>
      </c>
      <c r="DA178" s="228">
        <v>40.19</v>
      </c>
      <c r="DB178" s="228">
        <v>-0.3</v>
      </c>
      <c r="DC178" s="228">
        <v>-0.3</v>
      </c>
      <c r="DD178" s="228">
        <v>52.55</v>
      </c>
      <c r="DE178" s="228">
        <v>52.45</v>
      </c>
      <c r="DF178" s="228">
        <v>-12.66</v>
      </c>
      <c r="DG178" s="228">
        <v>0.1</v>
      </c>
      <c r="DH178" s="228">
        <v>40.26</v>
      </c>
      <c r="DI178" s="228">
        <v>40.85</v>
      </c>
      <c r="DJ178" s="228">
        <v>-0.59</v>
      </c>
      <c r="DK178" s="228">
        <v>-0.59</v>
      </c>
      <c r="DL178" s="228">
        <v>37.950000000000003</v>
      </c>
      <c r="DM178" s="228">
        <v>37.71</v>
      </c>
      <c r="DN178" s="228">
        <v>0.24</v>
      </c>
      <c r="DO178" s="228">
        <v>0.24</v>
      </c>
      <c r="DP178" s="228">
        <v>0.61</v>
      </c>
      <c r="DQ178" s="228">
        <v>0.63</v>
      </c>
      <c r="DR178" s="228">
        <v>-0.02</v>
      </c>
      <c r="DS178" s="229">
        <v>-3.1699999999999999E-2</v>
      </c>
      <c r="DT178" s="228">
        <v>150</v>
      </c>
      <c r="DU178" s="228">
        <v>140</v>
      </c>
      <c r="DV178" s="228">
        <v>0.19</v>
      </c>
      <c r="DW178" s="228">
        <v>0.26</v>
      </c>
      <c r="DX178" s="228">
        <v>-7.0000000000000007E-2</v>
      </c>
      <c r="DY178" s="229">
        <v>-0.26919999999999999</v>
      </c>
      <c r="DZ178" s="229">
        <v>4.6199999999999998E-2</v>
      </c>
      <c r="EA178" s="230">
        <v>4747200</v>
      </c>
      <c r="EB178" s="229">
        <v>6.1999999999999998E-3</v>
      </c>
      <c r="EC178" s="229">
        <v>4.6199999999999998E-2</v>
      </c>
      <c r="ED178" s="228">
        <v>0.82</v>
      </c>
      <c r="EE178" s="229">
        <v>5.4999999999999997E-3</v>
      </c>
      <c r="EF178" s="230">
        <v>9332091</v>
      </c>
      <c r="EG178" s="230">
        <v>5359712</v>
      </c>
      <c r="EH178" s="229">
        <v>0.74119999999999997</v>
      </c>
      <c r="EI178" s="229">
        <v>0.35549999999999998</v>
      </c>
      <c r="EJ178" s="231">
        <v>57034.68</v>
      </c>
      <c r="EK178" s="231">
        <v>9536.5300000000007</v>
      </c>
      <c r="EL178" s="231">
        <v>30629.74</v>
      </c>
      <c r="EM178" s="231">
        <v>6245</v>
      </c>
      <c r="EN178" s="231">
        <v>97200.95</v>
      </c>
      <c r="EO178" s="231">
        <v>33664.81</v>
      </c>
      <c r="EP178" s="231">
        <v>63536.14</v>
      </c>
      <c r="EQ178" s="229">
        <v>1.8873</v>
      </c>
      <c r="ER178" s="231">
        <v>33206</v>
      </c>
      <c r="ES178" s="231">
        <v>18672</v>
      </c>
      <c r="ET178" s="231">
        <v>158411</v>
      </c>
      <c r="EU178" s="231">
        <v>122372064</v>
      </c>
      <c r="EV178" s="231">
        <v>210288</v>
      </c>
      <c r="EW178" s="231">
        <v>208500</v>
      </c>
      <c r="EX178" s="231">
        <v>1788</v>
      </c>
      <c r="EY178" s="229">
        <v>8.6E-3</v>
      </c>
      <c r="EZ178" s="229">
        <v>1.1440999999999999</v>
      </c>
      <c r="FA178" s="227" t="s">
        <v>691</v>
      </c>
      <c r="FB178" s="161">
        <f t="shared" si="4"/>
        <v>0</v>
      </c>
    </row>
    <row r="179" spans="1:158" ht="17.25" thickBot="1" x14ac:dyDescent="0.3">
      <c r="A179" s="226">
        <v>46148</v>
      </c>
      <c r="B179" s="227" t="s">
        <v>175</v>
      </c>
      <c r="C179" s="227" t="s">
        <v>536</v>
      </c>
      <c r="D179" s="228">
        <v>800</v>
      </c>
      <c r="E179" s="228">
        <v>654</v>
      </c>
      <c r="F179" s="228">
        <v>647.79999999999995</v>
      </c>
      <c r="G179" s="228">
        <v>6.2</v>
      </c>
      <c r="H179" s="229">
        <v>9.5999999999999992E-3</v>
      </c>
      <c r="I179" s="228">
        <v>649.65</v>
      </c>
      <c r="J179" s="228">
        <v>645.65</v>
      </c>
      <c r="K179" s="228">
        <v>4</v>
      </c>
      <c r="L179" s="229">
        <v>6.1999999999999998E-3</v>
      </c>
      <c r="M179" s="228">
        <v>654</v>
      </c>
      <c r="N179" s="228">
        <v>647.79999999999995</v>
      </c>
      <c r="O179" s="228">
        <v>6.2</v>
      </c>
      <c r="P179" s="229">
        <v>9.5999999999999992E-3</v>
      </c>
      <c r="Q179" s="228">
        <v>648.9</v>
      </c>
      <c r="R179" s="228">
        <v>642.25</v>
      </c>
      <c r="S179" s="228">
        <v>6.65</v>
      </c>
      <c r="T179" s="229">
        <v>1.04E-2</v>
      </c>
      <c r="U179" s="228">
        <v>644.75</v>
      </c>
      <c r="V179" s="228">
        <v>638.85</v>
      </c>
      <c r="W179" s="228">
        <v>5.9</v>
      </c>
      <c r="X179" s="229">
        <v>9.1999999999999998E-3</v>
      </c>
      <c r="Y179" s="228">
        <v>4.3499999999999996</v>
      </c>
      <c r="Z179" s="228">
        <v>2.15</v>
      </c>
      <c r="AA179" s="228">
        <v>2.2000000000000002</v>
      </c>
      <c r="AB179" s="229">
        <v>6.7000000000000002E-3</v>
      </c>
      <c r="AC179" s="228">
        <v>4.3499999999999996</v>
      </c>
      <c r="AD179" s="228">
        <v>2.15</v>
      </c>
      <c r="AE179" s="228">
        <v>2.2000000000000002</v>
      </c>
      <c r="AF179" s="229">
        <v>6.7000000000000002E-3</v>
      </c>
      <c r="AG179" s="228">
        <v>-0.75</v>
      </c>
      <c r="AH179" s="228">
        <v>-3.4</v>
      </c>
      <c r="AI179" s="228">
        <v>2.65</v>
      </c>
      <c r="AJ179" s="229">
        <v>-1.1999999999999999E-3</v>
      </c>
      <c r="AK179" s="228">
        <v>-4.9000000000000004</v>
      </c>
      <c r="AL179" s="228">
        <v>-6.8</v>
      </c>
      <c r="AM179" s="228">
        <v>1.9</v>
      </c>
      <c r="AN179" s="229">
        <v>-7.4999999999999997E-3</v>
      </c>
      <c r="AO179" s="228">
        <v>652.67999999999995</v>
      </c>
      <c r="AP179" s="228">
        <v>646.73</v>
      </c>
      <c r="AQ179" s="228">
        <v>0</v>
      </c>
      <c r="AR179" s="230">
        <v>5035200</v>
      </c>
      <c r="AS179" s="230">
        <v>2355200</v>
      </c>
      <c r="AT179" s="230">
        <v>2680000</v>
      </c>
      <c r="AU179" s="229">
        <v>1.1378999999999999</v>
      </c>
      <c r="AV179" s="230">
        <v>3869600</v>
      </c>
      <c r="AW179" s="230">
        <v>2102400</v>
      </c>
      <c r="AX179" s="230">
        <v>1767200</v>
      </c>
      <c r="AY179" s="229">
        <v>0.84060000000000001</v>
      </c>
      <c r="AZ179" s="230">
        <v>1043200</v>
      </c>
      <c r="BA179" s="230">
        <v>212800</v>
      </c>
      <c r="BB179" s="230">
        <v>830400</v>
      </c>
      <c r="BC179" s="229">
        <v>3.9022999999999999</v>
      </c>
      <c r="BD179" s="230">
        <v>122400</v>
      </c>
      <c r="BE179" s="230">
        <v>40000</v>
      </c>
      <c r="BF179" s="230">
        <v>82400</v>
      </c>
      <c r="BG179" s="229">
        <v>2.06</v>
      </c>
      <c r="BH179" s="230">
        <v>7276000</v>
      </c>
      <c r="BI179" s="230">
        <v>6570400</v>
      </c>
      <c r="BJ179" s="230">
        <v>705600</v>
      </c>
      <c r="BK179" s="229">
        <v>0.1074</v>
      </c>
      <c r="BL179" s="230">
        <v>4233600</v>
      </c>
      <c r="BM179" s="230">
        <v>3229600</v>
      </c>
      <c r="BN179" s="230">
        <v>1004000</v>
      </c>
      <c r="BO179" s="229">
        <v>0.31090000000000001</v>
      </c>
      <c r="BP179" s="230">
        <v>16544800</v>
      </c>
      <c r="BQ179" s="230">
        <v>12155200</v>
      </c>
      <c r="BR179" s="230">
        <v>4389600</v>
      </c>
      <c r="BS179" s="229">
        <v>0.36109999999999998</v>
      </c>
      <c r="BT179" s="230">
        <v>3480073</v>
      </c>
      <c r="BU179" s="230">
        <v>1528275</v>
      </c>
      <c r="BV179" s="230">
        <v>1951798</v>
      </c>
      <c r="BW179" s="229">
        <v>1.2770999999999999</v>
      </c>
      <c r="BX179" s="230">
        <v>25891200</v>
      </c>
      <c r="BY179" s="230">
        <v>25662400</v>
      </c>
      <c r="BZ179" s="230">
        <v>228800</v>
      </c>
      <c r="CA179" s="229">
        <v>8.8999999999999999E-3</v>
      </c>
      <c r="CB179" s="230">
        <v>22954400</v>
      </c>
      <c r="CC179" s="230">
        <v>22921600</v>
      </c>
      <c r="CD179" s="230">
        <v>32800</v>
      </c>
      <c r="CE179" s="229">
        <v>1.4E-3</v>
      </c>
      <c r="CF179" s="230">
        <v>2685600</v>
      </c>
      <c r="CG179" s="230">
        <v>2490400</v>
      </c>
      <c r="CH179" s="230">
        <v>195200</v>
      </c>
      <c r="CI179" s="229">
        <v>7.8399999999999997E-2</v>
      </c>
      <c r="CJ179" s="230">
        <v>251200</v>
      </c>
      <c r="CK179" s="230">
        <v>250400</v>
      </c>
      <c r="CL179" s="228">
        <v>800</v>
      </c>
      <c r="CM179" s="229">
        <v>3.2000000000000002E-3</v>
      </c>
      <c r="CN179" s="230">
        <v>8828000</v>
      </c>
      <c r="CO179" s="230">
        <v>8954400</v>
      </c>
      <c r="CP179" s="230">
        <v>-126400</v>
      </c>
      <c r="CQ179" s="229">
        <v>-1.41E-2</v>
      </c>
      <c r="CR179" s="230">
        <v>5696800</v>
      </c>
      <c r="CS179" s="230">
        <v>5298400</v>
      </c>
      <c r="CT179" s="230">
        <v>398400</v>
      </c>
      <c r="CU179" s="229">
        <v>7.5200000000000003E-2</v>
      </c>
      <c r="CV179" s="230">
        <v>40416000</v>
      </c>
      <c r="CW179" s="230">
        <v>39915200</v>
      </c>
      <c r="CX179" s="230">
        <v>500800</v>
      </c>
      <c r="CY179" s="229">
        <v>1.2500000000000001E-2</v>
      </c>
      <c r="CZ179" s="228">
        <v>30.72</v>
      </c>
      <c r="DA179" s="228">
        <v>31.68</v>
      </c>
      <c r="DB179" s="228">
        <v>-0.96</v>
      </c>
      <c r="DC179" s="228">
        <v>-0.96</v>
      </c>
      <c r="DD179" s="228">
        <v>31.98</v>
      </c>
      <c r="DE179" s="228">
        <v>32.049999999999997</v>
      </c>
      <c r="DF179" s="228">
        <v>-1.26</v>
      </c>
      <c r="DG179" s="228">
        <v>-7.0000000000000007E-2</v>
      </c>
      <c r="DH179" s="228">
        <v>30.71</v>
      </c>
      <c r="DI179" s="228">
        <v>31.7</v>
      </c>
      <c r="DJ179" s="228">
        <v>-0.99</v>
      </c>
      <c r="DK179" s="228">
        <v>-0.99</v>
      </c>
      <c r="DL179" s="228">
        <v>30.72</v>
      </c>
      <c r="DM179" s="228">
        <v>31.63</v>
      </c>
      <c r="DN179" s="228">
        <v>-0.91</v>
      </c>
      <c r="DO179" s="228">
        <v>-0.91</v>
      </c>
      <c r="DP179" s="228">
        <v>0.65</v>
      </c>
      <c r="DQ179" s="228">
        <v>0.59</v>
      </c>
      <c r="DR179" s="228">
        <v>0.06</v>
      </c>
      <c r="DS179" s="229">
        <v>0.1017</v>
      </c>
      <c r="DT179" s="228">
        <v>700</v>
      </c>
      <c r="DU179" s="228">
        <v>650</v>
      </c>
      <c r="DV179" s="228">
        <v>0.57999999999999996</v>
      </c>
      <c r="DW179" s="228">
        <v>0.49</v>
      </c>
      <c r="DX179" s="228">
        <v>0.09</v>
      </c>
      <c r="DY179" s="229">
        <v>0.1837</v>
      </c>
      <c r="DZ179" s="229">
        <v>0.1134</v>
      </c>
      <c r="EA179" s="230">
        <v>2740800</v>
      </c>
      <c r="EB179" s="229">
        <v>-7.7999999999999996E-3</v>
      </c>
      <c r="EC179" s="229">
        <v>0.1134</v>
      </c>
      <c r="ED179" s="228">
        <v>-5.95</v>
      </c>
      <c r="EE179" s="229">
        <v>-9.1000000000000004E-3</v>
      </c>
      <c r="EF179" s="230">
        <v>2212290</v>
      </c>
      <c r="EG179" s="230">
        <v>800547</v>
      </c>
      <c r="EH179" s="229">
        <v>1.7635000000000001</v>
      </c>
      <c r="EI179" s="229">
        <v>0.63570000000000004</v>
      </c>
      <c r="EJ179" s="231">
        <v>50194.3</v>
      </c>
      <c r="EK179" s="231">
        <v>26716.81</v>
      </c>
      <c r="EL179" s="231">
        <v>32790.230000000003</v>
      </c>
      <c r="EM179" s="231">
        <v>4020</v>
      </c>
      <c r="EN179" s="231">
        <v>109701.34</v>
      </c>
      <c r="EO179" s="231">
        <v>80870.539999999994</v>
      </c>
      <c r="EP179" s="231">
        <v>28830.799999999999</v>
      </c>
      <c r="EQ179" s="229">
        <v>0.35649999999999998</v>
      </c>
      <c r="ER179" s="231">
        <v>61562</v>
      </c>
      <c r="ES179" s="231">
        <v>36953</v>
      </c>
      <c r="ET179" s="231">
        <v>169168</v>
      </c>
      <c r="EU179" s="231">
        <v>44841373</v>
      </c>
      <c r="EV179" s="231">
        <v>267683</v>
      </c>
      <c r="EW179" s="231">
        <v>262919</v>
      </c>
      <c r="EX179" s="231">
        <v>4764</v>
      </c>
      <c r="EY179" s="229">
        <v>1.8100000000000002E-2</v>
      </c>
      <c r="EZ179" s="229">
        <v>0.90129999999999999</v>
      </c>
      <c r="FA179" s="227" t="s">
        <v>555</v>
      </c>
      <c r="FB179" s="161">
        <f t="shared" si="4"/>
        <v>0</v>
      </c>
    </row>
    <row r="180" spans="1:158" ht="17.25" thickBot="1" x14ac:dyDescent="0.3">
      <c r="A180" s="226">
        <v>46148</v>
      </c>
      <c r="B180" s="227" t="s">
        <v>175</v>
      </c>
      <c r="C180" s="227" t="s">
        <v>462</v>
      </c>
      <c r="D180" s="228">
        <v>375</v>
      </c>
      <c r="E180" s="231">
        <v>1866.4</v>
      </c>
      <c r="F180" s="231">
        <v>1825.5</v>
      </c>
      <c r="G180" s="228">
        <v>40.9</v>
      </c>
      <c r="H180" s="229">
        <v>2.24E-2</v>
      </c>
      <c r="I180" s="231">
        <v>1859</v>
      </c>
      <c r="J180" s="231">
        <v>1821.2</v>
      </c>
      <c r="K180" s="228">
        <v>37.799999999999997</v>
      </c>
      <c r="L180" s="229">
        <v>2.0799999999999999E-2</v>
      </c>
      <c r="M180" s="231">
        <v>1866.4</v>
      </c>
      <c r="N180" s="231">
        <v>1825.5</v>
      </c>
      <c r="O180" s="228">
        <v>40.9</v>
      </c>
      <c r="P180" s="229">
        <v>2.24E-2</v>
      </c>
      <c r="Q180" s="231">
        <v>1879.9</v>
      </c>
      <c r="R180" s="231">
        <v>1838.8</v>
      </c>
      <c r="S180" s="228">
        <v>41.1</v>
      </c>
      <c r="T180" s="229">
        <v>2.24E-2</v>
      </c>
      <c r="U180" s="231">
        <v>1885.1</v>
      </c>
      <c r="V180" s="231">
        <v>1858.3</v>
      </c>
      <c r="W180" s="228">
        <v>26.8</v>
      </c>
      <c r="X180" s="229">
        <v>1.44E-2</v>
      </c>
      <c r="Y180" s="228">
        <v>7.4</v>
      </c>
      <c r="Z180" s="228">
        <v>4.3</v>
      </c>
      <c r="AA180" s="228">
        <v>3.1</v>
      </c>
      <c r="AB180" s="229">
        <v>4.0000000000000001E-3</v>
      </c>
      <c r="AC180" s="228">
        <v>7.4</v>
      </c>
      <c r="AD180" s="228">
        <v>4.3</v>
      </c>
      <c r="AE180" s="228">
        <v>3.1</v>
      </c>
      <c r="AF180" s="229">
        <v>4.0000000000000001E-3</v>
      </c>
      <c r="AG180" s="228">
        <v>20.9</v>
      </c>
      <c r="AH180" s="228">
        <v>17.600000000000001</v>
      </c>
      <c r="AI180" s="228">
        <v>3.3</v>
      </c>
      <c r="AJ180" s="229">
        <v>1.12E-2</v>
      </c>
      <c r="AK180" s="228">
        <v>26.1</v>
      </c>
      <c r="AL180" s="228">
        <v>37.1</v>
      </c>
      <c r="AM180" s="228">
        <v>-11</v>
      </c>
      <c r="AN180" s="229">
        <v>1.4E-2</v>
      </c>
      <c r="AO180" s="231">
        <v>1857.22</v>
      </c>
      <c r="AP180" s="231">
        <v>1866.9</v>
      </c>
      <c r="AQ180" s="228">
        <v>0</v>
      </c>
      <c r="AR180" s="230">
        <v>1669125</v>
      </c>
      <c r="AS180" s="230">
        <v>1072500</v>
      </c>
      <c r="AT180" s="230">
        <v>596625</v>
      </c>
      <c r="AU180" s="229">
        <v>0.55630000000000002</v>
      </c>
      <c r="AV180" s="230">
        <v>1595625</v>
      </c>
      <c r="AW180" s="230">
        <v>1029000</v>
      </c>
      <c r="AX180" s="230">
        <v>566625</v>
      </c>
      <c r="AY180" s="229">
        <v>0.55069999999999997</v>
      </c>
      <c r="AZ180" s="230">
        <v>69750</v>
      </c>
      <c r="BA180" s="230">
        <v>43500</v>
      </c>
      <c r="BB180" s="230">
        <v>26250</v>
      </c>
      <c r="BC180" s="229">
        <v>0.60340000000000005</v>
      </c>
      <c r="BD180" s="230">
        <v>3750</v>
      </c>
      <c r="BE180" s="228">
        <v>0</v>
      </c>
      <c r="BF180" s="230">
        <v>3750</v>
      </c>
      <c r="BG180" s="229">
        <v>0</v>
      </c>
      <c r="BH180" s="230">
        <v>4451250</v>
      </c>
      <c r="BI180" s="230">
        <v>4319250</v>
      </c>
      <c r="BJ180" s="230">
        <v>132000</v>
      </c>
      <c r="BK180" s="229">
        <v>3.0599999999999999E-2</v>
      </c>
      <c r="BL180" s="230">
        <v>2084250</v>
      </c>
      <c r="BM180" s="230">
        <v>1756125</v>
      </c>
      <c r="BN180" s="230">
        <v>328125</v>
      </c>
      <c r="BO180" s="229">
        <v>0.18679999999999999</v>
      </c>
      <c r="BP180" s="230">
        <v>8204625</v>
      </c>
      <c r="BQ180" s="230">
        <v>7147875</v>
      </c>
      <c r="BR180" s="230">
        <v>1056750</v>
      </c>
      <c r="BS180" s="229">
        <v>0.14779999999999999</v>
      </c>
      <c r="BT180" s="230">
        <v>1270981</v>
      </c>
      <c r="BU180" s="230">
        <v>1017646</v>
      </c>
      <c r="BV180" s="230">
        <v>253335</v>
      </c>
      <c r="BW180" s="229">
        <v>0.24890000000000001</v>
      </c>
      <c r="BX180" s="230">
        <v>10459500</v>
      </c>
      <c r="BY180" s="230">
        <v>10522500</v>
      </c>
      <c r="BZ180" s="230">
        <v>-63000</v>
      </c>
      <c r="CA180" s="229">
        <v>-6.0000000000000001E-3</v>
      </c>
      <c r="CB180" s="230">
        <v>9121500</v>
      </c>
      <c r="CC180" s="230">
        <v>9201750</v>
      </c>
      <c r="CD180" s="230">
        <v>-80250</v>
      </c>
      <c r="CE180" s="229">
        <v>-8.6999999999999994E-3</v>
      </c>
      <c r="CF180" s="230">
        <v>1330875</v>
      </c>
      <c r="CG180" s="230">
        <v>1316625</v>
      </c>
      <c r="CH180" s="230">
        <v>14250</v>
      </c>
      <c r="CI180" s="229">
        <v>1.0800000000000001E-2</v>
      </c>
      <c r="CJ180" s="230">
        <v>7125</v>
      </c>
      <c r="CK180" s="230">
        <v>4125</v>
      </c>
      <c r="CL180" s="230">
        <v>3000</v>
      </c>
      <c r="CM180" s="229">
        <v>0.72729999999999995</v>
      </c>
      <c r="CN180" s="230">
        <v>4016625</v>
      </c>
      <c r="CO180" s="230">
        <v>4247625</v>
      </c>
      <c r="CP180" s="230">
        <v>-231000</v>
      </c>
      <c r="CQ180" s="229">
        <v>-5.4399999999999997E-2</v>
      </c>
      <c r="CR180" s="230">
        <v>2110500</v>
      </c>
      <c r="CS180" s="230">
        <v>1968750</v>
      </c>
      <c r="CT180" s="230">
        <v>141750</v>
      </c>
      <c r="CU180" s="229">
        <v>7.1999999999999995E-2</v>
      </c>
      <c r="CV180" s="230">
        <v>16586625</v>
      </c>
      <c r="CW180" s="230">
        <v>16738875</v>
      </c>
      <c r="CX180" s="230">
        <v>-152250</v>
      </c>
      <c r="CY180" s="229">
        <v>-9.1000000000000004E-3</v>
      </c>
      <c r="CZ180" s="228">
        <v>22.51</v>
      </c>
      <c r="DA180" s="228">
        <v>23.05</v>
      </c>
      <c r="DB180" s="228">
        <v>-0.54</v>
      </c>
      <c r="DC180" s="228">
        <v>-0.54</v>
      </c>
      <c r="DD180" s="228">
        <v>26.75</v>
      </c>
      <c r="DE180" s="228">
        <v>26.67</v>
      </c>
      <c r="DF180" s="228">
        <v>-4.24</v>
      </c>
      <c r="DG180" s="228">
        <v>0.08</v>
      </c>
      <c r="DH180" s="228">
        <v>21.75</v>
      </c>
      <c r="DI180" s="228">
        <v>22.58</v>
      </c>
      <c r="DJ180" s="228">
        <v>-0.83</v>
      </c>
      <c r="DK180" s="228">
        <v>-0.83</v>
      </c>
      <c r="DL180" s="228">
        <v>24.15</v>
      </c>
      <c r="DM180" s="228">
        <v>24.2</v>
      </c>
      <c r="DN180" s="228">
        <v>-0.05</v>
      </c>
      <c r="DO180" s="228">
        <v>-0.05</v>
      </c>
      <c r="DP180" s="228">
        <v>0.53</v>
      </c>
      <c r="DQ180" s="228">
        <v>0.46</v>
      </c>
      <c r="DR180" s="228">
        <v>7.0000000000000007E-2</v>
      </c>
      <c r="DS180" s="229">
        <v>0.1522</v>
      </c>
      <c r="DT180" s="231">
        <v>1860</v>
      </c>
      <c r="DU180" s="231">
        <v>1700</v>
      </c>
      <c r="DV180" s="228">
        <v>0.47</v>
      </c>
      <c r="DW180" s="228">
        <v>0.41</v>
      </c>
      <c r="DX180" s="228">
        <v>0.06</v>
      </c>
      <c r="DY180" s="229">
        <v>0.14630000000000001</v>
      </c>
      <c r="DZ180" s="229">
        <v>0.12790000000000001</v>
      </c>
      <c r="EA180" s="230">
        <v>1320750</v>
      </c>
      <c r="EB180" s="229">
        <v>7.1999999999999998E-3</v>
      </c>
      <c r="EC180" s="229">
        <v>0.12790000000000001</v>
      </c>
      <c r="ED180" s="228">
        <v>9.68</v>
      </c>
      <c r="EE180" s="229">
        <v>5.1999999999999998E-3</v>
      </c>
      <c r="EF180" s="230">
        <v>890307</v>
      </c>
      <c r="EG180" s="230">
        <v>587212</v>
      </c>
      <c r="EH180" s="229">
        <v>0.51619999999999999</v>
      </c>
      <c r="EI180" s="229">
        <v>0.70050000000000001</v>
      </c>
      <c r="EJ180" s="231">
        <v>85994.21</v>
      </c>
      <c r="EK180" s="231">
        <v>37981.11</v>
      </c>
      <c r="EL180" s="231">
        <v>31006.92</v>
      </c>
      <c r="EM180" s="231">
        <v>2812</v>
      </c>
      <c r="EN180" s="231">
        <v>154982.24</v>
      </c>
      <c r="EO180" s="231">
        <v>134273.76</v>
      </c>
      <c r="EP180" s="231">
        <v>20708.48</v>
      </c>
      <c r="EQ180" s="229">
        <v>0.1542</v>
      </c>
      <c r="ER180" s="231">
        <v>76960</v>
      </c>
      <c r="ES180" s="231">
        <v>37325</v>
      </c>
      <c r="ET180" s="231">
        <v>195397</v>
      </c>
      <c r="EU180" s="231">
        <v>45527821</v>
      </c>
      <c r="EV180" s="231">
        <v>309682</v>
      </c>
      <c r="EW180" s="231">
        <v>308101</v>
      </c>
      <c r="EX180" s="231">
        <v>1581</v>
      </c>
      <c r="EY180" s="229">
        <v>5.1000000000000004E-3</v>
      </c>
      <c r="EZ180" s="229">
        <v>0.36430000000000001</v>
      </c>
      <c r="FA180" s="227" t="s">
        <v>691</v>
      </c>
      <c r="FB180" s="161">
        <f t="shared" si="4"/>
        <v>0</v>
      </c>
    </row>
    <row r="181" spans="1:158" ht="17.25" thickBot="1" x14ac:dyDescent="0.3">
      <c r="A181" s="226">
        <v>46148</v>
      </c>
      <c r="B181" s="227" t="s">
        <v>172</v>
      </c>
      <c r="C181" s="227" t="s">
        <v>283</v>
      </c>
      <c r="D181" s="228">
        <v>750</v>
      </c>
      <c r="E181" s="231">
        <v>1090.2</v>
      </c>
      <c r="F181" s="231">
        <v>1051.8</v>
      </c>
      <c r="G181" s="228">
        <v>38.4</v>
      </c>
      <c r="H181" s="229">
        <v>3.6499999999999998E-2</v>
      </c>
      <c r="I181" s="231">
        <v>1096</v>
      </c>
      <c r="J181" s="231">
        <v>1059.9000000000001</v>
      </c>
      <c r="K181" s="228">
        <v>36.1</v>
      </c>
      <c r="L181" s="229">
        <v>3.4099999999999998E-2</v>
      </c>
      <c r="M181" s="231">
        <v>1090.2</v>
      </c>
      <c r="N181" s="231">
        <v>1051.8</v>
      </c>
      <c r="O181" s="228">
        <v>38.4</v>
      </c>
      <c r="P181" s="229">
        <v>3.6499999999999998E-2</v>
      </c>
      <c r="Q181" s="231">
        <v>1093.5999999999999</v>
      </c>
      <c r="R181" s="231">
        <v>1056</v>
      </c>
      <c r="S181" s="228">
        <v>37.6</v>
      </c>
      <c r="T181" s="229">
        <v>3.56E-2</v>
      </c>
      <c r="U181" s="231">
        <v>1098.0999999999999</v>
      </c>
      <c r="V181" s="231">
        <v>1062.0999999999999</v>
      </c>
      <c r="W181" s="228">
        <v>36</v>
      </c>
      <c r="X181" s="229">
        <v>3.39E-2</v>
      </c>
      <c r="Y181" s="228">
        <v>-5.8</v>
      </c>
      <c r="Z181" s="228">
        <v>-8.1</v>
      </c>
      <c r="AA181" s="228">
        <v>2.2999999999999998</v>
      </c>
      <c r="AB181" s="229">
        <v>-5.3E-3</v>
      </c>
      <c r="AC181" s="228">
        <v>-5.8</v>
      </c>
      <c r="AD181" s="228">
        <v>-8.1</v>
      </c>
      <c r="AE181" s="228">
        <v>2.2999999999999998</v>
      </c>
      <c r="AF181" s="229">
        <v>-5.3E-3</v>
      </c>
      <c r="AG181" s="228">
        <v>-2.4</v>
      </c>
      <c r="AH181" s="228">
        <v>-3.9</v>
      </c>
      <c r="AI181" s="228">
        <v>1.5</v>
      </c>
      <c r="AJ181" s="229">
        <v>-2.2000000000000001E-3</v>
      </c>
      <c r="AK181" s="228">
        <v>2.1</v>
      </c>
      <c r="AL181" s="228">
        <v>2.2000000000000002</v>
      </c>
      <c r="AM181" s="228">
        <v>-0.1</v>
      </c>
      <c r="AN181" s="229">
        <v>1.9E-3</v>
      </c>
      <c r="AO181" s="231">
        <v>1075.8499999999999</v>
      </c>
      <c r="AP181" s="231">
        <v>1076.23</v>
      </c>
      <c r="AQ181" s="228">
        <v>0</v>
      </c>
      <c r="AR181" s="230">
        <v>21266250</v>
      </c>
      <c r="AS181" s="230">
        <v>9108750</v>
      </c>
      <c r="AT181" s="230">
        <v>12157500</v>
      </c>
      <c r="AU181" s="229">
        <v>1.3347</v>
      </c>
      <c r="AV181" s="230">
        <v>19764000</v>
      </c>
      <c r="AW181" s="230">
        <v>7980000</v>
      </c>
      <c r="AX181" s="230">
        <v>11784000</v>
      </c>
      <c r="AY181" s="229">
        <v>1.4766999999999999</v>
      </c>
      <c r="AZ181" s="230">
        <v>1321500</v>
      </c>
      <c r="BA181" s="230">
        <v>1029000</v>
      </c>
      <c r="BB181" s="230">
        <v>292500</v>
      </c>
      <c r="BC181" s="229">
        <v>0.2843</v>
      </c>
      <c r="BD181" s="230">
        <v>180750</v>
      </c>
      <c r="BE181" s="230">
        <v>99750</v>
      </c>
      <c r="BF181" s="230">
        <v>81000</v>
      </c>
      <c r="BG181" s="229">
        <v>0.81200000000000006</v>
      </c>
      <c r="BH181" s="230">
        <v>78100500</v>
      </c>
      <c r="BI181" s="230">
        <v>34833000</v>
      </c>
      <c r="BJ181" s="230">
        <v>43267500</v>
      </c>
      <c r="BK181" s="229">
        <v>1.2421</v>
      </c>
      <c r="BL181" s="230">
        <v>37446750</v>
      </c>
      <c r="BM181" s="230">
        <v>20857500</v>
      </c>
      <c r="BN181" s="230">
        <v>16589250</v>
      </c>
      <c r="BO181" s="229">
        <v>0.7954</v>
      </c>
      <c r="BP181" s="230">
        <v>136813500</v>
      </c>
      <c r="BQ181" s="230">
        <v>64799250</v>
      </c>
      <c r="BR181" s="230">
        <v>72014250</v>
      </c>
      <c r="BS181" s="229">
        <v>1.1113</v>
      </c>
      <c r="BT181" s="230">
        <v>15270724</v>
      </c>
      <c r="BU181" s="230">
        <v>12829281</v>
      </c>
      <c r="BV181" s="230">
        <v>2441443</v>
      </c>
      <c r="BW181" s="229">
        <v>0.1903</v>
      </c>
      <c r="BX181" s="230">
        <v>100336500</v>
      </c>
      <c r="BY181" s="230">
        <v>96547500</v>
      </c>
      <c r="BZ181" s="230">
        <v>3789000</v>
      </c>
      <c r="CA181" s="229">
        <v>3.9199999999999999E-2</v>
      </c>
      <c r="CB181" s="230">
        <v>78623250</v>
      </c>
      <c r="CC181" s="230">
        <v>75284250</v>
      </c>
      <c r="CD181" s="230">
        <v>3339000</v>
      </c>
      <c r="CE181" s="229">
        <v>4.4400000000000002E-2</v>
      </c>
      <c r="CF181" s="230">
        <v>21511500</v>
      </c>
      <c r="CG181" s="230">
        <v>21079500</v>
      </c>
      <c r="CH181" s="230">
        <v>432000</v>
      </c>
      <c r="CI181" s="229">
        <v>2.0500000000000001E-2</v>
      </c>
      <c r="CJ181" s="230">
        <v>201750</v>
      </c>
      <c r="CK181" s="230">
        <v>183750</v>
      </c>
      <c r="CL181" s="230">
        <v>18000</v>
      </c>
      <c r="CM181" s="229">
        <v>9.8000000000000004E-2</v>
      </c>
      <c r="CN181" s="230">
        <v>33020250</v>
      </c>
      <c r="CO181" s="230">
        <v>34888500</v>
      </c>
      <c r="CP181" s="230">
        <v>-1868250</v>
      </c>
      <c r="CQ181" s="229">
        <v>-5.3499999999999999E-2</v>
      </c>
      <c r="CR181" s="230">
        <v>25122750</v>
      </c>
      <c r="CS181" s="230">
        <v>23883000</v>
      </c>
      <c r="CT181" s="230">
        <v>1239750</v>
      </c>
      <c r="CU181" s="229">
        <v>5.1900000000000002E-2</v>
      </c>
      <c r="CV181" s="230">
        <v>158479500</v>
      </c>
      <c r="CW181" s="230">
        <v>155319000</v>
      </c>
      <c r="CX181" s="230">
        <v>3160500</v>
      </c>
      <c r="CY181" s="229">
        <v>2.0299999999999999E-2</v>
      </c>
      <c r="CZ181" s="228">
        <v>31.2</v>
      </c>
      <c r="DA181" s="228">
        <v>32.32</v>
      </c>
      <c r="DB181" s="228">
        <v>-1.1200000000000001</v>
      </c>
      <c r="DC181" s="228">
        <v>-1.1200000000000001</v>
      </c>
      <c r="DD181" s="228">
        <v>29.17</v>
      </c>
      <c r="DE181" s="228">
        <v>28.89</v>
      </c>
      <c r="DF181" s="228">
        <v>2.0299999999999998</v>
      </c>
      <c r="DG181" s="228">
        <v>0.28000000000000003</v>
      </c>
      <c r="DH181" s="228">
        <v>30.86</v>
      </c>
      <c r="DI181" s="228">
        <v>32.549999999999997</v>
      </c>
      <c r="DJ181" s="228">
        <v>-1.69</v>
      </c>
      <c r="DK181" s="228">
        <v>-1.69</v>
      </c>
      <c r="DL181" s="228">
        <v>31.91</v>
      </c>
      <c r="DM181" s="228">
        <v>31.94</v>
      </c>
      <c r="DN181" s="228">
        <v>-0.03</v>
      </c>
      <c r="DO181" s="228">
        <v>-0.03</v>
      </c>
      <c r="DP181" s="228">
        <v>0.76</v>
      </c>
      <c r="DQ181" s="228">
        <v>0.68</v>
      </c>
      <c r="DR181" s="228">
        <v>0.08</v>
      </c>
      <c r="DS181" s="229">
        <v>0.1176</v>
      </c>
      <c r="DT181" s="231">
        <v>1100</v>
      </c>
      <c r="DU181" s="231">
        <v>1100</v>
      </c>
      <c r="DV181" s="228">
        <v>0.48</v>
      </c>
      <c r="DW181" s="228">
        <v>0.6</v>
      </c>
      <c r="DX181" s="228">
        <v>-0.12</v>
      </c>
      <c r="DY181" s="229">
        <v>-0.2</v>
      </c>
      <c r="DZ181" s="229">
        <v>0.21640000000000001</v>
      </c>
      <c r="EA181" s="230">
        <v>21263250</v>
      </c>
      <c r="EB181" s="229">
        <v>3.0999999999999999E-3</v>
      </c>
      <c r="EC181" s="229">
        <v>0.21640000000000001</v>
      </c>
      <c r="ED181" s="228">
        <v>0.38</v>
      </c>
      <c r="EE181" s="229">
        <v>4.0000000000000002E-4</v>
      </c>
      <c r="EF181" s="230">
        <v>7843088</v>
      </c>
      <c r="EG181" s="230">
        <v>4897303</v>
      </c>
      <c r="EH181" s="229">
        <v>0.60150000000000003</v>
      </c>
      <c r="EI181" s="229">
        <v>0.51359999999999995</v>
      </c>
      <c r="EJ181" s="231">
        <v>884744.13</v>
      </c>
      <c r="EK181" s="231">
        <v>395462.76</v>
      </c>
      <c r="EL181" s="231">
        <v>228810.78</v>
      </c>
      <c r="EM181" s="231">
        <v>15340</v>
      </c>
      <c r="EN181" s="231">
        <v>1509017.67</v>
      </c>
      <c r="EO181" s="231">
        <v>704631.82</v>
      </c>
      <c r="EP181" s="231">
        <v>804385.85</v>
      </c>
      <c r="EQ181" s="229">
        <v>1.1415999999999999</v>
      </c>
      <c r="ER181" s="231">
        <v>375098</v>
      </c>
      <c r="ES181" s="231">
        <v>265133</v>
      </c>
      <c r="ET181" s="231">
        <v>1094616</v>
      </c>
      <c r="EU181" s="231">
        <v>580324288</v>
      </c>
      <c r="EV181" s="231">
        <v>1734847</v>
      </c>
      <c r="EW181" s="231">
        <v>1663392</v>
      </c>
      <c r="EX181" s="231">
        <v>71455</v>
      </c>
      <c r="EY181" s="229">
        <v>4.2999999999999997E-2</v>
      </c>
      <c r="EZ181" s="229">
        <v>0.27310000000000001</v>
      </c>
      <c r="FA181" s="227" t="s">
        <v>555</v>
      </c>
      <c r="FB181" s="161">
        <f t="shared" si="4"/>
        <v>0</v>
      </c>
    </row>
    <row r="182" spans="1:158" ht="17.25" thickBot="1" x14ac:dyDescent="0.3">
      <c r="A182" s="226">
        <v>46148</v>
      </c>
      <c r="B182" s="227" t="s">
        <v>157</v>
      </c>
      <c r="C182" s="227" t="s">
        <v>284</v>
      </c>
      <c r="D182" s="228">
        <v>25</v>
      </c>
      <c r="E182" s="231">
        <v>24795</v>
      </c>
      <c r="F182" s="231">
        <v>24510</v>
      </c>
      <c r="G182" s="228">
        <v>285</v>
      </c>
      <c r="H182" s="229">
        <v>1.1599999999999999E-2</v>
      </c>
      <c r="I182" s="231">
        <v>24975</v>
      </c>
      <c r="J182" s="231">
        <v>24845</v>
      </c>
      <c r="K182" s="228">
        <v>130</v>
      </c>
      <c r="L182" s="229">
        <v>5.1999999999999998E-3</v>
      </c>
      <c r="M182" s="231">
        <v>24795</v>
      </c>
      <c r="N182" s="231">
        <v>24510</v>
      </c>
      <c r="O182" s="228">
        <v>285</v>
      </c>
      <c r="P182" s="229">
        <v>1.1599999999999999E-2</v>
      </c>
      <c r="Q182" s="231">
        <v>24615</v>
      </c>
      <c r="R182" s="231">
        <v>24305</v>
      </c>
      <c r="S182" s="228">
        <v>310</v>
      </c>
      <c r="T182" s="229">
        <v>1.2800000000000001E-2</v>
      </c>
      <c r="U182" s="231">
        <v>24330</v>
      </c>
      <c r="V182" s="231">
        <v>24415</v>
      </c>
      <c r="W182" s="228">
        <v>-85</v>
      </c>
      <c r="X182" s="229">
        <v>-3.5000000000000001E-3</v>
      </c>
      <c r="Y182" s="228">
        <v>-180</v>
      </c>
      <c r="Z182" s="228">
        <v>-335</v>
      </c>
      <c r="AA182" s="228">
        <v>155</v>
      </c>
      <c r="AB182" s="229">
        <v>-7.1999999999999998E-3</v>
      </c>
      <c r="AC182" s="228">
        <v>-180</v>
      </c>
      <c r="AD182" s="228">
        <v>-335</v>
      </c>
      <c r="AE182" s="228">
        <v>155</v>
      </c>
      <c r="AF182" s="229">
        <v>-7.1999999999999998E-3</v>
      </c>
      <c r="AG182" s="228">
        <v>-360</v>
      </c>
      <c r="AH182" s="228">
        <v>-540</v>
      </c>
      <c r="AI182" s="228">
        <v>180</v>
      </c>
      <c r="AJ182" s="229">
        <v>-1.44E-2</v>
      </c>
      <c r="AK182" s="228">
        <v>-645</v>
      </c>
      <c r="AL182" s="228">
        <v>-430</v>
      </c>
      <c r="AM182" s="228">
        <v>-215</v>
      </c>
      <c r="AN182" s="229">
        <v>-2.58E-2</v>
      </c>
      <c r="AO182" s="231">
        <v>24735.51</v>
      </c>
      <c r="AP182" s="231">
        <v>24513.79</v>
      </c>
      <c r="AQ182" s="228">
        <v>0</v>
      </c>
      <c r="AR182" s="230">
        <v>72250</v>
      </c>
      <c r="AS182" s="230">
        <v>76675</v>
      </c>
      <c r="AT182" s="230">
        <v>-4425</v>
      </c>
      <c r="AU182" s="229">
        <v>-5.7700000000000001E-2</v>
      </c>
      <c r="AV182" s="230">
        <v>67750</v>
      </c>
      <c r="AW182" s="230">
        <v>70425</v>
      </c>
      <c r="AX182" s="230">
        <v>-2675</v>
      </c>
      <c r="AY182" s="229">
        <v>-3.7999999999999999E-2</v>
      </c>
      <c r="AZ182" s="230">
        <v>4350</v>
      </c>
      <c r="BA182" s="230">
        <v>6225</v>
      </c>
      <c r="BB182" s="230">
        <v>-1875</v>
      </c>
      <c r="BC182" s="229">
        <v>-0.30120000000000002</v>
      </c>
      <c r="BD182" s="228">
        <v>150</v>
      </c>
      <c r="BE182" s="228">
        <v>25</v>
      </c>
      <c r="BF182" s="228">
        <v>125</v>
      </c>
      <c r="BG182" s="229">
        <v>5</v>
      </c>
      <c r="BH182" s="230">
        <v>160200</v>
      </c>
      <c r="BI182" s="230">
        <v>39650</v>
      </c>
      <c r="BJ182" s="230">
        <v>120550</v>
      </c>
      <c r="BK182" s="229">
        <v>3.0404</v>
      </c>
      <c r="BL182" s="230">
        <v>76350</v>
      </c>
      <c r="BM182" s="230">
        <v>11900</v>
      </c>
      <c r="BN182" s="230">
        <v>64450</v>
      </c>
      <c r="BO182" s="229">
        <v>5.4160000000000004</v>
      </c>
      <c r="BP182" s="230">
        <v>308800</v>
      </c>
      <c r="BQ182" s="230">
        <v>128225</v>
      </c>
      <c r="BR182" s="230">
        <v>180575</v>
      </c>
      <c r="BS182" s="229">
        <v>1.4083000000000001</v>
      </c>
      <c r="BT182" s="230">
        <v>53739</v>
      </c>
      <c r="BU182" s="230">
        <v>20020</v>
      </c>
      <c r="BV182" s="230">
        <v>33719</v>
      </c>
      <c r="BW182" s="229">
        <v>1.6842999999999999</v>
      </c>
      <c r="BX182" s="230">
        <v>450750</v>
      </c>
      <c r="BY182" s="230">
        <v>426475</v>
      </c>
      <c r="BZ182" s="230">
        <v>24275</v>
      </c>
      <c r="CA182" s="229">
        <v>5.6899999999999999E-2</v>
      </c>
      <c r="CB182" s="230">
        <v>440600</v>
      </c>
      <c r="CC182" s="230">
        <v>418025</v>
      </c>
      <c r="CD182" s="230">
        <v>22575</v>
      </c>
      <c r="CE182" s="229">
        <v>5.3999999999999999E-2</v>
      </c>
      <c r="CF182" s="230">
        <v>9725</v>
      </c>
      <c r="CG182" s="230">
        <v>8150</v>
      </c>
      <c r="CH182" s="230">
        <v>1575</v>
      </c>
      <c r="CI182" s="229">
        <v>0.1933</v>
      </c>
      <c r="CJ182" s="228">
        <v>425</v>
      </c>
      <c r="CK182" s="228">
        <v>300</v>
      </c>
      <c r="CL182" s="228">
        <v>125</v>
      </c>
      <c r="CM182" s="229">
        <v>0.41670000000000001</v>
      </c>
      <c r="CN182" s="230">
        <v>57275</v>
      </c>
      <c r="CO182" s="230">
        <v>40375</v>
      </c>
      <c r="CP182" s="230">
        <v>16900</v>
      </c>
      <c r="CQ182" s="229">
        <v>0.41860000000000003</v>
      </c>
      <c r="CR182" s="230">
        <v>49550</v>
      </c>
      <c r="CS182" s="230">
        <v>35650</v>
      </c>
      <c r="CT182" s="230">
        <v>13900</v>
      </c>
      <c r="CU182" s="229">
        <v>0.38990000000000002</v>
      </c>
      <c r="CV182" s="230">
        <v>557575</v>
      </c>
      <c r="CW182" s="230">
        <v>502500</v>
      </c>
      <c r="CX182" s="230">
        <v>55075</v>
      </c>
      <c r="CY182" s="229">
        <v>0.1096</v>
      </c>
      <c r="CZ182" s="228">
        <v>31.51</v>
      </c>
      <c r="DA182" s="228">
        <v>31.88</v>
      </c>
      <c r="DB182" s="228">
        <v>-0.37</v>
      </c>
      <c r="DC182" s="228">
        <v>-0.37</v>
      </c>
      <c r="DD182" s="228">
        <v>27.7</v>
      </c>
      <c r="DE182" s="228">
        <v>27.72</v>
      </c>
      <c r="DF182" s="228">
        <v>3.81</v>
      </c>
      <c r="DG182" s="228">
        <v>-0.02</v>
      </c>
      <c r="DH182" s="228">
        <v>31.66</v>
      </c>
      <c r="DI182" s="228">
        <v>31.64</v>
      </c>
      <c r="DJ182" s="228">
        <v>0.02</v>
      </c>
      <c r="DK182" s="228">
        <v>0.02</v>
      </c>
      <c r="DL182" s="228">
        <v>31.21</v>
      </c>
      <c r="DM182" s="228">
        <v>32.67</v>
      </c>
      <c r="DN182" s="228">
        <v>-1.46</v>
      </c>
      <c r="DO182" s="228">
        <v>-1.46</v>
      </c>
      <c r="DP182" s="228">
        <v>0.87</v>
      </c>
      <c r="DQ182" s="228">
        <v>0.88</v>
      </c>
      <c r="DR182" s="228">
        <v>-0.01</v>
      </c>
      <c r="DS182" s="229">
        <v>-1.14E-2</v>
      </c>
      <c r="DT182" s="231">
        <v>25000</v>
      </c>
      <c r="DU182" s="231">
        <v>25000</v>
      </c>
      <c r="DV182" s="228">
        <v>0.48</v>
      </c>
      <c r="DW182" s="228">
        <v>0.3</v>
      </c>
      <c r="DX182" s="228">
        <v>0.18</v>
      </c>
      <c r="DY182" s="229">
        <v>0.6</v>
      </c>
      <c r="DZ182" s="229">
        <v>2.2499999999999999E-2</v>
      </c>
      <c r="EA182" s="230">
        <v>8450</v>
      </c>
      <c r="EB182" s="229">
        <v>-7.3000000000000001E-3</v>
      </c>
      <c r="EC182" s="229">
        <v>2.2499999999999999E-2</v>
      </c>
      <c r="ED182" s="228">
        <v>-221.72</v>
      </c>
      <c r="EE182" s="229">
        <v>-8.9999999999999993E-3</v>
      </c>
      <c r="EF182" s="230">
        <v>30505</v>
      </c>
      <c r="EG182" s="230">
        <v>8305</v>
      </c>
      <c r="EH182" s="229">
        <v>2.6730999999999998</v>
      </c>
      <c r="EI182" s="229">
        <v>0.56769999999999998</v>
      </c>
      <c r="EJ182" s="231">
        <v>41766.1</v>
      </c>
      <c r="EK182" s="231">
        <v>18795.14</v>
      </c>
      <c r="EL182" s="231">
        <v>17861.259999999998</v>
      </c>
      <c r="EM182" s="231">
        <v>2204</v>
      </c>
      <c r="EN182" s="231">
        <v>78422.5</v>
      </c>
      <c r="EO182" s="231">
        <v>31989.89</v>
      </c>
      <c r="EP182" s="231">
        <v>46432.61</v>
      </c>
      <c r="EQ182" s="229">
        <v>1.4515</v>
      </c>
      <c r="ER182" s="231">
        <v>14596</v>
      </c>
      <c r="ES182" s="231">
        <v>11870</v>
      </c>
      <c r="ET182" s="231">
        <v>111744</v>
      </c>
      <c r="EU182" s="231">
        <v>1655049</v>
      </c>
      <c r="EV182" s="231">
        <v>138210</v>
      </c>
      <c r="EW182" s="231">
        <v>123148</v>
      </c>
      <c r="EX182" s="231">
        <v>15062</v>
      </c>
      <c r="EY182" s="229">
        <v>0.12230000000000001</v>
      </c>
      <c r="EZ182" s="229">
        <v>0.33689999999999998</v>
      </c>
      <c r="FA182" s="227" t="s">
        <v>555</v>
      </c>
      <c r="FB182" s="161">
        <f t="shared" si="4"/>
        <v>0</v>
      </c>
    </row>
    <row r="183" spans="1:158" ht="17.25" thickBot="1" x14ac:dyDescent="0.3">
      <c r="A183" s="226">
        <v>46148</v>
      </c>
      <c r="B183" s="227" t="s">
        <v>175</v>
      </c>
      <c r="C183" s="227" t="s">
        <v>561</v>
      </c>
      <c r="D183" s="228">
        <v>825</v>
      </c>
      <c r="E183" s="231">
        <v>1010.5</v>
      </c>
      <c r="F183" s="228">
        <v>967.4</v>
      </c>
      <c r="G183" s="228">
        <v>43.1</v>
      </c>
      <c r="H183" s="229">
        <v>4.4600000000000001E-2</v>
      </c>
      <c r="I183" s="231">
        <v>1004.1</v>
      </c>
      <c r="J183" s="228">
        <v>964.4</v>
      </c>
      <c r="K183" s="228">
        <v>39.700000000000003</v>
      </c>
      <c r="L183" s="229">
        <v>4.1200000000000001E-2</v>
      </c>
      <c r="M183" s="231">
        <v>1010.5</v>
      </c>
      <c r="N183" s="228">
        <v>967.4</v>
      </c>
      <c r="O183" s="228">
        <v>43.1</v>
      </c>
      <c r="P183" s="229">
        <v>4.4600000000000001E-2</v>
      </c>
      <c r="Q183" s="231">
        <v>1016.8</v>
      </c>
      <c r="R183" s="228">
        <v>974.45</v>
      </c>
      <c r="S183" s="228">
        <v>42.35</v>
      </c>
      <c r="T183" s="229">
        <v>4.3499999999999997E-2</v>
      </c>
      <c r="U183" s="231">
        <v>1015.9</v>
      </c>
      <c r="V183" s="228">
        <v>970.8</v>
      </c>
      <c r="W183" s="228">
        <v>45.1</v>
      </c>
      <c r="X183" s="229">
        <v>4.65E-2</v>
      </c>
      <c r="Y183" s="228">
        <v>6.4</v>
      </c>
      <c r="Z183" s="228">
        <v>3</v>
      </c>
      <c r="AA183" s="228">
        <v>3.4</v>
      </c>
      <c r="AB183" s="229">
        <v>6.4000000000000003E-3</v>
      </c>
      <c r="AC183" s="228">
        <v>6.4</v>
      </c>
      <c r="AD183" s="228">
        <v>3</v>
      </c>
      <c r="AE183" s="228">
        <v>3.4</v>
      </c>
      <c r="AF183" s="229">
        <v>6.4000000000000003E-3</v>
      </c>
      <c r="AG183" s="228">
        <v>12.7</v>
      </c>
      <c r="AH183" s="228">
        <v>10.050000000000001</v>
      </c>
      <c r="AI183" s="228">
        <v>2.65</v>
      </c>
      <c r="AJ183" s="229">
        <v>1.26E-2</v>
      </c>
      <c r="AK183" s="228">
        <v>11.8</v>
      </c>
      <c r="AL183" s="228">
        <v>6.4</v>
      </c>
      <c r="AM183" s="228">
        <v>5.4</v>
      </c>
      <c r="AN183" s="229">
        <v>1.18E-2</v>
      </c>
      <c r="AO183" s="228">
        <v>995.99</v>
      </c>
      <c r="AP183" s="231">
        <v>1002.71</v>
      </c>
      <c r="AQ183" s="228">
        <v>0</v>
      </c>
      <c r="AR183" s="230">
        <v>10376850</v>
      </c>
      <c r="AS183" s="230">
        <v>5304750</v>
      </c>
      <c r="AT183" s="230">
        <v>5072100</v>
      </c>
      <c r="AU183" s="229">
        <v>0.95609999999999995</v>
      </c>
      <c r="AV183" s="230">
        <v>9786975</v>
      </c>
      <c r="AW183" s="230">
        <v>4993725</v>
      </c>
      <c r="AX183" s="230">
        <v>4793250</v>
      </c>
      <c r="AY183" s="229">
        <v>0.95989999999999998</v>
      </c>
      <c r="AZ183" s="230">
        <v>493350</v>
      </c>
      <c r="BA183" s="230">
        <v>236775</v>
      </c>
      <c r="BB183" s="230">
        <v>256575</v>
      </c>
      <c r="BC183" s="229">
        <v>1.0835999999999999</v>
      </c>
      <c r="BD183" s="230">
        <v>96525</v>
      </c>
      <c r="BE183" s="230">
        <v>74250</v>
      </c>
      <c r="BF183" s="230">
        <v>22275</v>
      </c>
      <c r="BG183" s="229">
        <v>0.3</v>
      </c>
      <c r="BH183" s="230">
        <v>27179625</v>
      </c>
      <c r="BI183" s="230">
        <v>12591150</v>
      </c>
      <c r="BJ183" s="230">
        <v>14588475</v>
      </c>
      <c r="BK183" s="229">
        <v>1.1586000000000001</v>
      </c>
      <c r="BL183" s="230">
        <v>14442450</v>
      </c>
      <c r="BM183" s="230">
        <v>7077675</v>
      </c>
      <c r="BN183" s="230">
        <v>7364775</v>
      </c>
      <c r="BO183" s="229">
        <v>1.0406</v>
      </c>
      <c r="BP183" s="230">
        <v>51998925</v>
      </c>
      <c r="BQ183" s="230">
        <v>24973575</v>
      </c>
      <c r="BR183" s="230">
        <v>27025350</v>
      </c>
      <c r="BS183" s="229">
        <v>1.0822000000000001</v>
      </c>
      <c r="BT183" s="230">
        <v>6428007</v>
      </c>
      <c r="BU183" s="230">
        <v>4165242</v>
      </c>
      <c r="BV183" s="230">
        <v>2262765</v>
      </c>
      <c r="BW183" s="229">
        <v>0.54320000000000002</v>
      </c>
      <c r="BX183" s="230">
        <v>44075625</v>
      </c>
      <c r="BY183" s="230">
        <v>44971575</v>
      </c>
      <c r="BZ183" s="230">
        <v>-895950</v>
      </c>
      <c r="CA183" s="229">
        <v>-1.9900000000000001E-2</v>
      </c>
      <c r="CB183" s="230">
        <v>38063025</v>
      </c>
      <c r="CC183" s="230">
        <v>39065400</v>
      </c>
      <c r="CD183" s="230">
        <v>-1002375</v>
      </c>
      <c r="CE183" s="229">
        <v>-2.5700000000000001E-2</v>
      </c>
      <c r="CF183" s="230">
        <v>5899575</v>
      </c>
      <c r="CG183" s="230">
        <v>5812125</v>
      </c>
      <c r="CH183" s="230">
        <v>87450</v>
      </c>
      <c r="CI183" s="229">
        <v>1.4999999999999999E-2</v>
      </c>
      <c r="CJ183" s="230">
        <v>113025</v>
      </c>
      <c r="CK183" s="230">
        <v>94050</v>
      </c>
      <c r="CL183" s="230">
        <v>18975</v>
      </c>
      <c r="CM183" s="229">
        <v>0.20180000000000001</v>
      </c>
      <c r="CN183" s="230">
        <v>16006650</v>
      </c>
      <c r="CO183" s="230">
        <v>18702750</v>
      </c>
      <c r="CP183" s="230">
        <v>-2696100</v>
      </c>
      <c r="CQ183" s="229">
        <v>-0.14419999999999999</v>
      </c>
      <c r="CR183" s="230">
        <v>9428100</v>
      </c>
      <c r="CS183" s="230">
        <v>9097275</v>
      </c>
      <c r="CT183" s="230">
        <v>330825</v>
      </c>
      <c r="CU183" s="229">
        <v>3.6400000000000002E-2</v>
      </c>
      <c r="CV183" s="230">
        <v>69510375</v>
      </c>
      <c r="CW183" s="230">
        <v>72771600</v>
      </c>
      <c r="CX183" s="230">
        <v>-3261225</v>
      </c>
      <c r="CY183" s="229">
        <v>-4.48E-2</v>
      </c>
      <c r="CZ183" s="228">
        <v>36.15</v>
      </c>
      <c r="DA183" s="228">
        <v>38.299999999999997</v>
      </c>
      <c r="DB183" s="228">
        <v>-2.15</v>
      </c>
      <c r="DC183" s="228">
        <v>-2.15</v>
      </c>
      <c r="DD183" s="228">
        <v>44.94</v>
      </c>
      <c r="DE183" s="228">
        <v>44.72</v>
      </c>
      <c r="DF183" s="228">
        <v>-8.7899999999999991</v>
      </c>
      <c r="DG183" s="228">
        <v>0.22</v>
      </c>
      <c r="DH183" s="228">
        <v>35.950000000000003</v>
      </c>
      <c r="DI183" s="228">
        <v>38.520000000000003</v>
      </c>
      <c r="DJ183" s="228">
        <v>-2.57</v>
      </c>
      <c r="DK183" s="228">
        <v>-2.57</v>
      </c>
      <c r="DL183" s="228">
        <v>36.53</v>
      </c>
      <c r="DM183" s="228">
        <v>37.9</v>
      </c>
      <c r="DN183" s="228">
        <v>-1.37</v>
      </c>
      <c r="DO183" s="228">
        <v>-1.37</v>
      </c>
      <c r="DP183" s="228">
        <v>0.59</v>
      </c>
      <c r="DQ183" s="228">
        <v>0.49</v>
      </c>
      <c r="DR183" s="228">
        <v>0.1</v>
      </c>
      <c r="DS183" s="229">
        <v>0.2041</v>
      </c>
      <c r="DT183" s="231">
        <v>1100</v>
      </c>
      <c r="DU183" s="228">
        <v>900</v>
      </c>
      <c r="DV183" s="228">
        <v>0.53</v>
      </c>
      <c r="DW183" s="228">
        <v>0.56000000000000005</v>
      </c>
      <c r="DX183" s="228">
        <v>-0.03</v>
      </c>
      <c r="DY183" s="229">
        <v>-5.3600000000000002E-2</v>
      </c>
      <c r="DZ183" s="229">
        <v>0.13639999999999999</v>
      </c>
      <c r="EA183" s="230">
        <v>5906175</v>
      </c>
      <c r="EB183" s="229">
        <v>6.1999999999999998E-3</v>
      </c>
      <c r="EC183" s="229">
        <v>0.13639999999999999</v>
      </c>
      <c r="ED183" s="228">
        <v>6.72</v>
      </c>
      <c r="EE183" s="229">
        <v>6.7000000000000002E-3</v>
      </c>
      <c r="EF183" s="230">
        <v>3676459</v>
      </c>
      <c r="EG183" s="230">
        <v>1742411</v>
      </c>
      <c r="EH183" s="229">
        <v>1.1100000000000001</v>
      </c>
      <c r="EI183" s="229">
        <v>0.57189999999999996</v>
      </c>
      <c r="EJ183" s="231">
        <v>285891.57</v>
      </c>
      <c r="EK183" s="231">
        <v>139374.85999999999</v>
      </c>
      <c r="EL183" s="231">
        <v>103389.86</v>
      </c>
      <c r="EM183" s="231">
        <v>7629</v>
      </c>
      <c r="EN183" s="231">
        <v>528656.29</v>
      </c>
      <c r="EO183" s="231">
        <v>247974.45</v>
      </c>
      <c r="EP183" s="231">
        <v>280681.84000000003</v>
      </c>
      <c r="EQ183" s="229">
        <v>1.1318999999999999</v>
      </c>
      <c r="ER183" s="231">
        <v>166353</v>
      </c>
      <c r="ES183" s="231">
        <v>88843</v>
      </c>
      <c r="ET183" s="231">
        <v>445762</v>
      </c>
      <c r="EU183" s="231">
        <v>210567108</v>
      </c>
      <c r="EV183" s="231">
        <v>700959</v>
      </c>
      <c r="EW183" s="231">
        <v>713805</v>
      </c>
      <c r="EX183" s="231">
        <v>-12846</v>
      </c>
      <c r="EY183" s="229">
        <v>-1.7999999999999999E-2</v>
      </c>
      <c r="EZ183" s="229">
        <v>0.3301</v>
      </c>
      <c r="FA183" s="227" t="s">
        <v>691</v>
      </c>
      <c r="FB183" s="161">
        <f t="shared" si="4"/>
        <v>0</v>
      </c>
    </row>
    <row r="184" spans="1:158" ht="17.25" thickBot="1" x14ac:dyDescent="0.3">
      <c r="A184" s="226">
        <v>46148</v>
      </c>
      <c r="B184" s="227" t="s">
        <v>184</v>
      </c>
      <c r="C184" s="227" t="s">
        <v>285</v>
      </c>
      <c r="D184" s="228">
        <v>175</v>
      </c>
      <c r="E184" s="231">
        <v>3839.6</v>
      </c>
      <c r="F184" s="231">
        <v>3862.4</v>
      </c>
      <c r="G184" s="228">
        <v>-22.8</v>
      </c>
      <c r="H184" s="229">
        <v>-5.8999999999999999E-3</v>
      </c>
      <c r="I184" s="231">
        <v>3841.8</v>
      </c>
      <c r="J184" s="231">
        <v>3846.6</v>
      </c>
      <c r="K184" s="228">
        <v>-4.8</v>
      </c>
      <c r="L184" s="229">
        <v>-1.1999999999999999E-3</v>
      </c>
      <c r="M184" s="231">
        <v>3839.6</v>
      </c>
      <c r="N184" s="231">
        <v>3862.4</v>
      </c>
      <c r="O184" s="228">
        <v>-22.8</v>
      </c>
      <c r="P184" s="229">
        <v>-5.8999999999999999E-3</v>
      </c>
      <c r="Q184" s="231">
        <v>3834.2</v>
      </c>
      <c r="R184" s="231">
        <v>3851.3</v>
      </c>
      <c r="S184" s="228">
        <v>-17.100000000000001</v>
      </c>
      <c r="T184" s="229">
        <v>-4.4000000000000003E-3</v>
      </c>
      <c r="U184" s="231">
        <v>3855.8</v>
      </c>
      <c r="V184" s="231">
        <v>3855.8</v>
      </c>
      <c r="W184" s="228">
        <v>0</v>
      </c>
      <c r="X184" s="229">
        <v>0</v>
      </c>
      <c r="Y184" s="228">
        <v>-2.2000000000000002</v>
      </c>
      <c r="Z184" s="228">
        <v>15.8</v>
      </c>
      <c r="AA184" s="228">
        <v>-18</v>
      </c>
      <c r="AB184" s="229">
        <v>-5.9999999999999995E-4</v>
      </c>
      <c r="AC184" s="228">
        <v>-2.2000000000000002</v>
      </c>
      <c r="AD184" s="228">
        <v>15.8</v>
      </c>
      <c r="AE184" s="228">
        <v>-18</v>
      </c>
      <c r="AF184" s="229">
        <v>-5.9999999999999995E-4</v>
      </c>
      <c r="AG184" s="228">
        <v>-7.6</v>
      </c>
      <c r="AH184" s="228">
        <v>4.7</v>
      </c>
      <c r="AI184" s="228">
        <v>-12.3</v>
      </c>
      <c r="AJ184" s="229">
        <v>-2E-3</v>
      </c>
      <c r="AK184" s="228">
        <v>14</v>
      </c>
      <c r="AL184" s="228">
        <v>9.1999999999999993</v>
      </c>
      <c r="AM184" s="228">
        <v>4.8</v>
      </c>
      <c r="AN184" s="229">
        <v>3.5999999999999999E-3</v>
      </c>
      <c r="AO184" s="231">
        <v>3823.35</v>
      </c>
      <c r="AP184" s="231">
        <v>3815.06</v>
      </c>
      <c r="AQ184" s="228">
        <v>0</v>
      </c>
      <c r="AR184" s="230">
        <v>421575</v>
      </c>
      <c r="AS184" s="230">
        <v>243600</v>
      </c>
      <c r="AT184" s="230">
        <v>177975</v>
      </c>
      <c r="AU184" s="229">
        <v>0.73060000000000003</v>
      </c>
      <c r="AV184" s="230">
        <v>399000</v>
      </c>
      <c r="AW184" s="230">
        <v>236425</v>
      </c>
      <c r="AX184" s="230">
        <v>162575</v>
      </c>
      <c r="AY184" s="229">
        <v>0.68759999999999999</v>
      </c>
      <c r="AZ184" s="230">
        <v>22575</v>
      </c>
      <c r="BA184" s="230">
        <v>6825</v>
      </c>
      <c r="BB184" s="230">
        <v>15750</v>
      </c>
      <c r="BC184" s="229">
        <v>2.3077000000000001</v>
      </c>
      <c r="BD184" s="228">
        <v>0</v>
      </c>
      <c r="BE184" s="228">
        <v>350</v>
      </c>
      <c r="BF184" s="228">
        <v>-350</v>
      </c>
      <c r="BG184" s="229">
        <v>-1</v>
      </c>
      <c r="BH184" s="230">
        <v>998200</v>
      </c>
      <c r="BI184" s="230">
        <v>652400</v>
      </c>
      <c r="BJ184" s="230">
        <v>345800</v>
      </c>
      <c r="BK184" s="229">
        <v>0.53</v>
      </c>
      <c r="BL184" s="230">
        <v>445375</v>
      </c>
      <c r="BM184" s="230">
        <v>225575</v>
      </c>
      <c r="BN184" s="230">
        <v>219800</v>
      </c>
      <c r="BO184" s="229">
        <v>0.97440000000000004</v>
      </c>
      <c r="BP184" s="230">
        <v>1865150</v>
      </c>
      <c r="BQ184" s="230">
        <v>1121575</v>
      </c>
      <c r="BR184" s="230">
        <v>743575</v>
      </c>
      <c r="BS184" s="229">
        <v>0.66300000000000003</v>
      </c>
      <c r="BT184" s="230">
        <v>341239</v>
      </c>
      <c r="BU184" s="230">
        <v>260474</v>
      </c>
      <c r="BV184" s="230">
        <v>80765</v>
      </c>
      <c r="BW184" s="229">
        <v>0.31009999999999999</v>
      </c>
      <c r="BX184" s="230">
        <v>3023125</v>
      </c>
      <c r="BY184" s="230">
        <v>3005100</v>
      </c>
      <c r="BZ184" s="230">
        <v>18025</v>
      </c>
      <c r="CA184" s="229">
        <v>6.0000000000000001E-3</v>
      </c>
      <c r="CB184" s="230">
        <v>2970975</v>
      </c>
      <c r="CC184" s="230">
        <v>2962225</v>
      </c>
      <c r="CD184" s="230">
        <v>8750</v>
      </c>
      <c r="CE184" s="229">
        <v>3.0000000000000001E-3</v>
      </c>
      <c r="CF184" s="230">
        <v>51625</v>
      </c>
      <c r="CG184" s="230">
        <v>42350</v>
      </c>
      <c r="CH184" s="230">
        <v>9275</v>
      </c>
      <c r="CI184" s="229">
        <v>0.219</v>
      </c>
      <c r="CJ184" s="228">
        <v>525</v>
      </c>
      <c r="CK184" s="228">
        <v>525</v>
      </c>
      <c r="CL184" s="228">
        <v>0</v>
      </c>
      <c r="CM184" s="229">
        <v>0</v>
      </c>
      <c r="CN184" s="230">
        <v>1048600</v>
      </c>
      <c r="CO184" s="230">
        <v>1034075</v>
      </c>
      <c r="CP184" s="230">
        <v>14525</v>
      </c>
      <c r="CQ184" s="229">
        <v>1.4E-2</v>
      </c>
      <c r="CR184" s="230">
        <v>527450</v>
      </c>
      <c r="CS184" s="230">
        <v>541625</v>
      </c>
      <c r="CT184" s="230">
        <v>-14175</v>
      </c>
      <c r="CU184" s="229">
        <v>-2.6200000000000001E-2</v>
      </c>
      <c r="CV184" s="230">
        <v>4599175</v>
      </c>
      <c r="CW184" s="230">
        <v>4580800</v>
      </c>
      <c r="CX184" s="230">
        <v>18375</v>
      </c>
      <c r="CY184" s="229">
        <v>4.0000000000000001E-3</v>
      </c>
      <c r="CZ184" s="228">
        <v>39.01</v>
      </c>
      <c r="DA184" s="228">
        <v>39.46</v>
      </c>
      <c r="DB184" s="228">
        <v>-0.45</v>
      </c>
      <c r="DC184" s="228">
        <v>-0.45</v>
      </c>
      <c r="DD184" s="228">
        <v>40.380000000000003</v>
      </c>
      <c r="DE184" s="228">
        <v>40.47</v>
      </c>
      <c r="DF184" s="228">
        <v>-1.37</v>
      </c>
      <c r="DG184" s="228">
        <v>-0.09</v>
      </c>
      <c r="DH184" s="228">
        <v>38.67</v>
      </c>
      <c r="DI184" s="228">
        <v>39.11</v>
      </c>
      <c r="DJ184" s="228">
        <v>-0.44</v>
      </c>
      <c r="DK184" s="228">
        <v>-0.44</v>
      </c>
      <c r="DL184" s="228">
        <v>39.770000000000003</v>
      </c>
      <c r="DM184" s="228">
        <v>40.479999999999997</v>
      </c>
      <c r="DN184" s="228">
        <v>-0.71</v>
      </c>
      <c r="DO184" s="228">
        <v>-0.71</v>
      </c>
      <c r="DP184" s="228">
        <v>0.5</v>
      </c>
      <c r="DQ184" s="228">
        <v>0.52</v>
      </c>
      <c r="DR184" s="228">
        <v>-0.02</v>
      </c>
      <c r="DS184" s="229">
        <v>-3.85E-2</v>
      </c>
      <c r="DT184" s="231">
        <v>4000</v>
      </c>
      <c r="DU184" s="231">
        <v>3500</v>
      </c>
      <c r="DV184" s="228">
        <v>0.45</v>
      </c>
      <c r="DW184" s="228">
        <v>0.35</v>
      </c>
      <c r="DX184" s="228">
        <v>0.1</v>
      </c>
      <c r="DY184" s="229">
        <v>0.28570000000000001</v>
      </c>
      <c r="DZ184" s="229">
        <v>1.7299999999999999E-2</v>
      </c>
      <c r="EA184" s="230">
        <v>42875</v>
      </c>
      <c r="EB184" s="229">
        <v>-1.4E-3</v>
      </c>
      <c r="EC184" s="229">
        <v>1.7299999999999999E-2</v>
      </c>
      <c r="ED184" s="228">
        <v>-8.2899999999999991</v>
      </c>
      <c r="EE184" s="229">
        <v>-2.2000000000000001E-3</v>
      </c>
      <c r="EF184" s="230">
        <v>149501</v>
      </c>
      <c r="EG184" s="230">
        <v>134979</v>
      </c>
      <c r="EH184" s="229">
        <v>0.1076</v>
      </c>
      <c r="EI184" s="229">
        <v>0.43809999999999999</v>
      </c>
      <c r="EJ184" s="231">
        <v>40529.68</v>
      </c>
      <c r="EK184" s="231">
        <v>16879.22</v>
      </c>
      <c r="EL184" s="231">
        <v>16116.4</v>
      </c>
      <c r="EM184" s="231">
        <v>3007</v>
      </c>
      <c r="EN184" s="231">
        <v>73525.3</v>
      </c>
      <c r="EO184" s="231">
        <v>44937.57</v>
      </c>
      <c r="EP184" s="231">
        <v>28587.73</v>
      </c>
      <c r="EQ184" s="229">
        <v>0.63619999999999999</v>
      </c>
      <c r="ER184" s="231">
        <v>41957</v>
      </c>
      <c r="ES184" s="231">
        <v>19080</v>
      </c>
      <c r="ET184" s="231">
        <v>116073</v>
      </c>
      <c r="EU184" s="231">
        <v>10374894</v>
      </c>
      <c r="EV184" s="231">
        <v>177110</v>
      </c>
      <c r="EW184" s="231">
        <v>176954</v>
      </c>
      <c r="EX184" s="228">
        <v>156</v>
      </c>
      <c r="EY184" s="229">
        <v>8.9999999999999998E-4</v>
      </c>
      <c r="EZ184" s="229">
        <v>0.44330000000000003</v>
      </c>
      <c r="FA184" s="227" t="s">
        <v>566</v>
      </c>
      <c r="FB184" s="161">
        <f t="shared" si="4"/>
        <v>0</v>
      </c>
    </row>
    <row r="185" spans="1:158" ht="17.25" thickBot="1" x14ac:dyDescent="0.3">
      <c r="A185" s="226">
        <v>46148</v>
      </c>
      <c r="B185" s="227" t="s">
        <v>498</v>
      </c>
      <c r="C185" s="227" t="s">
        <v>645</v>
      </c>
      <c r="D185" s="228">
        <v>50</v>
      </c>
      <c r="E185" s="231">
        <v>15785</v>
      </c>
      <c r="F185" s="231">
        <v>15919</v>
      </c>
      <c r="G185" s="228">
        <v>-134</v>
      </c>
      <c r="H185" s="229">
        <v>-8.3999999999999995E-3</v>
      </c>
      <c r="I185" s="231">
        <v>15740</v>
      </c>
      <c r="J185" s="231">
        <v>15845</v>
      </c>
      <c r="K185" s="228">
        <v>-105</v>
      </c>
      <c r="L185" s="229">
        <v>-6.6E-3</v>
      </c>
      <c r="M185" s="231">
        <v>15785</v>
      </c>
      <c r="N185" s="231">
        <v>15919</v>
      </c>
      <c r="O185" s="228">
        <v>-134</v>
      </c>
      <c r="P185" s="229">
        <v>-8.3999999999999995E-3</v>
      </c>
      <c r="Q185" s="231">
        <v>15883</v>
      </c>
      <c r="R185" s="231">
        <v>15990</v>
      </c>
      <c r="S185" s="228">
        <v>-107</v>
      </c>
      <c r="T185" s="229">
        <v>-6.7000000000000002E-3</v>
      </c>
      <c r="U185" s="231">
        <v>15850</v>
      </c>
      <c r="V185" s="231">
        <v>15760</v>
      </c>
      <c r="W185" s="228">
        <v>90</v>
      </c>
      <c r="X185" s="229">
        <v>5.7000000000000002E-3</v>
      </c>
      <c r="Y185" s="228">
        <v>45</v>
      </c>
      <c r="Z185" s="228">
        <v>74</v>
      </c>
      <c r="AA185" s="228">
        <v>-29</v>
      </c>
      <c r="AB185" s="229">
        <v>2.8999999999999998E-3</v>
      </c>
      <c r="AC185" s="228">
        <v>45</v>
      </c>
      <c r="AD185" s="228">
        <v>74</v>
      </c>
      <c r="AE185" s="228">
        <v>-29</v>
      </c>
      <c r="AF185" s="229">
        <v>2.8999999999999998E-3</v>
      </c>
      <c r="AG185" s="228">
        <v>143</v>
      </c>
      <c r="AH185" s="228">
        <v>145</v>
      </c>
      <c r="AI185" s="228">
        <v>-2</v>
      </c>
      <c r="AJ185" s="229">
        <v>9.1000000000000004E-3</v>
      </c>
      <c r="AK185" s="228">
        <v>110</v>
      </c>
      <c r="AL185" s="228">
        <v>-85</v>
      </c>
      <c r="AM185" s="228">
        <v>195</v>
      </c>
      <c r="AN185" s="229">
        <v>7.0000000000000001E-3</v>
      </c>
      <c r="AO185" s="231">
        <v>15791.85</v>
      </c>
      <c r="AP185" s="231">
        <v>15874.09</v>
      </c>
      <c r="AQ185" s="228">
        <v>0</v>
      </c>
      <c r="AR185" s="230">
        <v>109250</v>
      </c>
      <c r="AS185" s="230">
        <v>84700</v>
      </c>
      <c r="AT185" s="230">
        <v>24550</v>
      </c>
      <c r="AU185" s="229">
        <v>0.2898</v>
      </c>
      <c r="AV185" s="230">
        <v>104600</v>
      </c>
      <c r="AW185" s="230">
        <v>81250</v>
      </c>
      <c r="AX185" s="230">
        <v>23350</v>
      </c>
      <c r="AY185" s="229">
        <v>0.28739999999999999</v>
      </c>
      <c r="AZ185" s="230">
        <v>4400</v>
      </c>
      <c r="BA185" s="230">
        <v>3400</v>
      </c>
      <c r="BB185" s="230">
        <v>1000</v>
      </c>
      <c r="BC185" s="229">
        <v>0.29409999999999997</v>
      </c>
      <c r="BD185" s="228">
        <v>250</v>
      </c>
      <c r="BE185" s="228">
        <v>50</v>
      </c>
      <c r="BF185" s="228">
        <v>200</v>
      </c>
      <c r="BG185" s="229">
        <v>4</v>
      </c>
      <c r="BH185" s="230">
        <v>239000</v>
      </c>
      <c r="BI185" s="230">
        <v>187050</v>
      </c>
      <c r="BJ185" s="230">
        <v>51950</v>
      </c>
      <c r="BK185" s="229">
        <v>0.2777</v>
      </c>
      <c r="BL185" s="230">
        <v>149950</v>
      </c>
      <c r="BM185" s="230">
        <v>143600</v>
      </c>
      <c r="BN185" s="230">
        <v>6350</v>
      </c>
      <c r="BO185" s="229">
        <v>4.4200000000000003E-2</v>
      </c>
      <c r="BP185" s="230">
        <v>498200</v>
      </c>
      <c r="BQ185" s="230">
        <v>415350</v>
      </c>
      <c r="BR185" s="230">
        <v>82850</v>
      </c>
      <c r="BS185" s="229">
        <v>0.19950000000000001</v>
      </c>
      <c r="BT185" s="230">
        <v>120297</v>
      </c>
      <c r="BU185" s="230">
        <v>97650</v>
      </c>
      <c r="BV185" s="230">
        <v>22647</v>
      </c>
      <c r="BW185" s="229">
        <v>0.2319</v>
      </c>
      <c r="BX185" s="230">
        <v>748600</v>
      </c>
      <c r="BY185" s="230">
        <v>760000</v>
      </c>
      <c r="BZ185" s="230">
        <v>-11400</v>
      </c>
      <c r="CA185" s="229">
        <v>-1.4999999999999999E-2</v>
      </c>
      <c r="CB185" s="230">
        <v>693200</v>
      </c>
      <c r="CC185" s="230">
        <v>705550</v>
      </c>
      <c r="CD185" s="230">
        <v>-12350</v>
      </c>
      <c r="CE185" s="229">
        <v>-1.7500000000000002E-2</v>
      </c>
      <c r="CF185" s="230">
        <v>53750</v>
      </c>
      <c r="CG185" s="230">
        <v>52900</v>
      </c>
      <c r="CH185" s="228">
        <v>850</v>
      </c>
      <c r="CI185" s="229">
        <v>1.61E-2</v>
      </c>
      <c r="CJ185" s="230">
        <v>1650</v>
      </c>
      <c r="CK185" s="230">
        <v>1550</v>
      </c>
      <c r="CL185" s="228">
        <v>100</v>
      </c>
      <c r="CM185" s="229">
        <v>6.4500000000000002E-2</v>
      </c>
      <c r="CN185" s="230">
        <v>114300</v>
      </c>
      <c r="CO185" s="230">
        <v>108150</v>
      </c>
      <c r="CP185" s="230">
        <v>6150</v>
      </c>
      <c r="CQ185" s="229">
        <v>5.6899999999999999E-2</v>
      </c>
      <c r="CR185" s="230">
        <v>87150</v>
      </c>
      <c r="CS185" s="230">
        <v>86350</v>
      </c>
      <c r="CT185" s="228">
        <v>800</v>
      </c>
      <c r="CU185" s="229">
        <v>9.2999999999999992E-3</v>
      </c>
      <c r="CV185" s="230">
        <v>950050</v>
      </c>
      <c r="CW185" s="230">
        <v>954500</v>
      </c>
      <c r="CX185" s="230">
        <v>-4450</v>
      </c>
      <c r="CY185" s="229">
        <v>-4.7000000000000002E-3</v>
      </c>
      <c r="CZ185" s="228">
        <v>40.9</v>
      </c>
      <c r="DA185" s="228">
        <v>46.21</v>
      </c>
      <c r="DB185" s="228">
        <v>-5.31</v>
      </c>
      <c r="DC185" s="228">
        <v>-5.31</v>
      </c>
      <c r="DD185" s="228">
        <v>41.26</v>
      </c>
      <c r="DE185" s="228">
        <v>41.35</v>
      </c>
      <c r="DF185" s="228">
        <v>-0.36</v>
      </c>
      <c r="DG185" s="228">
        <v>-0.09</v>
      </c>
      <c r="DH185" s="228">
        <v>38.18</v>
      </c>
      <c r="DI185" s="228">
        <v>40.619999999999997</v>
      </c>
      <c r="DJ185" s="228">
        <v>-2.44</v>
      </c>
      <c r="DK185" s="228">
        <v>-2.44</v>
      </c>
      <c r="DL185" s="228">
        <v>45.24</v>
      </c>
      <c r="DM185" s="228">
        <v>53.49</v>
      </c>
      <c r="DN185" s="228">
        <v>-8.25</v>
      </c>
      <c r="DO185" s="228">
        <v>-8.25</v>
      </c>
      <c r="DP185" s="228">
        <v>0.76</v>
      </c>
      <c r="DQ185" s="228">
        <v>0.8</v>
      </c>
      <c r="DR185" s="228">
        <v>-0.04</v>
      </c>
      <c r="DS185" s="229">
        <v>-0.05</v>
      </c>
      <c r="DT185" s="231">
        <v>16000</v>
      </c>
      <c r="DU185" s="231">
        <v>15000</v>
      </c>
      <c r="DV185" s="228">
        <v>0.63</v>
      </c>
      <c r="DW185" s="228">
        <v>0.77</v>
      </c>
      <c r="DX185" s="228">
        <v>-0.14000000000000001</v>
      </c>
      <c r="DY185" s="229">
        <v>-0.18179999999999999</v>
      </c>
      <c r="DZ185" s="229">
        <v>7.3999999999999996E-2</v>
      </c>
      <c r="EA185" s="230">
        <v>54450</v>
      </c>
      <c r="EB185" s="229">
        <v>6.1999999999999998E-3</v>
      </c>
      <c r="EC185" s="229">
        <v>7.3999999999999996E-2</v>
      </c>
      <c r="ED185" s="228">
        <v>82.24</v>
      </c>
      <c r="EE185" s="229">
        <v>5.1999999999999998E-3</v>
      </c>
      <c r="EF185" s="230">
        <v>48174</v>
      </c>
      <c r="EG185" s="230">
        <v>40863</v>
      </c>
      <c r="EH185" s="229">
        <v>0.1789</v>
      </c>
      <c r="EI185" s="229">
        <v>0.40050000000000002</v>
      </c>
      <c r="EJ185" s="231">
        <v>40086.11</v>
      </c>
      <c r="EK185" s="231">
        <v>21108.02</v>
      </c>
      <c r="EL185" s="231">
        <v>17256.43</v>
      </c>
      <c r="EM185" s="231">
        <v>1522</v>
      </c>
      <c r="EN185" s="231">
        <v>78450.559999999998</v>
      </c>
      <c r="EO185" s="231">
        <v>63245.86</v>
      </c>
      <c r="EP185" s="231">
        <v>15204.7</v>
      </c>
      <c r="EQ185" s="229">
        <v>0.2404</v>
      </c>
      <c r="ER185" s="231">
        <v>18592</v>
      </c>
      <c r="ES185" s="231">
        <v>12789</v>
      </c>
      <c r="ET185" s="231">
        <v>118220</v>
      </c>
      <c r="EU185" s="231">
        <v>3644817</v>
      </c>
      <c r="EV185" s="231">
        <v>149602</v>
      </c>
      <c r="EW185" s="231">
        <v>151191</v>
      </c>
      <c r="EX185" s="231">
        <v>-1589</v>
      </c>
      <c r="EY185" s="229">
        <v>-1.0500000000000001E-2</v>
      </c>
      <c r="EZ185" s="229">
        <v>0.26069999999999999</v>
      </c>
      <c r="FA185" s="227" t="s">
        <v>567</v>
      </c>
      <c r="FB185" s="161">
        <f t="shared" si="4"/>
        <v>0</v>
      </c>
    </row>
    <row r="186" spans="1:158" ht="17.25" thickBot="1" x14ac:dyDescent="0.3">
      <c r="A186" s="226">
        <v>46148</v>
      </c>
      <c r="B186" s="227" t="s">
        <v>162</v>
      </c>
      <c r="C186" s="227" t="s">
        <v>613</v>
      </c>
      <c r="D186" s="228">
        <v>1225</v>
      </c>
      <c r="E186" s="228">
        <v>586.45000000000005</v>
      </c>
      <c r="F186" s="228">
        <v>578.54999999999995</v>
      </c>
      <c r="G186" s="228">
        <v>7.9</v>
      </c>
      <c r="H186" s="229">
        <v>1.37E-2</v>
      </c>
      <c r="I186" s="228">
        <v>582.6</v>
      </c>
      <c r="J186" s="228">
        <v>577.85</v>
      </c>
      <c r="K186" s="228">
        <v>4.75</v>
      </c>
      <c r="L186" s="229">
        <v>8.2000000000000007E-3</v>
      </c>
      <c r="M186" s="228">
        <v>586.45000000000005</v>
      </c>
      <c r="N186" s="228">
        <v>578.54999999999995</v>
      </c>
      <c r="O186" s="228">
        <v>7.9</v>
      </c>
      <c r="P186" s="229">
        <v>1.37E-2</v>
      </c>
      <c r="Q186" s="228">
        <v>588.35</v>
      </c>
      <c r="R186" s="228">
        <v>581.45000000000005</v>
      </c>
      <c r="S186" s="228">
        <v>6.9</v>
      </c>
      <c r="T186" s="229">
        <v>1.1900000000000001E-2</v>
      </c>
      <c r="U186" s="228">
        <v>595</v>
      </c>
      <c r="V186" s="228">
        <v>581</v>
      </c>
      <c r="W186" s="228">
        <v>14</v>
      </c>
      <c r="X186" s="229">
        <v>2.41E-2</v>
      </c>
      <c r="Y186" s="228">
        <v>3.85</v>
      </c>
      <c r="Z186" s="228">
        <v>0.7</v>
      </c>
      <c r="AA186" s="228">
        <v>3.15</v>
      </c>
      <c r="AB186" s="229">
        <v>6.6E-3</v>
      </c>
      <c r="AC186" s="228">
        <v>3.85</v>
      </c>
      <c r="AD186" s="228">
        <v>0.7</v>
      </c>
      <c r="AE186" s="228">
        <v>3.15</v>
      </c>
      <c r="AF186" s="229">
        <v>6.6E-3</v>
      </c>
      <c r="AG186" s="228">
        <v>5.75</v>
      </c>
      <c r="AH186" s="228">
        <v>3.6</v>
      </c>
      <c r="AI186" s="228">
        <v>2.15</v>
      </c>
      <c r="AJ186" s="229">
        <v>9.9000000000000008E-3</v>
      </c>
      <c r="AK186" s="228">
        <v>12.4</v>
      </c>
      <c r="AL186" s="228">
        <v>3.15</v>
      </c>
      <c r="AM186" s="228">
        <v>9.25</v>
      </c>
      <c r="AN186" s="229">
        <v>2.1299999999999999E-2</v>
      </c>
      <c r="AO186" s="228">
        <v>584.49</v>
      </c>
      <c r="AP186" s="228">
        <v>584.77</v>
      </c>
      <c r="AQ186" s="228">
        <v>0</v>
      </c>
      <c r="AR186" s="230">
        <v>2360575</v>
      </c>
      <c r="AS186" s="230">
        <v>2879975</v>
      </c>
      <c r="AT186" s="230">
        <v>-519400</v>
      </c>
      <c r="AU186" s="229">
        <v>-0.18029999999999999</v>
      </c>
      <c r="AV186" s="230">
        <v>2258900</v>
      </c>
      <c r="AW186" s="230">
        <v>2791775</v>
      </c>
      <c r="AX186" s="230">
        <v>-532875</v>
      </c>
      <c r="AY186" s="229">
        <v>-0.19089999999999999</v>
      </c>
      <c r="AZ186" s="230">
        <v>93100</v>
      </c>
      <c r="BA186" s="230">
        <v>85750</v>
      </c>
      <c r="BB186" s="230">
        <v>7350</v>
      </c>
      <c r="BC186" s="229">
        <v>8.5699999999999998E-2</v>
      </c>
      <c r="BD186" s="230">
        <v>8575</v>
      </c>
      <c r="BE186" s="230">
        <v>2450</v>
      </c>
      <c r="BF186" s="230">
        <v>6125</v>
      </c>
      <c r="BG186" s="229">
        <v>2.5</v>
      </c>
      <c r="BH186" s="230">
        <v>4843650</v>
      </c>
      <c r="BI186" s="230">
        <v>6242600</v>
      </c>
      <c r="BJ186" s="230">
        <v>-1398950</v>
      </c>
      <c r="BK186" s="229">
        <v>-0.22409999999999999</v>
      </c>
      <c r="BL186" s="230">
        <v>1869350</v>
      </c>
      <c r="BM186" s="230">
        <v>3122525</v>
      </c>
      <c r="BN186" s="230">
        <v>-1253175</v>
      </c>
      <c r="BO186" s="229">
        <v>-0.40129999999999999</v>
      </c>
      <c r="BP186" s="230">
        <v>9073575</v>
      </c>
      <c r="BQ186" s="230">
        <v>12245100</v>
      </c>
      <c r="BR186" s="230">
        <v>-3171525</v>
      </c>
      <c r="BS186" s="229">
        <v>-0.25900000000000001</v>
      </c>
      <c r="BT186" s="230">
        <v>2504524</v>
      </c>
      <c r="BU186" s="230">
        <v>3917486</v>
      </c>
      <c r="BV186" s="230">
        <v>-1412962</v>
      </c>
      <c r="BW186" s="229">
        <v>-0.36070000000000002</v>
      </c>
      <c r="BX186" s="230">
        <v>15812300</v>
      </c>
      <c r="BY186" s="230">
        <v>16081800</v>
      </c>
      <c r="BZ186" s="230">
        <v>-269500</v>
      </c>
      <c r="CA186" s="229">
        <v>-1.6799999999999999E-2</v>
      </c>
      <c r="CB186" s="230">
        <v>15582000</v>
      </c>
      <c r="CC186" s="230">
        <v>15878450</v>
      </c>
      <c r="CD186" s="230">
        <v>-296450</v>
      </c>
      <c r="CE186" s="229">
        <v>-1.8700000000000001E-2</v>
      </c>
      <c r="CF186" s="230">
        <v>214375</v>
      </c>
      <c r="CG186" s="230">
        <v>193550</v>
      </c>
      <c r="CH186" s="230">
        <v>20825</v>
      </c>
      <c r="CI186" s="229">
        <v>0.1076</v>
      </c>
      <c r="CJ186" s="230">
        <v>15925</v>
      </c>
      <c r="CK186" s="230">
        <v>9800</v>
      </c>
      <c r="CL186" s="230">
        <v>6125</v>
      </c>
      <c r="CM186" s="229">
        <v>0.625</v>
      </c>
      <c r="CN186" s="230">
        <v>4701550</v>
      </c>
      <c r="CO186" s="230">
        <v>4777500</v>
      </c>
      <c r="CP186" s="230">
        <v>-75950</v>
      </c>
      <c r="CQ186" s="229">
        <v>-1.5900000000000001E-2</v>
      </c>
      <c r="CR186" s="230">
        <v>2730525</v>
      </c>
      <c r="CS186" s="230">
        <v>2734200</v>
      </c>
      <c r="CT186" s="230">
        <v>-3675</v>
      </c>
      <c r="CU186" s="229">
        <v>-1.2999999999999999E-3</v>
      </c>
      <c r="CV186" s="230">
        <v>23244375</v>
      </c>
      <c r="CW186" s="230">
        <v>23593500</v>
      </c>
      <c r="CX186" s="230">
        <v>-349125</v>
      </c>
      <c r="CY186" s="229">
        <v>-1.4800000000000001E-2</v>
      </c>
      <c r="CZ186" s="228">
        <v>35.200000000000003</v>
      </c>
      <c r="DA186" s="228">
        <v>36.54</v>
      </c>
      <c r="DB186" s="228">
        <v>-1.34</v>
      </c>
      <c r="DC186" s="228">
        <v>-1.34</v>
      </c>
      <c r="DD186" s="228">
        <v>41.8</v>
      </c>
      <c r="DE186" s="228">
        <v>41.86</v>
      </c>
      <c r="DF186" s="228">
        <v>-6.6</v>
      </c>
      <c r="DG186" s="228">
        <v>-0.06</v>
      </c>
      <c r="DH186" s="228">
        <v>35.229999999999997</v>
      </c>
      <c r="DI186" s="228">
        <v>36.39</v>
      </c>
      <c r="DJ186" s="228">
        <v>-1.1599999999999999</v>
      </c>
      <c r="DK186" s="228">
        <v>-1.1599999999999999</v>
      </c>
      <c r="DL186" s="228">
        <v>35.119999999999997</v>
      </c>
      <c r="DM186" s="228">
        <v>36.840000000000003</v>
      </c>
      <c r="DN186" s="228">
        <v>-1.72</v>
      </c>
      <c r="DO186" s="228">
        <v>-1.72</v>
      </c>
      <c r="DP186" s="228">
        <v>0.57999999999999996</v>
      </c>
      <c r="DQ186" s="228">
        <v>0.56999999999999995</v>
      </c>
      <c r="DR186" s="228">
        <v>0.01</v>
      </c>
      <c r="DS186" s="229">
        <v>1.7500000000000002E-2</v>
      </c>
      <c r="DT186" s="228">
        <v>600</v>
      </c>
      <c r="DU186" s="228">
        <v>600</v>
      </c>
      <c r="DV186" s="228">
        <v>0.39</v>
      </c>
      <c r="DW186" s="228">
        <v>0.5</v>
      </c>
      <c r="DX186" s="228">
        <v>-0.11</v>
      </c>
      <c r="DY186" s="229">
        <v>-0.22</v>
      </c>
      <c r="DZ186" s="229">
        <v>1.46E-2</v>
      </c>
      <c r="EA186" s="230">
        <v>203350</v>
      </c>
      <c r="EB186" s="229">
        <v>3.2000000000000002E-3</v>
      </c>
      <c r="EC186" s="229">
        <v>1.46E-2</v>
      </c>
      <c r="ED186" s="228">
        <v>0.28000000000000003</v>
      </c>
      <c r="EE186" s="229">
        <v>5.0000000000000001E-4</v>
      </c>
      <c r="EF186" s="230">
        <v>1221347</v>
      </c>
      <c r="EG186" s="230">
        <v>2106616</v>
      </c>
      <c r="EH186" s="229">
        <v>-0.42020000000000002</v>
      </c>
      <c r="EI186" s="229">
        <v>0.48770000000000002</v>
      </c>
      <c r="EJ186" s="231">
        <v>29810.26</v>
      </c>
      <c r="EK186" s="231">
        <v>11009.26</v>
      </c>
      <c r="EL186" s="231">
        <v>13798.27</v>
      </c>
      <c r="EM186" s="231">
        <v>4305</v>
      </c>
      <c r="EN186" s="231">
        <v>54617.79</v>
      </c>
      <c r="EO186" s="231">
        <v>73109.34</v>
      </c>
      <c r="EP186" s="231">
        <v>-18491.55</v>
      </c>
      <c r="EQ186" s="229">
        <v>-0.25290000000000001</v>
      </c>
      <c r="ER186" s="231">
        <v>28676</v>
      </c>
      <c r="ES186" s="231">
        <v>15603</v>
      </c>
      <c r="ET186" s="231">
        <v>92737</v>
      </c>
      <c r="EU186" s="231">
        <v>61283708</v>
      </c>
      <c r="EV186" s="231">
        <v>137016</v>
      </c>
      <c r="EW186" s="231">
        <v>137742</v>
      </c>
      <c r="EX186" s="228">
        <v>-726</v>
      </c>
      <c r="EY186" s="229">
        <v>-5.3E-3</v>
      </c>
      <c r="EZ186" s="229">
        <v>0.37930000000000003</v>
      </c>
      <c r="FA186" s="227" t="s">
        <v>691</v>
      </c>
      <c r="FB186" s="161">
        <f t="shared" si="4"/>
        <v>0</v>
      </c>
    </row>
    <row r="187" spans="1:158" ht="17.25" thickBot="1" x14ac:dyDescent="0.3">
      <c r="A187" s="226">
        <v>46148</v>
      </c>
      <c r="B187" s="227" t="s">
        <v>197</v>
      </c>
      <c r="C187" s="227" t="s">
        <v>286</v>
      </c>
      <c r="D187" s="228">
        <v>200</v>
      </c>
      <c r="E187" s="231">
        <v>2735.6</v>
      </c>
      <c r="F187" s="231">
        <v>2542.5</v>
      </c>
      <c r="G187" s="228">
        <v>193.1</v>
      </c>
      <c r="H187" s="229">
        <v>7.5899999999999995E-2</v>
      </c>
      <c r="I187" s="231">
        <v>2719.6</v>
      </c>
      <c r="J187" s="231">
        <v>2522.8000000000002</v>
      </c>
      <c r="K187" s="228">
        <v>196.8</v>
      </c>
      <c r="L187" s="229">
        <v>7.8E-2</v>
      </c>
      <c r="M187" s="231">
        <v>2735.6</v>
      </c>
      <c r="N187" s="231">
        <v>2542.5</v>
      </c>
      <c r="O187" s="228">
        <v>193.1</v>
      </c>
      <c r="P187" s="229">
        <v>7.5899999999999995E-2</v>
      </c>
      <c r="Q187" s="231">
        <v>2750.6</v>
      </c>
      <c r="R187" s="231">
        <v>2556.8000000000002</v>
      </c>
      <c r="S187" s="228">
        <v>193.8</v>
      </c>
      <c r="T187" s="229">
        <v>7.5800000000000006E-2</v>
      </c>
      <c r="U187" s="231">
        <v>2765.7</v>
      </c>
      <c r="V187" s="231">
        <v>2574.5</v>
      </c>
      <c r="W187" s="228">
        <v>191.2</v>
      </c>
      <c r="X187" s="229">
        <v>7.4300000000000005E-2</v>
      </c>
      <c r="Y187" s="228">
        <v>16</v>
      </c>
      <c r="Z187" s="228">
        <v>19.7</v>
      </c>
      <c r="AA187" s="228">
        <v>-3.7</v>
      </c>
      <c r="AB187" s="229">
        <v>5.8999999999999999E-3</v>
      </c>
      <c r="AC187" s="228">
        <v>16</v>
      </c>
      <c r="AD187" s="228">
        <v>19.7</v>
      </c>
      <c r="AE187" s="228">
        <v>-3.7</v>
      </c>
      <c r="AF187" s="229">
        <v>5.8999999999999999E-3</v>
      </c>
      <c r="AG187" s="228">
        <v>31</v>
      </c>
      <c r="AH187" s="228">
        <v>34</v>
      </c>
      <c r="AI187" s="228">
        <v>-3</v>
      </c>
      <c r="AJ187" s="229">
        <v>1.14E-2</v>
      </c>
      <c r="AK187" s="228">
        <v>46.1</v>
      </c>
      <c r="AL187" s="228">
        <v>51.7</v>
      </c>
      <c r="AM187" s="228">
        <v>-5.6</v>
      </c>
      <c r="AN187" s="229">
        <v>1.7000000000000001E-2</v>
      </c>
      <c r="AO187" s="231">
        <v>2690.51</v>
      </c>
      <c r="AP187" s="231">
        <v>2703.03</v>
      </c>
      <c r="AQ187" s="228">
        <v>0</v>
      </c>
      <c r="AR187" s="230">
        <v>4809800</v>
      </c>
      <c r="AS187" s="230">
        <v>1268800</v>
      </c>
      <c r="AT187" s="230">
        <v>3541000</v>
      </c>
      <c r="AU187" s="229">
        <v>2.7907999999999999</v>
      </c>
      <c r="AV187" s="230">
        <v>4631800</v>
      </c>
      <c r="AW187" s="230">
        <v>1205200</v>
      </c>
      <c r="AX187" s="230">
        <v>3426600</v>
      </c>
      <c r="AY187" s="229">
        <v>2.8431999999999999</v>
      </c>
      <c r="AZ187" s="230">
        <v>148600</v>
      </c>
      <c r="BA187" s="230">
        <v>49800</v>
      </c>
      <c r="BB187" s="230">
        <v>98800</v>
      </c>
      <c r="BC187" s="229">
        <v>1.9839</v>
      </c>
      <c r="BD187" s="230">
        <v>29400</v>
      </c>
      <c r="BE187" s="230">
        <v>13800</v>
      </c>
      <c r="BF187" s="230">
        <v>15600</v>
      </c>
      <c r="BG187" s="229">
        <v>1.1304000000000001</v>
      </c>
      <c r="BH187" s="230">
        <v>26820400</v>
      </c>
      <c r="BI187" s="230">
        <v>2989400</v>
      </c>
      <c r="BJ187" s="230">
        <v>23831000</v>
      </c>
      <c r="BK187" s="229">
        <v>7.9718</v>
      </c>
      <c r="BL187" s="230">
        <v>11551800</v>
      </c>
      <c r="BM187" s="230">
        <v>1443800</v>
      </c>
      <c r="BN187" s="230">
        <v>10108000</v>
      </c>
      <c r="BO187" s="229">
        <v>7.0010000000000003</v>
      </c>
      <c r="BP187" s="230">
        <v>43182000</v>
      </c>
      <c r="BQ187" s="230">
        <v>5702000</v>
      </c>
      <c r="BR187" s="230">
        <v>37480000</v>
      </c>
      <c r="BS187" s="229">
        <v>6.5731000000000002</v>
      </c>
      <c r="BT187" s="230">
        <v>4405261</v>
      </c>
      <c r="BU187" s="230">
        <v>649122</v>
      </c>
      <c r="BV187" s="230">
        <v>3756139</v>
      </c>
      <c r="BW187" s="229">
        <v>5.7865000000000002</v>
      </c>
      <c r="BX187" s="230">
        <v>3813200</v>
      </c>
      <c r="BY187" s="230">
        <v>3791600</v>
      </c>
      <c r="BZ187" s="230">
        <v>21600</v>
      </c>
      <c r="CA187" s="229">
        <v>5.7000000000000002E-3</v>
      </c>
      <c r="CB187" s="230">
        <v>3739000</v>
      </c>
      <c r="CC187" s="230">
        <v>3727200</v>
      </c>
      <c r="CD187" s="230">
        <v>11800</v>
      </c>
      <c r="CE187" s="229">
        <v>3.2000000000000002E-3</v>
      </c>
      <c r="CF187" s="230">
        <v>67200</v>
      </c>
      <c r="CG187" s="230">
        <v>53400</v>
      </c>
      <c r="CH187" s="230">
        <v>13800</v>
      </c>
      <c r="CI187" s="229">
        <v>0.25840000000000002</v>
      </c>
      <c r="CJ187" s="230">
        <v>7000</v>
      </c>
      <c r="CK187" s="230">
        <v>11000</v>
      </c>
      <c r="CL187" s="230">
        <v>-4000</v>
      </c>
      <c r="CM187" s="229">
        <v>-0.36359999999999998</v>
      </c>
      <c r="CN187" s="230">
        <v>1921000</v>
      </c>
      <c r="CO187" s="230">
        <v>1457600</v>
      </c>
      <c r="CP187" s="230">
        <v>463400</v>
      </c>
      <c r="CQ187" s="229">
        <v>0.31790000000000002</v>
      </c>
      <c r="CR187" s="230">
        <v>1900200</v>
      </c>
      <c r="CS187" s="230">
        <v>1109400</v>
      </c>
      <c r="CT187" s="230">
        <v>790800</v>
      </c>
      <c r="CU187" s="229">
        <v>0.71279999999999999</v>
      </c>
      <c r="CV187" s="230">
        <v>7634400</v>
      </c>
      <c r="CW187" s="230">
        <v>6358600</v>
      </c>
      <c r="CX187" s="230">
        <v>1275800</v>
      </c>
      <c r="CY187" s="229">
        <v>0.2006</v>
      </c>
      <c r="CZ187" s="228">
        <v>30.46</v>
      </c>
      <c r="DA187" s="228">
        <v>37.659999999999997</v>
      </c>
      <c r="DB187" s="228">
        <v>-7.2</v>
      </c>
      <c r="DC187" s="228">
        <v>-7.2</v>
      </c>
      <c r="DD187" s="228">
        <v>37.31</v>
      </c>
      <c r="DE187" s="228">
        <v>35.99</v>
      </c>
      <c r="DF187" s="228">
        <v>-6.85</v>
      </c>
      <c r="DG187" s="228">
        <v>1.32</v>
      </c>
      <c r="DH187" s="228">
        <v>30.15</v>
      </c>
      <c r="DI187" s="228">
        <v>37.17</v>
      </c>
      <c r="DJ187" s="228">
        <v>-7.02</v>
      </c>
      <c r="DK187" s="228">
        <v>-7.02</v>
      </c>
      <c r="DL187" s="228">
        <v>31.19</v>
      </c>
      <c r="DM187" s="228">
        <v>38.68</v>
      </c>
      <c r="DN187" s="228">
        <v>-7.49</v>
      </c>
      <c r="DO187" s="228">
        <v>-7.49</v>
      </c>
      <c r="DP187" s="228">
        <v>0.99</v>
      </c>
      <c r="DQ187" s="228">
        <v>0.76</v>
      </c>
      <c r="DR187" s="228">
        <v>0.23</v>
      </c>
      <c r="DS187" s="229">
        <v>0.30259999999999998</v>
      </c>
      <c r="DT187" s="231">
        <v>2800</v>
      </c>
      <c r="DU187" s="231">
        <v>2500</v>
      </c>
      <c r="DV187" s="228">
        <v>0.43</v>
      </c>
      <c r="DW187" s="228">
        <v>0.48</v>
      </c>
      <c r="DX187" s="228">
        <v>-0.05</v>
      </c>
      <c r="DY187" s="229">
        <v>-0.1042</v>
      </c>
      <c r="DZ187" s="229">
        <v>1.95E-2</v>
      </c>
      <c r="EA187" s="230">
        <v>64400</v>
      </c>
      <c r="EB187" s="229">
        <v>5.4999999999999997E-3</v>
      </c>
      <c r="EC187" s="229">
        <v>1.95E-2</v>
      </c>
      <c r="ED187" s="228">
        <v>12.52</v>
      </c>
      <c r="EE187" s="229">
        <v>4.7000000000000002E-3</v>
      </c>
      <c r="EF187" s="230">
        <v>1253381</v>
      </c>
      <c r="EG187" s="230">
        <v>342963</v>
      </c>
      <c r="EH187" s="229">
        <v>2.6545999999999998</v>
      </c>
      <c r="EI187" s="229">
        <v>0.28449999999999998</v>
      </c>
      <c r="EJ187" s="231">
        <v>752683.06</v>
      </c>
      <c r="EK187" s="231">
        <v>306489.05</v>
      </c>
      <c r="EL187" s="231">
        <v>129426.31</v>
      </c>
      <c r="EM187" s="231">
        <v>3999</v>
      </c>
      <c r="EN187" s="231">
        <v>1188598.42</v>
      </c>
      <c r="EO187" s="231">
        <v>149289.68</v>
      </c>
      <c r="EP187" s="231">
        <v>1039308.74</v>
      </c>
      <c r="EQ187" s="229">
        <v>6.9617000000000004</v>
      </c>
      <c r="ER187" s="231">
        <v>52403</v>
      </c>
      <c r="ES187" s="231">
        <v>49424</v>
      </c>
      <c r="ET187" s="231">
        <v>104326</v>
      </c>
      <c r="EU187" s="231">
        <v>19721628</v>
      </c>
      <c r="EV187" s="231">
        <v>206153</v>
      </c>
      <c r="EW187" s="231">
        <v>162536</v>
      </c>
      <c r="EX187" s="231">
        <v>43617</v>
      </c>
      <c r="EY187" s="229">
        <v>0.26840000000000003</v>
      </c>
      <c r="EZ187" s="229">
        <v>0.3871</v>
      </c>
      <c r="FA187" s="227" t="s">
        <v>555</v>
      </c>
      <c r="FB187" s="161">
        <f t="shared" si="4"/>
        <v>0</v>
      </c>
    </row>
    <row r="188" spans="1:158" ht="17.25" thickBot="1" x14ac:dyDescent="0.3">
      <c r="A188" s="226">
        <v>46148</v>
      </c>
      <c r="B188" s="227" t="s">
        <v>170</v>
      </c>
      <c r="C188" s="227" t="s">
        <v>288</v>
      </c>
      <c r="D188" s="228">
        <v>350</v>
      </c>
      <c r="E188" s="231">
        <v>1857.5</v>
      </c>
      <c r="F188" s="231">
        <v>1825.4</v>
      </c>
      <c r="G188" s="228">
        <v>32.1</v>
      </c>
      <c r="H188" s="229">
        <v>1.7600000000000001E-2</v>
      </c>
      <c r="I188" s="231">
        <v>1850.2</v>
      </c>
      <c r="J188" s="231">
        <v>1820.8</v>
      </c>
      <c r="K188" s="228">
        <v>29.4</v>
      </c>
      <c r="L188" s="229">
        <v>1.61E-2</v>
      </c>
      <c r="M188" s="231">
        <v>1857.5</v>
      </c>
      <c r="N188" s="231">
        <v>1825.4</v>
      </c>
      <c r="O188" s="228">
        <v>32.1</v>
      </c>
      <c r="P188" s="229">
        <v>1.7600000000000001E-2</v>
      </c>
      <c r="Q188" s="231">
        <v>1870.2</v>
      </c>
      <c r="R188" s="231">
        <v>1837.9</v>
      </c>
      <c r="S188" s="228">
        <v>32.299999999999997</v>
      </c>
      <c r="T188" s="229">
        <v>1.7600000000000001E-2</v>
      </c>
      <c r="U188" s="231">
        <v>1876.5</v>
      </c>
      <c r="V188" s="231">
        <v>1840.4</v>
      </c>
      <c r="W188" s="228">
        <v>36.1</v>
      </c>
      <c r="X188" s="229">
        <v>1.9599999999999999E-2</v>
      </c>
      <c r="Y188" s="228">
        <v>7.3</v>
      </c>
      <c r="Z188" s="228">
        <v>4.5999999999999996</v>
      </c>
      <c r="AA188" s="228">
        <v>2.7</v>
      </c>
      <c r="AB188" s="229">
        <v>3.8999999999999998E-3</v>
      </c>
      <c r="AC188" s="228">
        <v>7.3</v>
      </c>
      <c r="AD188" s="228">
        <v>4.5999999999999996</v>
      </c>
      <c r="AE188" s="228">
        <v>2.7</v>
      </c>
      <c r="AF188" s="229">
        <v>3.8999999999999998E-3</v>
      </c>
      <c r="AG188" s="228">
        <v>20</v>
      </c>
      <c r="AH188" s="228">
        <v>17.100000000000001</v>
      </c>
      <c r="AI188" s="228">
        <v>2.9</v>
      </c>
      <c r="AJ188" s="229">
        <v>1.0800000000000001E-2</v>
      </c>
      <c r="AK188" s="228">
        <v>26.3</v>
      </c>
      <c r="AL188" s="228">
        <v>19.600000000000001</v>
      </c>
      <c r="AM188" s="228">
        <v>6.7</v>
      </c>
      <c r="AN188" s="229">
        <v>1.4200000000000001E-2</v>
      </c>
      <c r="AO188" s="231">
        <v>1851.29</v>
      </c>
      <c r="AP188" s="231">
        <v>1862.01</v>
      </c>
      <c r="AQ188" s="228">
        <v>0</v>
      </c>
      <c r="AR188" s="230">
        <v>2999500</v>
      </c>
      <c r="AS188" s="230">
        <v>2049600</v>
      </c>
      <c r="AT188" s="230">
        <v>949900</v>
      </c>
      <c r="AU188" s="229">
        <v>0.46350000000000002</v>
      </c>
      <c r="AV188" s="230">
        <v>2857050</v>
      </c>
      <c r="AW188" s="230">
        <v>1954750</v>
      </c>
      <c r="AX188" s="230">
        <v>902300</v>
      </c>
      <c r="AY188" s="229">
        <v>0.46160000000000001</v>
      </c>
      <c r="AZ188" s="230">
        <v>121450</v>
      </c>
      <c r="BA188" s="230">
        <v>89950</v>
      </c>
      <c r="BB188" s="230">
        <v>31500</v>
      </c>
      <c r="BC188" s="229">
        <v>0.35020000000000001</v>
      </c>
      <c r="BD188" s="230">
        <v>21000</v>
      </c>
      <c r="BE188" s="230">
        <v>4900</v>
      </c>
      <c r="BF188" s="230">
        <v>16100</v>
      </c>
      <c r="BG188" s="229">
        <v>3.2856999999999998</v>
      </c>
      <c r="BH188" s="230">
        <v>17238550</v>
      </c>
      <c r="BI188" s="230">
        <v>7737800</v>
      </c>
      <c r="BJ188" s="230">
        <v>9500750</v>
      </c>
      <c r="BK188" s="229">
        <v>1.2278</v>
      </c>
      <c r="BL188" s="230">
        <v>8716750</v>
      </c>
      <c r="BM188" s="230">
        <v>5244400</v>
      </c>
      <c r="BN188" s="230">
        <v>3472350</v>
      </c>
      <c r="BO188" s="229">
        <v>0.66210000000000002</v>
      </c>
      <c r="BP188" s="230">
        <v>28954800</v>
      </c>
      <c r="BQ188" s="230">
        <v>15031800</v>
      </c>
      <c r="BR188" s="230">
        <v>13923000</v>
      </c>
      <c r="BS188" s="229">
        <v>0.92620000000000002</v>
      </c>
      <c r="BT188" s="230">
        <v>3461306</v>
      </c>
      <c r="BU188" s="230">
        <v>3260724</v>
      </c>
      <c r="BV188" s="230">
        <v>200582</v>
      </c>
      <c r="BW188" s="229">
        <v>6.1499999999999999E-2</v>
      </c>
      <c r="BX188" s="230">
        <v>28101850</v>
      </c>
      <c r="BY188" s="230">
        <v>28029050</v>
      </c>
      <c r="BZ188" s="230">
        <v>72800</v>
      </c>
      <c r="CA188" s="229">
        <v>2.5999999999999999E-3</v>
      </c>
      <c r="CB188" s="230">
        <v>24359650</v>
      </c>
      <c r="CC188" s="230">
        <v>24351600</v>
      </c>
      <c r="CD188" s="230">
        <v>8050</v>
      </c>
      <c r="CE188" s="229">
        <v>2.9999999999999997E-4</v>
      </c>
      <c r="CF188" s="230">
        <v>3709650</v>
      </c>
      <c r="CG188" s="230">
        <v>3655750</v>
      </c>
      <c r="CH188" s="230">
        <v>53900</v>
      </c>
      <c r="CI188" s="229">
        <v>1.47E-2</v>
      </c>
      <c r="CJ188" s="230">
        <v>32550</v>
      </c>
      <c r="CK188" s="230">
        <v>21700</v>
      </c>
      <c r="CL188" s="230">
        <v>10850</v>
      </c>
      <c r="CM188" s="229">
        <v>0.5</v>
      </c>
      <c r="CN188" s="230">
        <v>9716000</v>
      </c>
      <c r="CO188" s="230">
        <v>9644600</v>
      </c>
      <c r="CP188" s="230">
        <v>71400</v>
      </c>
      <c r="CQ188" s="229">
        <v>7.4000000000000003E-3</v>
      </c>
      <c r="CR188" s="230">
        <v>7490350</v>
      </c>
      <c r="CS188" s="230">
        <v>6867350</v>
      </c>
      <c r="CT188" s="230">
        <v>623000</v>
      </c>
      <c r="CU188" s="229">
        <v>9.0700000000000003E-2</v>
      </c>
      <c r="CV188" s="230">
        <v>45308200</v>
      </c>
      <c r="CW188" s="230">
        <v>44541000</v>
      </c>
      <c r="CX188" s="230">
        <v>767200</v>
      </c>
      <c r="CY188" s="229">
        <v>1.72E-2</v>
      </c>
      <c r="CZ188" s="228">
        <v>22.68</v>
      </c>
      <c r="DA188" s="228">
        <v>23.35</v>
      </c>
      <c r="DB188" s="228">
        <v>-0.67</v>
      </c>
      <c r="DC188" s="228">
        <v>-0.67</v>
      </c>
      <c r="DD188" s="228">
        <v>25.56</v>
      </c>
      <c r="DE188" s="228">
        <v>25.53</v>
      </c>
      <c r="DF188" s="228">
        <v>-2.88</v>
      </c>
      <c r="DG188" s="228">
        <v>0.03</v>
      </c>
      <c r="DH188" s="228">
        <v>21.91</v>
      </c>
      <c r="DI188" s="228">
        <v>22.48</v>
      </c>
      <c r="DJ188" s="228">
        <v>-0.56999999999999995</v>
      </c>
      <c r="DK188" s="228">
        <v>-0.56999999999999995</v>
      </c>
      <c r="DL188" s="228">
        <v>24.19</v>
      </c>
      <c r="DM188" s="228">
        <v>24.65</v>
      </c>
      <c r="DN188" s="228">
        <v>-0.46</v>
      </c>
      <c r="DO188" s="228">
        <v>-0.46</v>
      </c>
      <c r="DP188" s="228">
        <v>0.77</v>
      </c>
      <c r="DQ188" s="228">
        <v>0.71</v>
      </c>
      <c r="DR188" s="228">
        <v>0.06</v>
      </c>
      <c r="DS188" s="229">
        <v>8.4500000000000006E-2</v>
      </c>
      <c r="DT188" s="231">
        <v>1860</v>
      </c>
      <c r="DU188" s="231">
        <v>1800</v>
      </c>
      <c r="DV188" s="228">
        <v>0.51</v>
      </c>
      <c r="DW188" s="228">
        <v>0.68</v>
      </c>
      <c r="DX188" s="228">
        <v>-0.17</v>
      </c>
      <c r="DY188" s="229">
        <v>-0.25</v>
      </c>
      <c r="DZ188" s="229">
        <v>0.13320000000000001</v>
      </c>
      <c r="EA188" s="230">
        <v>3677450</v>
      </c>
      <c r="EB188" s="229">
        <v>6.7999999999999996E-3</v>
      </c>
      <c r="EC188" s="229">
        <v>0.13320000000000001</v>
      </c>
      <c r="ED188" s="228">
        <v>10.72</v>
      </c>
      <c r="EE188" s="229">
        <v>5.7999999999999996E-3</v>
      </c>
      <c r="EF188" s="230">
        <v>2194827</v>
      </c>
      <c r="EG188" s="230">
        <v>1925820</v>
      </c>
      <c r="EH188" s="229">
        <v>0.13969999999999999</v>
      </c>
      <c r="EI188" s="229">
        <v>0.6341</v>
      </c>
      <c r="EJ188" s="231">
        <v>329816.65000000002</v>
      </c>
      <c r="EK188" s="231">
        <v>158104.1</v>
      </c>
      <c r="EL188" s="231">
        <v>55546.46</v>
      </c>
      <c r="EM188" s="231">
        <v>9117</v>
      </c>
      <c r="EN188" s="231">
        <v>543467.21</v>
      </c>
      <c r="EO188" s="231">
        <v>277808.53999999998</v>
      </c>
      <c r="EP188" s="231">
        <v>265658.67</v>
      </c>
      <c r="EQ188" s="229">
        <v>0.95630000000000004</v>
      </c>
      <c r="ER188" s="231">
        <v>177767</v>
      </c>
      <c r="ES188" s="231">
        <v>128333</v>
      </c>
      <c r="ET188" s="231">
        <v>522469</v>
      </c>
      <c r="EU188" s="231">
        <v>121755902</v>
      </c>
      <c r="EV188" s="231">
        <v>828569</v>
      </c>
      <c r="EW188" s="231">
        <v>804851</v>
      </c>
      <c r="EX188" s="231">
        <v>23718</v>
      </c>
      <c r="EY188" s="229">
        <v>2.9499999999999998E-2</v>
      </c>
      <c r="EZ188" s="229">
        <v>0.37209999999999999</v>
      </c>
      <c r="FA188" s="227" t="s">
        <v>555</v>
      </c>
      <c r="FB188" s="161">
        <f t="shared" si="4"/>
        <v>0</v>
      </c>
    </row>
    <row r="189" spans="1:158" ht="17.25" thickBot="1" x14ac:dyDescent="0.3">
      <c r="A189" s="226">
        <v>46148</v>
      </c>
      <c r="B189" s="227" t="s">
        <v>184</v>
      </c>
      <c r="C189" s="227" t="s">
        <v>573</v>
      </c>
      <c r="D189" s="228">
        <v>175</v>
      </c>
      <c r="E189" s="231">
        <v>3735.7</v>
      </c>
      <c r="F189" s="231">
        <v>3650.6</v>
      </c>
      <c r="G189" s="228">
        <v>85.1</v>
      </c>
      <c r="H189" s="229">
        <v>2.3300000000000001E-2</v>
      </c>
      <c r="I189" s="231">
        <v>3709.4</v>
      </c>
      <c r="J189" s="231">
        <v>3631</v>
      </c>
      <c r="K189" s="228">
        <v>78.400000000000006</v>
      </c>
      <c r="L189" s="229">
        <v>2.1600000000000001E-2</v>
      </c>
      <c r="M189" s="231">
        <v>3735.7</v>
      </c>
      <c r="N189" s="231">
        <v>3650.6</v>
      </c>
      <c r="O189" s="228">
        <v>85.1</v>
      </c>
      <c r="P189" s="229">
        <v>2.3300000000000001E-2</v>
      </c>
      <c r="Q189" s="231">
        <v>3733.3</v>
      </c>
      <c r="R189" s="231">
        <v>3643.9</v>
      </c>
      <c r="S189" s="228">
        <v>89.4</v>
      </c>
      <c r="T189" s="229">
        <v>2.4500000000000001E-2</v>
      </c>
      <c r="U189" s="231">
        <v>3719.4</v>
      </c>
      <c r="V189" s="231">
        <v>3610.4</v>
      </c>
      <c r="W189" s="228">
        <v>109</v>
      </c>
      <c r="X189" s="229">
        <v>3.0200000000000001E-2</v>
      </c>
      <c r="Y189" s="228">
        <v>26.3</v>
      </c>
      <c r="Z189" s="228">
        <v>19.600000000000001</v>
      </c>
      <c r="AA189" s="228">
        <v>6.7</v>
      </c>
      <c r="AB189" s="229">
        <v>7.1000000000000004E-3</v>
      </c>
      <c r="AC189" s="228">
        <v>26.3</v>
      </c>
      <c r="AD189" s="228">
        <v>19.600000000000001</v>
      </c>
      <c r="AE189" s="228">
        <v>6.7</v>
      </c>
      <c r="AF189" s="229">
        <v>7.1000000000000004E-3</v>
      </c>
      <c r="AG189" s="228">
        <v>23.9</v>
      </c>
      <c r="AH189" s="228">
        <v>12.9</v>
      </c>
      <c r="AI189" s="228">
        <v>11</v>
      </c>
      <c r="AJ189" s="229">
        <v>6.4000000000000003E-3</v>
      </c>
      <c r="AK189" s="228">
        <v>10</v>
      </c>
      <c r="AL189" s="228">
        <v>-20.6</v>
      </c>
      <c r="AM189" s="228">
        <v>30.6</v>
      </c>
      <c r="AN189" s="229">
        <v>2.7000000000000001E-3</v>
      </c>
      <c r="AO189" s="231">
        <v>3712.59</v>
      </c>
      <c r="AP189" s="231">
        <v>3710.29</v>
      </c>
      <c r="AQ189" s="228">
        <v>0</v>
      </c>
      <c r="AR189" s="230">
        <v>424725</v>
      </c>
      <c r="AS189" s="230">
        <v>216825</v>
      </c>
      <c r="AT189" s="230">
        <v>207900</v>
      </c>
      <c r="AU189" s="229">
        <v>0.95879999999999999</v>
      </c>
      <c r="AV189" s="230">
        <v>412125</v>
      </c>
      <c r="AW189" s="230">
        <v>213850</v>
      </c>
      <c r="AX189" s="230">
        <v>198275</v>
      </c>
      <c r="AY189" s="229">
        <v>0.92720000000000002</v>
      </c>
      <c r="AZ189" s="230">
        <v>12250</v>
      </c>
      <c r="BA189" s="230">
        <v>2975</v>
      </c>
      <c r="BB189" s="230">
        <v>9275</v>
      </c>
      <c r="BC189" s="229">
        <v>3.1175999999999999</v>
      </c>
      <c r="BD189" s="228">
        <v>350</v>
      </c>
      <c r="BE189" s="228">
        <v>0</v>
      </c>
      <c r="BF189" s="228">
        <v>350</v>
      </c>
      <c r="BG189" s="229">
        <v>0</v>
      </c>
      <c r="BH189" s="230">
        <v>1041075</v>
      </c>
      <c r="BI189" s="230">
        <v>640675</v>
      </c>
      <c r="BJ189" s="230">
        <v>400400</v>
      </c>
      <c r="BK189" s="229">
        <v>0.625</v>
      </c>
      <c r="BL189" s="230">
        <v>662025</v>
      </c>
      <c r="BM189" s="230">
        <v>178850</v>
      </c>
      <c r="BN189" s="230">
        <v>483175</v>
      </c>
      <c r="BO189" s="229">
        <v>2.7016</v>
      </c>
      <c r="BP189" s="230">
        <v>2127825</v>
      </c>
      <c r="BQ189" s="230">
        <v>1036350</v>
      </c>
      <c r="BR189" s="230">
        <v>1091475</v>
      </c>
      <c r="BS189" s="229">
        <v>1.0531999999999999</v>
      </c>
      <c r="BT189" s="230">
        <v>308292</v>
      </c>
      <c r="BU189" s="230">
        <v>135449</v>
      </c>
      <c r="BV189" s="230">
        <v>172843</v>
      </c>
      <c r="BW189" s="229">
        <v>1.2761</v>
      </c>
      <c r="BX189" s="230">
        <v>2218825</v>
      </c>
      <c r="BY189" s="230">
        <v>2225475</v>
      </c>
      <c r="BZ189" s="230">
        <v>-6650</v>
      </c>
      <c r="CA189" s="229">
        <v>-3.0000000000000001E-3</v>
      </c>
      <c r="CB189" s="230">
        <v>2182950</v>
      </c>
      <c r="CC189" s="230">
        <v>2192050</v>
      </c>
      <c r="CD189" s="230">
        <v>-9100</v>
      </c>
      <c r="CE189" s="229">
        <v>-4.1999999999999997E-3</v>
      </c>
      <c r="CF189" s="230">
        <v>35350</v>
      </c>
      <c r="CG189" s="230">
        <v>32725</v>
      </c>
      <c r="CH189" s="230">
        <v>2625</v>
      </c>
      <c r="CI189" s="229">
        <v>8.0199999999999994E-2</v>
      </c>
      <c r="CJ189" s="228">
        <v>525</v>
      </c>
      <c r="CK189" s="228">
        <v>700</v>
      </c>
      <c r="CL189" s="228">
        <v>-175</v>
      </c>
      <c r="CM189" s="229">
        <v>-0.25</v>
      </c>
      <c r="CN189" s="230">
        <v>906500</v>
      </c>
      <c r="CO189" s="230">
        <v>946400</v>
      </c>
      <c r="CP189" s="230">
        <v>-39900</v>
      </c>
      <c r="CQ189" s="229">
        <v>-4.2200000000000001E-2</v>
      </c>
      <c r="CR189" s="230">
        <v>385700</v>
      </c>
      <c r="CS189" s="230">
        <v>399525</v>
      </c>
      <c r="CT189" s="230">
        <v>-13825</v>
      </c>
      <c r="CU189" s="229">
        <v>-3.4599999999999999E-2</v>
      </c>
      <c r="CV189" s="230">
        <v>3511025</v>
      </c>
      <c r="CW189" s="230">
        <v>3571400</v>
      </c>
      <c r="CX189" s="230">
        <v>-60375</v>
      </c>
      <c r="CY189" s="229">
        <v>-1.6899999999999998E-2</v>
      </c>
      <c r="CZ189" s="228">
        <v>32.33</v>
      </c>
      <c r="DA189" s="228">
        <v>30.72</v>
      </c>
      <c r="DB189" s="228">
        <v>1.61</v>
      </c>
      <c r="DC189" s="228">
        <v>1.61</v>
      </c>
      <c r="DD189" s="228">
        <v>37.53</v>
      </c>
      <c r="DE189" s="228">
        <v>37.51</v>
      </c>
      <c r="DF189" s="228">
        <v>-5.2</v>
      </c>
      <c r="DG189" s="228">
        <v>0.02</v>
      </c>
      <c r="DH189" s="228">
        <v>30.33</v>
      </c>
      <c r="DI189" s="228">
        <v>30.89</v>
      </c>
      <c r="DJ189" s="228">
        <v>-0.56000000000000005</v>
      </c>
      <c r="DK189" s="228">
        <v>-0.56000000000000005</v>
      </c>
      <c r="DL189" s="228">
        <v>35.47</v>
      </c>
      <c r="DM189" s="228">
        <v>30.12</v>
      </c>
      <c r="DN189" s="228">
        <v>5.35</v>
      </c>
      <c r="DO189" s="228">
        <v>5.35</v>
      </c>
      <c r="DP189" s="228">
        <v>0.43</v>
      </c>
      <c r="DQ189" s="228">
        <v>0.42</v>
      </c>
      <c r="DR189" s="228">
        <v>0.01</v>
      </c>
      <c r="DS189" s="229">
        <v>2.3800000000000002E-2</v>
      </c>
      <c r="DT189" s="231">
        <v>4000</v>
      </c>
      <c r="DU189" s="231">
        <v>3700</v>
      </c>
      <c r="DV189" s="228">
        <v>0.64</v>
      </c>
      <c r="DW189" s="228">
        <v>0.28000000000000003</v>
      </c>
      <c r="DX189" s="228">
        <v>0.36</v>
      </c>
      <c r="DY189" s="229">
        <v>1.2857000000000001</v>
      </c>
      <c r="DZ189" s="229">
        <v>1.6199999999999999E-2</v>
      </c>
      <c r="EA189" s="230">
        <v>33425</v>
      </c>
      <c r="EB189" s="229">
        <v>-5.9999999999999995E-4</v>
      </c>
      <c r="EC189" s="229">
        <v>1.6199999999999999E-2</v>
      </c>
      <c r="ED189" s="228">
        <v>-2.2999999999999998</v>
      </c>
      <c r="EE189" s="229">
        <v>-5.9999999999999995E-4</v>
      </c>
      <c r="EF189" s="230">
        <v>169637</v>
      </c>
      <c r="EG189" s="230">
        <v>58987</v>
      </c>
      <c r="EH189" s="229">
        <v>1.8757999999999999</v>
      </c>
      <c r="EI189" s="229">
        <v>0.55020000000000002</v>
      </c>
      <c r="EJ189" s="231">
        <v>40671.89</v>
      </c>
      <c r="EK189" s="231">
        <v>21431.74</v>
      </c>
      <c r="EL189" s="231">
        <v>15768.06</v>
      </c>
      <c r="EM189" s="231">
        <v>1744</v>
      </c>
      <c r="EN189" s="231">
        <v>77871.69</v>
      </c>
      <c r="EO189" s="231">
        <v>39371.17</v>
      </c>
      <c r="EP189" s="231">
        <v>38500.519999999997</v>
      </c>
      <c r="EQ189" s="229">
        <v>0.97789999999999999</v>
      </c>
      <c r="ER189" s="231">
        <v>35587</v>
      </c>
      <c r="ES189" s="231">
        <v>13660</v>
      </c>
      <c r="ET189" s="231">
        <v>82888</v>
      </c>
      <c r="EU189" s="231">
        <v>9724371</v>
      </c>
      <c r="EV189" s="231">
        <v>132135</v>
      </c>
      <c r="EW189" s="231">
        <v>132404</v>
      </c>
      <c r="EX189" s="228">
        <v>-269</v>
      </c>
      <c r="EY189" s="229">
        <v>-2E-3</v>
      </c>
      <c r="EZ189" s="229">
        <v>0.36109999999999998</v>
      </c>
      <c r="FA189" s="227" t="s">
        <v>691</v>
      </c>
      <c r="FB189" s="161">
        <f t="shared" si="4"/>
        <v>0</v>
      </c>
    </row>
    <row r="190" spans="1:158" ht="17.25" thickBot="1" x14ac:dyDescent="0.3">
      <c r="A190" s="226">
        <v>46148</v>
      </c>
      <c r="B190" s="227" t="s">
        <v>161</v>
      </c>
      <c r="C190" s="227" t="s">
        <v>680</v>
      </c>
      <c r="D190" s="228">
        <v>9025</v>
      </c>
      <c r="E190" s="228">
        <v>54.62</v>
      </c>
      <c r="F190" s="228">
        <v>55.07</v>
      </c>
      <c r="G190" s="228">
        <v>-0.45</v>
      </c>
      <c r="H190" s="229">
        <v>-8.2000000000000007E-3</v>
      </c>
      <c r="I190" s="228">
        <v>54.32</v>
      </c>
      <c r="J190" s="228">
        <v>54.85</v>
      </c>
      <c r="K190" s="228">
        <v>-0.53</v>
      </c>
      <c r="L190" s="229">
        <v>-9.7000000000000003E-3</v>
      </c>
      <c r="M190" s="228">
        <v>54.62</v>
      </c>
      <c r="N190" s="228">
        <v>55.07</v>
      </c>
      <c r="O190" s="228">
        <v>-0.45</v>
      </c>
      <c r="P190" s="229">
        <v>-8.2000000000000007E-3</v>
      </c>
      <c r="Q190" s="228">
        <v>54.9</v>
      </c>
      <c r="R190" s="228">
        <v>55.36</v>
      </c>
      <c r="S190" s="228">
        <v>-0.46</v>
      </c>
      <c r="T190" s="229">
        <v>-8.3000000000000001E-3</v>
      </c>
      <c r="U190" s="228">
        <v>55.21</v>
      </c>
      <c r="V190" s="228">
        <v>55.69</v>
      </c>
      <c r="W190" s="228">
        <v>-0.48</v>
      </c>
      <c r="X190" s="229">
        <v>-8.6E-3</v>
      </c>
      <c r="Y190" s="228">
        <v>0.3</v>
      </c>
      <c r="Z190" s="228">
        <v>0.22</v>
      </c>
      <c r="AA190" s="228">
        <v>0.08</v>
      </c>
      <c r="AB190" s="229">
        <v>5.4999999999999997E-3</v>
      </c>
      <c r="AC190" s="228">
        <v>0.3</v>
      </c>
      <c r="AD190" s="228">
        <v>0.22</v>
      </c>
      <c r="AE190" s="228">
        <v>0.08</v>
      </c>
      <c r="AF190" s="229">
        <v>5.4999999999999997E-3</v>
      </c>
      <c r="AG190" s="228">
        <v>0.57999999999999996</v>
      </c>
      <c r="AH190" s="228">
        <v>0.51</v>
      </c>
      <c r="AI190" s="228">
        <v>7.0000000000000007E-2</v>
      </c>
      <c r="AJ190" s="229">
        <v>1.0699999999999999E-2</v>
      </c>
      <c r="AK190" s="228">
        <v>0.89</v>
      </c>
      <c r="AL190" s="228">
        <v>0.84</v>
      </c>
      <c r="AM190" s="228">
        <v>0.05</v>
      </c>
      <c r="AN190" s="229">
        <v>1.6400000000000001E-2</v>
      </c>
      <c r="AO190" s="228">
        <v>54.23</v>
      </c>
      <c r="AP190" s="228">
        <v>54.54</v>
      </c>
      <c r="AQ190" s="228">
        <v>0</v>
      </c>
      <c r="AR190" s="230">
        <v>45043775</v>
      </c>
      <c r="AS190" s="230">
        <v>36000725</v>
      </c>
      <c r="AT190" s="230">
        <v>9043050</v>
      </c>
      <c r="AU190" s="229">
        <v>0.25119999999999998</v>
      </c>
      <c r="AV190" s="230">
        <v>39276800</v>
      </c>
      <c r="AW190" s="230">
        <v>31894350</v>
      </c>
      <c r="AX190" s="230">
        <v>7382450</v>
      </c>
      <c r="AY190" s="229">
        <v>0.23150000000000001</v>
      </c>
      <c r="AZ190" s="230">
        <v>4638850</v>
      </c>
      <c r="BA190" s="230">
        <v>3312175</v>
      </c>
      <c r="BB190" s="230">
        <v>1326675</v>
      </c>
      <c r="BC190" s="229">
        <v>0.40050000000000002</v>
      </c>
      <c r="BD190" s="230">
        <v>1128125</v>
      </c>
      <c r="BE190" s="230">
        <v>794200</v>
      </c>
      <c r="BF190" s="230">
        <v>333925</v>
      </c>
      <c r="BG190" s="229">
        <v>0.42049999999999998</v>
      </c>
      <c r="BH190" s="230">
        <v>146268175</v>
      </c>
      <c r="BI190" s="230">
        <v>123705675</v>
      </c>
      <c r="BJ190" s="230">
        <v>22562500</v>
      </c>
      <c r="BK190" s="229">
        <v>0.18240000000000001</v>
      </c>
      <c r="BL190" s="230">
        <v>42309200</v>
      </c>
      <c r="BM190" s="230">
        <v>37986225</v>
      </c>
      <c r="BN190" s="230">
        <v>4322975</v>
      </c>
      <c r="BO190" s="229">
        <v>0.1138</v>
      </c>
      <c r="BP190" s="230">
        <v>233621150</v>
      </c>
      <c r="BQ190" s="230">
        <v>197692625</v>
      </c>
      <c r="BR190" s="230">
        <v>35928525</v>
      </c>
      <c r="BS190" s="229">
        <v>0.1817</v>
      </c>
      <c r="BT190" s="230">
        <v>99603719</v>
      </c>
      <c r="BU190" s="230">
        <v>79245912</v>
      </c>
      <c r="BV190" s="230">
        <v>20357807</v>
      </c>
      <c r="BW190" s="229">
        <v>0.25690000000000002</v>
      </c>
      <c r="BX190" s="230">
        <v>296336775</v>
      </c>
      <c r="BY190" s="230">
        <v>293046150</v>
      </c>
      <c r="BZ190" s="230">
        <v>3290625</v>
      </c>
      <c r="CA190" s="229">
        <v>1.12E-2</v>
      </c>
      <c r="CB190" s="230">
        <v>266255550</v>
      </c>
      <c r="CC190" s="230">
        <v>265154500</v>
      </c>
      <c r="CD190" s="230">
        <v>1101050</v>
      </c>
      <c r="CE190" s="229">
        <v>4.1999999999999997E-3</v>
      </c>
      <c r="CF190" s="230">
        <v>27084025</v>
      </c>
      <c r="CG190" s="230">
        <v>25973950</v>
      </c>
      <c r="CH190" s="230">
        <v>1110075</v>
      </c>
      <c r="CI190" s="229">
        <v>4.2700000000000002E-2</v>
      </c>
      <c r="CJ190" s="230">
        <v>2997200</v>
      </c>
      <c r="CK190" s="230">
        <v>1917700</v>
      </c>
      <c r="CL190" s="230">
        <v>1079500</v>
      </c>
      <c r="CM190" s="229">
        <v>0.56289999999999996</v>
      </c>
      <c r="CN190" s="230">
        <v>160202775</v>
      </c>
      <c r="CO190" s="230">
        <v>152919600</v>
      </c>
      <c r="CP190" s="230">
        <v>7283175</v>
      </c>
      <c r="CQ190" s="229">
        <v>4.7600000000000003E-2</v>
      </c>
      <c r="CR190" s="230">
        <v>61658800</v>
      </c>
      <c r="CS190" s="230">
        <v>60178700</v>
      </c>
      <c r="CT190" s="230">
        <v>1480100</v>
      </c>
      <c r="CU190" s="229">
        <v>2.46E-2</v>
      </c>
      <c r="CV190" s="230">
        <v>518198350</v>
      </c>
      <c r="CW190" s="230">
        <v>506144450</v>
      </c>
      <c r="CX190" s="230">
        <v>12053900</v>
      </c>
      <c r="CY190" s="229">
        <v>2.3800000000000002E-2</v>
      </c>
      <c r="CZ190" s="228">
        <v>47.72</v>
      </c>
      <c r="DA190" s="228">
        <v>47.13</v>
      </c>
      <c r="DB190" s="228">
        <v>0.59</v>
      </c>
      <c r="DC190" s="228">
        <v>0.59</v>
      </c>
      <c r="DD190" s="228">
        <v>47</v>
      </c>
      <c r="DE190" s="228">
        <v>47.11</v>
      </c>
      <c r="DF190" s="228">
        <v>0.72</v>
      </c>
      <c r="DG190" s="228">
        <v>-0.11</v>
      </c>
      <c r="DH190" s="228">
        <v>47.9</v>
      </c>
      <c r="DI190" s="228">
        <v>46.96</v>
      </c>
      <c r="DJ190" s="228">
        <v>0.94</v>
      </c>
      <c r="DK190" s="228">
        <v>0.94</v>
      </c>
      <c r="DL190" s="228">
        <v>47.09</v>
      </c>
      <c r="DM190" s="228">
        <v>47.68</v>
      </c>
      <c r="DN190" s="228">
        <v>-0.59</v>
      </c>
      <c r="DO190" s="228">
        <v>-0.59</v>
      </c>
      <c r="DP190" s="228">
        <v>0.38</v>
      </c>
      <c r="DQ190" s="228">
        <v>0.39</v>
      </c>
      <c r="DR190" s="228">
        <v>-0.01</v>
      </c>
      <c r="DS190" s="229">
        <v>-2.5600000000000001E-2</v>
      </c>
      <c r="DT190" s="228">
        <v>60</v>
      </c>
      <c r="DU190" s="228">
        <v>50</v>
      </c>
      <c r="DV190" s="228">
        <v>0.28999999999999998</v>
      </c>
      <c r="DW190" s="228">
        <v>0.31</v>
      </c>
      <c r="DX190" s="228">
        <v>-0.02</v>
      </c>
      <c r="DY190" s="229">
        <v>-6.4500000000000002E-2</v>
      </c>
      <c r="DZ190" s="229">
        <v>0.10150000000000001</v>
      </c>
      <c r="EA190" s="230">
        <v>27891650</v>
      </c>
      <c r="EB190" s="229">
        <v>5.1000000000000004E-3</v>
      </c>
      <c r="EC190" s="229">
        <v>0.10150000000000001</v>
      </c>
      <c r="ED190" s="228">
        <v>0.31</v>
      </c>
      <c r="EE190" s="229">
        <v>5.7000000000000002E-3</v>
      </c>
      <c r="EF190" s="230">
        <v>32045983</v>
      </c>
      <c r="EG190" s="230">
        <v>20587551</v>
      </c>
      <c r="EH190" s="229">
        <v>0.55659999999999998</v>
      </c>
      <c r="EI190" s="229">
        <v>0.32169999999999999</v>
      </c>
      <c r="EJ190" s="231">
        <v>87177.75</v>
      </c>
      <c r="EK190" s="231">
        <v>22464.79</v>
      </c>
      <c r="EL190" s="231">
        <v>24702.94</v>
      </c>
      <c r="EM190" s="231">
        <v>6202</v>
      </c>
      <c r="EN190" s="231">
        <v>134345.48000000001</v>
      </c>
      <c r="EO190" s="231">
        <v>115593.64</v>
      </c>
      <c r="EP190" s="231">
        <v>18751.84</v>
      </c>
      <c r="EQ190" s="229">
        <v>0.16220000000000001</v>
      </c>
      <c r="ER190" s="231">
        <v>93575</v>
      </c>
      <c r="ES190" s="231">
        <v>32047</v>
      </c>
      <c r="ET190" s="231">
        <v>161953</v>
      </c>
      <c r="EU190" s="231">
        <v>1815546735</v>
      </c>
      <c r="EV190" s="231">
        <v>287574</v>
      </c>
      <c r="EW190" s="231">
        <v>282330</v>
      </c>
      <c r="EX190" s="231">
        <v>5244</v>
      </c>
      <c r="EY190" s="229">
        <v>1.8599999999999998E-2</v>
      </c>
      <c r="EZ190" s="229">
        <v>0.28539999999999999</v>
      </c>
      <c r="FA190" s="227" t="s">
        <v>566</v>
      </c>
      <c r="FB190" s="161">
        <f t="shared" si="4"/>
        <v>0</v>
      </c>
    </row>
    <row r="191" spans="1:158" ht="17.25" thickBot="1" x14ac:dyDescent="0.3">
      <c r="A191" s="226">
        <v>46148</v>
      </c>
      <c r="B191" s="227" t="s">
        <v>614</v>
      </c>
      <c r="C191" s="227" t="s">
        <v>689</v>
      </c>
      <c r="D191" s="228">
        <v>1300</v>
      </c>
      <c r="E191" s="228">
        <v>281.60000000000002</v>
      </c>
      <c r="F191" s="228">
        <v>274.8</v>
      </c>
      <c r="G191" s="228">
        <v>6.8</v>
      </c>
      <c r="H191" s="229">
        <v>2.47E-2</v>
      </c>
      <c r="I191" s="228">
        <v>279.85000000000002</v>
      </c>
      <c r="J191" s="228">
        <v>273.7</v>
      </c>
      <c r="K191" s="228">
        <v>6.15</v>
      </c>
      <c r="L191" s="229">
        <v>2.2499999999999999E-2</v>
      </c>
      <c r="M191" s="228">
        <v>281.60000000000002</v>
      </c>
      <c r="N191" s="228">
        <v>274.8</v>
      </c>
      <c r="O191" s="228">
        <v>6.8</v>
      </c>
      <c r="P191" s="229">
        <v>2.47E-2</v>
      </c>
      <c r="Q191" s="228">
        <v>280.64999999999998</v>
      </c>
      <c r="R191" s="228">
        <v>273.45</v>
      </c>
      <c r="S191" s="228">
        <v>7.2</v>
      </c>
      <c r="T191" s="229">
        <v>2.63E-2</v>
      </c>
      <c r="U191" s="228">
        <v>280.14999999999998</v>
      </c>
      <c r="V191" s="228">
        <v>273.45</v>
      </c>
      <c r="W191" s="228">
        <v>6.7</v>
      </c>
      <c r="X191" s="229">
        <v>2.4500000000000001E-2</v>
      </c>
      <c r="Y191" s="228">
        <v>1.75</v>
      </c>
      <c r="Z191" s="228">
        <v>1.1000000000000001</v>
      </c>
      <c r="AA191" s="228">
        <v>0.65</v>
      </c>
      <c r="AB191" s="229">
        <v>6.3E-3</v>
      </c>
      <c r="AC191" s="228">
        <v>1.75</v>
      </c>
      <c r="AD191" s="228">
        <v>1.1000000000000001</v>
      </c>
      <c r="AE191" s="228">
        <v>0.65</v>
      </c>
      <c r="AF191" s="229">
        <v>6.3E-3</v>
      </c>
      <c r="AG191" s="228">
        <v>0.8</v>
      </c>
      <c r="AH191" s="228">
        <v>-0.25</v>
      </c>
      <c r="AI191" s="228">
        <v>1.05</v>
      </c>
      <c r="AJ191" s="229">
        <v>2.8999999999999998E-3</v>
      </c>
      <c r="AK191" s="228">
        <v>0.3</v>
      </c>
      <c r="AL191" s="228">
        <v>-0.25</v>
      </c>
      <c r="AM191" s="228">
        <v>0.55000000000000004</v>
      </c>
      <c r="AN191" s="229">
        <v>1.1000000000000001E-3</v>
      </c>
      <c r="AO191" s="228">
        <v>279.01</v>
      </c>
      <c r="AP191" s="228">
        <v>277.45</v>
      </c>
      <c r="AQ191" s="228">
        <v>0</v>
      </c>
      <c r="AR191" s="230">
        <v>4698200</v>
      </c>
      <c r="AS191" s="230">
        <v>5363800</v>
      </c>
      <c r="AT191" s="230">
        <v>-665600</v>
      </c>
      <c r="AU191" s="229">
        <v>-0.1241</v>
      </c>
      <c r="AV191" s="230">
        <v>4332900</v>
      </c>
      <c r="AW191" s="230">
        <v>4963400</v>
      </c>
      <c r="AX191" s="230">
        <v>-630500</v>
      </c>
      <c r="AY191" s="229">
        <v>-0.127</v>
      </c>
      <c r="AZ191" s="230">
        <v>310700</v>
      </c>
      <c r="BA191" s="230">
        <v>386100</v>
      </c>
      <c r="BB191" s="230">
        <v>-75400</v>
      </c>
      <c r="BC191" s="229">
        <v>-0.1953</v>
      </c>
      <c r="BD191" s="230">
        <v>54600</v>
      </c>
      <c r="BE191" s="230">
        <v>14300</v>
      </c>
      <c r="BF191" s="230">
        <v>40300</v>
      </c>
      <c r="BG191" s="229">
        <v>2.8182</v>
      </c>
      <c r="BH191" s="230">
        <v>7667400</v>
      </c>
      <c r="BI191" s="230">
        <v>7304700</v>
      </c>
      <c r="BJ191" s="230">
        <v>362700</v>
      </c>
      <c r="BK191" s="229">
        <v>4.9700000000000001E-2</v>
      </c>
      <c r="BL191" s="230">
        <v>3242200</v>
      </c>
      <c r="BM191" s="230">
        <v>2460900</v>
      </c>
      <c r="BN191" s="230">
        <v>781300</v>
      </c>
      <c r="BO191" s="229">
        <v>0.3175</v>
      </c>
      <c r="BP191" s="230">
        <v>15607800</v>
      </c>
      <c r="BQ191" s="230">
        <v>15129400</v>
      </c>
      <c r="BR191" s="230">
        <v>478400</v>
      </c>
      <c r="BS191" s="229">
        <v>3.1600000000000003E-2</v>
      </c>
      <c r="BT191" s="230">
        <v>4945649</v>
      </c>
      <c r="BU191" s="230">
        <v>8389362</v>
      </c>
      <c r="BV191" s="230">
        <v>-3443713</v>
      </c>
      <c r="BW191" s="229">
        <v>-0.41049999999999998</v>
      </c>
      <c r="BX191" s="230">
        <v>42879000</v>
      </c>
      <c r="BY191" s="230">
        <v>42843550</v>
      </c>
      <c r="BZ191" s="230">
        <v>35450</v>
      </c>
      <c r="CA191" s="229">
        <v>8.0000000000000004E-4</v>
      </c>
      <c r="CB191" s="230">
        <v>41561000</v>
      </c>
      <c r="CC191" s="230">
        <v>41544100</v>
      </c>
      <c r="CD191" s="230">
        <v>16900</v>
      </c>
      <c r="CE191" s="229">
        <v>4.0000000000000002E-4</v>
      </c>
      <c r="CF191" s="230">
        <v>1201200</v>
      </c>
      <c r="CG191" s="230">
        <v>1215500</v>
      </c>
      <c r="CH191" s="230">
        <v>-14300</v>
      </c>
      <c r="CI191" s="229">
        <v>-1.18E-2</v>
      </c>
      <c r="CJ191" s="230">
        <v>116800</v>
      </c>
      <c r="CK191" s="230">
        <v>83950</v>
      </c>
      <c r="CL191" s="230">
        <v>32850</v>
      </c>
      <c r="CM191" s="229">
        <v>0.39129999999999998</v>
      </c>
      <c r="CN191" s="230">
        <v>10360225</v>
      </c>
      <c r="CO191" s="230">
        <v>10238800</v>
      </c>
      <c r="CP191" s="230">
        <v>121425</v>
      </c>
      <c r="CQ191" s="229">
        <v>1.1900000000000001E-2</v>
      </c>
      <c r="CR191" s="230">
        <v>6158625</v>
      </c>
      <c r="CS191" s="230">
        <v>5997425</v>
      </c>
      <c r="CT191" s="230">
        <v>161200</v>
      </c>
      <c r="CU191" s="229">
        <v>2.69E-2</v>
      </c>
      <c r="CV191" s="230">
        <v>59397850</v>
      </c>
      <c r="CW191" s="230">
        <v>59079775</v>
      </c>
      <c r="CX191" s="230">
        <v>318075</v>
      </c>
      <c r="CY191" s="229">
        <v>5.4000000000000003E-3</v>
      </c>
      <c r="CZ191" s="228">
        <v>44.95</v>
      </c>
      <c r="DA191" s="228">
        <v>48.62</v>
      </c>
      <c r="DB191" s="228">
        <v>-3.67</v>
      </c>
      <c r="DC191" s="228">
        <v>-3.67</v>
      </c>
      <c r="DD191" s="228">
        <v>45.17</v>
      </c>
      <c r="DE191" s="228">
        <v>45.18</v>
      </c>
      <c r="DF191" s="228">
        <v>-0.22</v>
      </c>
      <c r="DG191" s="228">
        <v>-0.01</v>
      </c>
      <c r="DH191" s="228">
        <v>44.49</v>
      </c>
      <c r="DI191" s="228">
        <v>48.81</v>
      </c>
      <c r="DJ191" s="228">
        <v>-4.32</v>
      </c>
      <c r="DK191" s="228">
        <v>-4.32</v>
      </c>
      <c r="DL191" s="228">
        <v>46.03</v>
      </c>
      <c r="DM191" s="228">
        <v>48.07</v>
      </c>
      <c r="DN191" s="228">
        <v>-2.04</v>
      </c>
      <c r="DO191" s="228">
        <v>-2.04</v>
      </c>
      <c r="DP191" s="228">
        <v>0.59</v>
      </c>
      <c r="DQ191" s="228">
        <v>0.59</v>
      </c>
      <c r="DR191" s="228">
        <v>0</v>
      </c>
      <c r="DS191" s="229">
        <v>0</v>
      </c>
      <c r="DT191" s="228">
        <v>300</v>
      </c>
      <c r="DU191" s="228">
        <v>260</v>
      </c>
      <c r="DV191" s="228">
        <v>0.42</v>
      </c>
      <c r="DW191" s="228">
        <v>0.34</v>
      </c>
      <c r="DX191" s="228">
        <v>0.08</v>
      </c>
      <c r="DY191" s="229">
        <v>0.23530000000000001</v>
      </c>
      <c r="DZ191" s="229">
        <v>3.0700000000000002E-2</v>
      </c>
      <c r="EA191" s="230">
        <v>1299450</v>
      </c>
      <c r="EB191" s="229">
        <v>-3.3999999999999998E-3</v>
      </c>
      <c r="EC191" s="229">
        <v>3.0700000000000002E-2</v>
      </c>
      <c r="ED191" s="228">
        <v>-1.56</v>
      </c>
      <c r="EE191" s="229">
        <v>-5.5999999999999999E-3</v>
      </c>
      <c r="EF191" s="230">
        <v>2050961</v>
      </c>
      <c r="EG191" s="230">
        <v>3939297</v>
      </c>
      <c r="EH191" s="229">
        <v>-0.47939999999999999</v>
      </c>
      <c r="EI191" s="229">
        <v>0.41470000000000001</v>
      </c>
      <c r="EJ191" s="231">
        <v>23037.39</v>
      </c>
      <c r="EK191" s="231">
        <v>8867.6200000000008</v>
      </c>
      <c r="EL191" s="231">
        <v>13164.31</v>
      </c>
      <c r="EM191" s="231">
        <v>5660</v>
      </c>
      <c r="EN191" s="231">
        <v>45069.32</v>
      </c>
      <c r="EO191" s="231">
        <v>43498.04</v>
      </c>
      <c r="EP191" s="231">
        <v>1571.28</v>
      </c>
      <c r="EQ191" s="229">
        <v>3.61E-2</v>
      </c>
      <c r="ER191" s="231">
        <v>30667</v>
      </c>
      <c r="ES191" s="231">
        <v>16565</v>
      </c>
      <c r="ET191" s="231">
        <v>120734</v>
      </c>
      <c r="EU191" s="231">
        <v>389472858</v>
      </c>
      <c r="EV191" s="231">
        <v>167966</v>
      </c>
      <c r="EW191" s="231">
        <v>164084</v>
      </c>
      <c r="EX191" s="231">
        <v>3882</v>
      </c>
      <c r="EY191" s="229">
        <v>2.3699999999999999E-2</v>
      </c>
      <c r="EZ191" s="229">
        <v>0.1525</v>
      </c>
      <c r="FA191" s="227" t="s">
        <v>555</v>
      </c>
      <c r="FB191" s="161">
        <f t="shared" si="4"/>
        <v>0</v>
      </c>
    </row>
    <row r="192" spans="1:158" ht="17.25" thickBot="1" x14ac:dyDescent="0.3">
      <c r="A192" s="226">
        <v>46148</v>
      </c>
      <c r="B192" s="227" t="s">
        <v>168</v>
      </c>
      <c r="C192" s="227" t="s">
        <v>291</v>
      </c>
      <c r="D192" s="228">
        <v>550</v>
      </c>
      <c r="E192" s="231">
        <v>1158.5</v>
      </c>
      <c r="F192" s="231">
        <v>1158.9000000000001</v>
      </c>
      <c r="G192" s="228">
        <v>-0.4</v>
      </c>
      <c r="H192" s="229">
        <v>-2.9999999999999997E-4</v>
      </c>
      <c r="I192" s="231">
        <v>1152.2</v>
      </c>
      <c r="J192" s="231">
        <v>1153.5</v>
      </c>
      <c r="K192" s="228">
        <v>-1.3</v>
      </c>
      <c r="L192" s="229">
        <v>-1.1000000000000001E-3</v>
      </c>
      <c r="M192" s="231">
        <v>1158.5</v>
      </c>
      <c r="N192" s="231">
        <v>1158.9000000000001</v>
      </c>
      <c r="O192" s="228">
        <v>-0.4</v>
      </c>
      <c r="P192" s="229">
        <v>-2.9999999999999997E-4</v>
      </c>
      <c r="Q192" s="231">
        <v>1160.7</v>
      </c>
      <c r="R192" s="231">
        <v>1158.0999999999999</v>
      </c>
      <c r="S192" s="228">
        <v>2.6</v>
      </c>
      <c r="T192" s="229">
        <v>2.2000000000000001E-3</v>
      </c>
      <c r="U192" s="231">
        <v>1165.5</v>
      </c>
      <c r="V192" s="231">
        <v>1157.5</v>
      </c>
      <c r="W192" s="228">
        <v>8</v>
      </c>
      <c r="X192" s="229">
        <v>6.8999999999999999E-3</v>
      </c>
      <c r="Y192" s="228">
        <v>6.3</v>
      </c>
      <c r="Z192" s="228">
        <v>5.4</v>
      </c>
      <c r="AA192" s="228">
        <v>0.9</v>
      </c>
      <c r="AB192" s="229">
        <v>5.4999999999999997E-3</v>
      </c>
      <c r="AC192" s="228">
        <v>6.3</v>
      </c>
      <c r="AD192" s="228">
        <v>5.4</v>
      </c>
      <c r="AE192" s="228">
        <v>0.9</v>
      </c>
      <c r="AF192" s="229">
        <v>5.4999999999999997E-3</v>
      </c>
      <c r="AG192" s="228">
        <v>8.5</v>
      </c>
      <c r="AH192" s="228">
        <v>4.5999999999999996</v>
      </c>
      <c r="AI192" s="228">
        <v>3.9</v>
      </c>
      <c r="AJ192" s="229">
        <v>7.4000000000000003E-3</v>
      </c>
      <c r="AK192" s="228">
        <v>13.3</v>
      </c>
      <c r="AL192" s="228">
        <v>4</v>
      </c>
      <c r="AM192" s="228">
        <v>9.3000000000000007</v>
      </c>
      <c r="AN192" s="229">
        <v>1.15E-2</v>
      </c>
      <c r="AO192" s="231">
        <v>1155.6099999999999</v>
      </c>
      <c r="AP192" s="231">
        <v>1156.02</v>
      </c>
      <c r="AQ192" s="228">
        <v>0</v>
      </c>
      <c r="AR192" s="230">
        <v>1808950</v>
      </c>
      <c r="AS192" s="230">
        <v>1074700</v>
      </c>
      <c r="AT192" s="230">
        <v>734250</v>
      </c>
      <c r="AU192" s="229">
        <v>0.68320000000000003</v>
      </c>
      <c r="AV192" s="230">
        <v>1684100</v>
      </c>
      <c r="AW192" s="230">
        <v>986150</v>
      </c>
      <c r="AX192" s="230">
        <v>697950</v>
      </c>
      <c r="AY192" s="229">
        <v>0.70779999999999998</v>
      </c>
      <c r="AZ192" s="230">
        <v>122100</v>
      </c>
      <c r="BA192" s="230">
        <v>88550</v>
      </c>
      <c r="BB192" s="230">
        <v>33550</v>
      </c>
      <c r="BC192" s="229">
        <v>0.37890000000000001</v>
      </c>
      <c r="BD192" s="230">
        <v>2750</v>
      </c>
      <c r="BE192" s="228">
        <v>0</v>
      </c>
      <c r="BF192" s="230">
        <v>2750</v>
      </c>
      <c r="BG192" s="229">
        <v>0</v>
      </c>
      <c r="BH192" s="230">
        <v>3830200</v>
      </c>
      <c r="BI192" s="230">
        <v>1549350</v>
      </c>
      <c r="BJ192" s="230">
        <v>2280850</v>
      </c>
      <c r="BK192" s="229">
        <v>1.4721</v>
      </c>
      <c r="BL192" s="230">
        <v>991100</v>
      </c>
      <c r="BM192" s="230">
        <v>465300</v>
      </c>
      <c r="BN192" s="230">
        <v>525800</v>
      </c>
      <c r="BO192" s="229">
        <v>1.1299999999999999</v>
      </c>
      <c r="BP192" s="230">
        <v>6630250</v>
      </c>
      <c r="BQ192" s="230">
        <v>3089350</v>
      </c>
      <c r="BR192" s="230">
        <v>3540900</v>
      </c>
      <c r="BS192" s="229">
        <v>1.1462000000000001</v>
      </c>
      <c r="BT192" s="230">
        <v>1584633</v>
      </c>
      <c r="BU192" s="230">
        <v>1147765</v>
      </c>
      <c r="BV192" s="230">
        <v>436868</v>
      </c>
      <c r="BW192" s="229">
        <v>0.38059999999999999</v>
      </c>
      <c r="BX192" s="230">
        <v>9525450</v>
      </c>
      <c r="BY192" s="230">
        <v>9487500</v>
      </c>
      <c r="BZ192" s="230">
        <v>37950</v>
      </c>
      <c r="CA192" s="229">
        <v>4.0000000000000001E-3</v>
      </c>
      <c r="CB192" s="230">
        <v>8542050</v>
      </c>
      <c r="CC192" s="230">
        <v>8517850</v>
      </c>
      <c r="CD192" s="230">
        <v>24200</v>
      </c>
      <c r="CE192" s="229">
        <v>2.8E-3</v>
      </c>
      <c r="CF192" s="230">
        <v>975150</v>
      </c>
      <c r="CG192" s="230">
        <v>964150</v>
      </c>
      <c r="CH192" s="230">
        <v>11000</v>
      </c>
      <c r="CI192" s="229">
        <v>1.14E-2</v>
      </c>
      <c r="CJ192" s="230">
        <v>8250</v>
      </c>
      <c r="CK192" s="230">
        <v>5500</v>
      </c>
      <c r="CL192" s="230">
        <v>2750</v>
      </c>
      <c r="CM192" s="229">
        <v>0.5</v>
      </c>
      <c r="CN192" s="230">
        <v>3045350</v>
      </c>
      <c r="CO192" s="230">
        <v>2569050</v>
      </c>
      <c r="CP192" s="230">
        <v>476300</v>
      </c>
      <c r="CQ192" s="229">
        <v>0.18540000000000001</v>
      </c>
      <c r="CR192" s="230">
        <v>1425600</v>
      </c>
      <c r="CS192" s="230">
        <v>1371700</v>
      </c>
      <c r="CT192" s="230">
        <v>53900</v>
      </c>
      <c r="CU192" s="229">
        <v>3.9300000000000002E-2</v>
      </c>
      <c r="CV192" s="230">
        <v>13996400</v>
      </c>
      <c r="CW192" s="230">
        <v>13428250</v>
      </c>
      <c r="CX192" s="230">
        <v>568150</v>
      </c>
      <c r="CY192" s="229">
        <v>4.2299999999999997E-2</v>
      </c>
      <c r="CZ192" s="228">
        <v>27.9</v>
      </c>
      <c r="DA192" s="228">
        <v>28.14</v>
      </c>
      <c r="DB192" s="228">
        <v>-0.24</v>
      </c>
      <c r="DC192" s="228">
        <v>-0.24</v>
      </c>
      <c r="DD192" s="228">
        <v>27.43</v>
      </c>
      <c r="DE192" s="228">
        <v>27.5</v>
      </c>
      <c r="DF192" s="228">
        <v>0.47</v>
      </c>
      <c r="DG192" s="228">
        <v>-7.0000000000000007E-2</v>
      </c>
      <c r="DH192" s="228">
        <v>27.84</v>
      </c>
      <c r="DI192" s="228">
        <v>28</v>
      </c>
      <c r="DJ192" s="228">
        <v>-0.16</v>
      </c>
      <c r="DK192" s="228">
        <v>-0.16</v>
      </c>
      <c r="DL192" s="228">
        <v>28.13</v>
      </c>
      <c r="DM192" s="228">
        <v>28.62</v>
      </c>
      <c r="DN192" s="228">
        <v>-0.49</v>
      </c>
      <c r="DO192" s="228">
        <v>-0.49</v>
      </c>
      <c r="DP192" s="228">
        <v>0.47</v>
      </c>
      <c r="DQ192" s="228">
        <v>0.53</v>
      </c>
      <c r="DR192" s="228">
        <v>-0.06</v>
      </c>
      <c r="DS192" s="229">
        <v>-0.1132</v>
      </c>
      <c r="DT192" s="231">
        <v>1200</v>
      </c>
      <c r="DU192" s="231">
        <v>1100</v>
      </c>
      <c r="DV192" s="228">
        <v>0.26</v>
      </c>
      <c r="DW192" s="228">
        <v>0.3</v>
      </c>
      <c r="DX192" s="228">
        <v>-0.04</v>
      </c>
      <c r="DY192" s="229">
        <v>-0.1333</v>
      </c>
      <c r="DZ192" s="229">
        <v>0.1032</v>
      </c>
      <c r="EA192" s="230">
        <v>969650</v>
      </c>
      <c r="EB192" s="229">
        <v>1.9E-3</v>
      </c>
      <c r="EC192" s="229">
        <v>0.1032</v>
      </c>
      <c r="ED192" s="228">
        <v>0.41</v>
      </c>
      <c r="EE192" s="229">
        <v>4.0000000000000002E-4</v>
      </c>
      <c r="EF192" s="230">
        <v>1003696</v>
      </c>
      <c r="EG192" s="230">
        <v>674581</v>
      </c>
      <c r="EH192" s="229">
        <v>0.4879</v>
      </c>
      <c r="EI192" s="229">
        <v>0.63339999999999996</v>
      </c>
      <c r="EJ192" s="231">
        <v>46537.3</v>
      </c>
      <c r="EK192" s="231">
        <v>11426.4</v>
      </c>
      <c r="EL192" s="231">
        <v>20905.18</v>
      </c>
      <c r="EM192" s="231">
        <v>2372</v>
      </c>
      <c r="EN192" s="231">
        <v>78868.88</v>
      </c>
      <c r="EO192" s="231">
        <v>36709.93</v>
      </c>
      <c r="EP192" s="231">
        <v>42158.95</v>
      </c>
      <c r="EQ192" s="229">
        <v>1.1484000000000001</v>
      </c>
      <c r="ER192" s="231">
        <v>37156</v>
      </c>
      <c r="ES192" s="231">
        <v>15877</v>
      </c>
      <c r="ET192" s="231">
        <v>110374</v>
      </c>
      <c r="EU192" s="231">
        <v>65472757</v>
      </c>
      <c r="EV192" s="231">
        <v>163407</v>
      </c>
      <c r="EW192" s="231">
        <v>156639</v>
      </c>
      <c r="EX192" s="231">
        <v>6768</v>
      </c>
      <c r="EY192" s="229">
        <v>4.3200000000000002E-2</v>
      </c>
      <c r="EZ192" s="229">
        <v>0.21379999999999999</v>
      </c>
      <c r="FA192" s="227" t="s">
        <v>566</v>
      </c>
      <c r="FB192" s="161">
        <f t="shared" si="4"/>
        <v>0</v>
      </c>
    </row>
    <row r="193" spans="1:158" ht="17.25" thickBot="1" x14ac:dyDescent="0.3">
      <c r="A193" s="226">
        <v>46148</v>
      </c>
      <c r="B193" s="227" t="s">
        <v>221</v>
      </c>
      <c r="C193" s="227" t="s">
        <v>603</v>
      </c>
      <c r="D193" s="228">
        <v>100</v>
      </c>
      <c r="E193" s="231">
        <v>4284.7</v>
      </c>
      <c r="F193" s="231">
        <v>4218.6000000000004</v>
      </c>
      <c r="G193" s="228">
        <v>66.099999999999994</v>
      </c>
      <c r="H193" s="229">
        <v>1.5699999999999999E-2</v>
      </c>
      <c r="I193" s="231">
        <v>4281.3</v>
      </c>
      <c r="J193" s="231">
        <v>4219.3999999999996</v>
      </c>
      <c r="K193" s="228">
        <v>61.9</v>
      </c>
      <c r="L193" s="229">
        <v>1.47E-2</v>
      </c>
      <c r="M193" s="231">
        <v>4284.7</v>
      </c>
      <c r="N193" s="231">
        <v>4218.6000000000004</v>
      </c>
      <c r="O193" s="228">
        <v>66.099999999999994</v>
      </c>
      <c r="P193" s="229">
        <v>1.5699999999999999E-2</v>
      </c>
      <c r="Q193" s="231">
        <v>4207.8</v>
      </c>
      <c r="R193" s="231">
        <v>4125.5</v>
      </c>
      <c r="S193" s="228">
        <v>82.3</v>
      </c>
      <c r="T193" s="229">
        <v>1.9900000000000001E-2</v>
      </c>
      <c r="U193" s="231">
        <v>4211.3</v>
      </c>
      <c r="V193" s="231">
        <v>4115</v>
      </c>
      <c r="W193" s="228">
        <v>96.3</v>
      </c>
      <c r="X193" s="229">
        <v>2.3400000000000001E-2</v>
      </c>
      <c r="Y193" s="228">
        <v>3.4</v>
      </c>
      <c r="Z193" s="228">
        <v>-0.8</v>
      </c>
      <c r="AA193" s="228">
        <v>4.2</v>
      </c>
      <c r="AB193" s="229">
        <v>8.0000000000000004E-4</v>
      </c>
      <c r="AC193" s="228">
        <v>3.4</v>
      </c>
      <c r="AD193" s="228">
        <v>-0.8</v>
      </c>
      <c r="AE193" s="228">
        <v>4.2</v>
      </c>
      <c r="AF193" s="229">
        <v>8.0000000000000004E-4</v>
      </c>
      <c r="AG193" s="228">
        <v>-73.5</v>
      </c>
      <c r="AH193" s="228">
        <v>-93.9</v>
      </c>
      <c r="AI193" s="228">
        <v>20.399999999999999</v>
      </c>
      <c r="AJ193" s="229">
        <v>-1.72E-2</v>
      </c>
      <c r="AK193" s="228">
        <v>-70</v>
      </c>
      <c r="AL193" s="228">
        <v>-104.4</v>
      </c>
      <c r="AM193" s="228">
        <v>34.4</v>
      </c>
      <c r="AN193" s="229">
        <v>-1.6400000000000001E-2</v>
      </c>
      <c r="AO193" s="231">
        <v>4287.88</v>
      </c>
      <c r="AP193" s="231">
        <v>4204.53</v>
      </c>
      <c r="AQ193" s="228">
        <v>0</v>
      </c>
      <c r="AR193" s="230">
        <v>463500</v>
      </c>
      <c r="AS193" s="230">
        <v>300900</v>
      </c>
      <c r="AT193" s="230">
        <v>162600</v>
      </c>
      <c r="AU193" s="229">
        <v>0.54039999999999999</v>
      </c>
      <c r="AV193" s="230">
        <v>402400</v>
      </c>
      <c r="AW193" s="230">
        <v>268700</v>
      </c>
      <c r="AX193" s="230">
        <v>133700</v>
      </c>
      <c r="AY193" s="229">
        <v>0.49759999999999999</v>
      </c>
      <c r="AZ193" s="230">
        <v>59100</v>
      </c>
      <c r="BA193" s="230">
        <v>31300</v>
      </c>
      <c r="BB193" s="230">
        <v>27800</v>
      </c>
      <c r="BC193" s="229">
        <v>0.88819999999999999</v>
      </c>
      <c r="BD193" s="230">
        <v>2000</v>
      </c>
      <c r="BE193" s="228">
        <v>900</v>
      </c>
      <c r="BF193" s="230">
        <v>1100</v>
      </c>
      <c r="BG193" s="229">
        <v>1.2222</v>
      </c>
      <c r="BH193" s="230">
        <v>1999900</v>
      </c>
      <c r="BI193" s="230">
        <v>899300</v>
      </c>
      <c r="BJ193" s="230">
        <v>1100600</v>
      </c>
      <c r="BK193" s="229">
        <v>1.2238</v>
      </c>
      <c r="BL193" s="230">
        <v>595000</v>
      </c>
      <c r="BM193" s="230">
        <v>305400</v>
      </c>
      <c r="BN193" s="230">
        <v>289600</v>
      </c>
      <c r="BO193" s="229">
        <v>0.94830000000000003</v>
      </c>
      <c r="BP193" s="230">
        <v>3058400</v>
      </c>
      <c r="BQ193" s="230">
        <v>1505600</v>
      </c>
      <c r="BR193" s="230">
        <v>1552800</v>
      </c>
      <c r="BS193" s="229">
        <v>1.0313000000000001</v>
      </c>
      <c r="BT193" s="230">
        <v>301850</v>
      </c>
      <c r="BU193" s="230">
        <v>194291</v>
      </c>
      <c r="BV193" s="230">
        <v>107559</v>
      </c>
      <c r="BW193" s="229">
        <v>0.55359999999999998</v>
      </c>
      <c r="BX193" s="230">
        <v>2341825</v>
      </c>
      <c r="BY193" s="230">
        <v>2396300</v>
      </c>
      <c r="BZ193" s="230">
        <v>-54475</v>
      </c>
      <c r="CA193" s="229">
        <v>-2.2700000000000001E-2</v>
      </c>
      <c r="CB193" s="230">
        <v>2137200</v>
      </c>
      <c r="CC193" s="230">
        <v>2195700</v>
      </c>
      <c r="CD193" s="230">
        <v>-58500</v>
      </c>
      <c r="CE193" s="229">
        <v>-2.6599999999999999E-2</v>
      </c>
      <c r="CF193" s="230">
        <v>198500</v>
      </c>
      <c r="CG193" s="230">
        <v>195100</v>
      </c>
      <c r="CH193" s="230">
        <v>3400</v>
      </c>
      <c r="CI193" s="229">
        <v>1.7399999999999999E-2</v>
      </c>
      <c r="CJ193" s="230">
        <v>6125</v>
      </c>
      <c r="CK193" s="230">
        <v>5500</v>
      </c>
      <c r="CL193" s="228">
        <v>625</v>
      </c>
      <c r="CM193" s="229">
        <v>0.11360000000000001</v>
      </c>
      <c r="CN193" s="230">
        <v>1374200</v>
      </c>
      <c r="CO193" s="230">
        <v>1367600</v>
      </c>
      <c r="CP193" s="230">
        <v>6600</v>
      </c>
      <c r="CQ193" s="229">
        <v>4.7999999999999996E-3</v>
      </c>
      <c r="CR193" s="230">
        <v>618700</v>
      </c>
      <c r="CS193" s="230">
        <v>585225</v>
      </c>
      <c r="CT193" s="230">
        <v>33475</v>
      </c>
      <c r="CU193" s="229">
        <v>5.7200000000000001E-2</v>
      </c>
      <c r="CV193" s="230">
        <v>4334725</v>
      </c>
      <c r="CW193" s="230">
        <v>4349125</v>
      </c>
      <c r="CX193" s="230">
        <v>-14400</v>
      </c>
      <c r="CY193" s="229">
        <v>-3.3E-3</v>
      </c>
      <c r="CZ193" s="228">
        <v>34.659999999999997</v>
      </c>
      <c r="DA193" s="228">
        <v>36.21</v>
      </c>
      <c r="DB193" s="228">
        <v>-1.55</v>
      </c>
      <c r="DC193" s="228">
        <v>-1.55</v>
      </c>
      <c r="DD193" s="228">
        <v>39.51</v>
      </c>
      <c r="DE193" s="228">
        <v>39.549999999999997</v>
      </c>
      <c r="DF193" s="228">
        <v>-4.8499999999999996</v>
      </c>
      <c r="DG193" s="228">
        <v>-0.04</v>
      </c>
      <c r="DH193" s="228">
        <v>34.82</v>
      </c>
      <c r="DI193" s="228">
        <v>36.39</v>
      </c>
      <c r="DJ193" s="228">
        <v>-1.57</v>
      </c>
      <c r="DK193" s="228">
        <v>-1.57</v>
      </c>
      <c r="DL193" s="228">
        <v>34.090000000000003</v>
      </c>
      <c r="DM193" s="228">
        <v>35.700000000000003</v>
      </c>
      <c r="DN193" s="228">
        <v>-1.61</v>
      </c>
      <c r="DO193" s="228">
        <v>-1.61</v>
      </c>
      <c r="DP193" s="228">
        <v>0.45</v>
      </c>
      <c r="DQ193" s="228">
        <v>0.43</v>
      </c>
      <c r="DR193" s="228">
        <v>0.02</v>
      </c>
      <c r="DS193" s="229">
        <v>4.65E-2</v>
      </c>
      <c r="DT193" s="231">
        <v>5000</v>
      </c>
      <c r="DU193" s="231">
        <v>4200</v>
      </c>
      <c r="DV193" s="228">
        <v>0.3</v>
      </c>
      <c r="DW193" s="228">
        <v>0.34</v>
      </c>
      <c r="DX193" s="228">
        <v>-0.04</v>
      </c>
      <c r="DY193" s="229">
        <v>-0.1176</v>
      </c>
      <c r="DZ193" s="229">
        <v>8.7400000000000005E-2</v>
      </c>
      <c r="EA193" s="230">
        <v>200600</v>
      </c>
      <c r="EB193" s="229">
        <v>-1.7899999999999999E-2</v>
      </c>
      <c r="EC193" s="229">
        <v>8.7400000000000005E-2</v>
      </c>
      <c r="ED193" s="228">
        <v>-83.35</v>
      </c>
      <c r="EE193" s="229">
        <v>-1.9400000000000001E-2</v>
      </c>
      <c r="EF193" s="230">
        <v>80584</v>
      </c>
      <c r="EG193" s="230">
        <v>60858</v>
      </c>
      <c r="EH193" s="229">
        <v>0.3241</v>
      </c>
      <c r="EI193" s="229">
        <v>0.26700000000000002</v>
      </c>
      <c r="EJ193" s="231">
        <v>91441.48</v>
      </c>
      <c r="EK193" s="231">
        <v>24964.65</v>
      </c>
      <c r="EL193" s="231">
        <v>19844.18</v>
      </c>
      <c r="EM193" s="231">
        <v>3079</v>
      </c>
      <c r="EN193" s="231">
        <v>136250.31</v>
      </c>
      <c r="EO193" s="231">
        <v>66229.72</v>
      </c>
      <c r="EP193" s="231">
        <v>70020.59</v>
      </c>
      <c r="EQ193" s="229">
        <v>1.0571999999999999</v>
      </c>
      <c r="ER193" s="231">
        <v>63195</v>
      </c>
      <c r="ES193" s="231">
        <v>25857</v>
      </c>
      <c r="ET193" s="231">
        <v>100183</v>
      </c>
      <c r="EU193" s="231">
        <v>5241946</v>
      </c>
      <c r="EV193" s="231">
        <v>189234</v>
      </c>
      <c r="EW193" s="231">
        <v>187929</v>
      </c>
      <c r="EX193" s="231">
        <v>1305</v>
      </c>
      <c r="EY193" s="229">
        <v>6.8999999999999999E-3</v>
      </c>
      <c r="EZ193" s="229">
        <v>0.82689999999999997</v>
      </c>
      <c r="FA193" s="227" t="s">
        <v>691</v>
      </c>
      <c r="FB193" s="161">
        <f t="shared" si="4"/>
        <v>0</v>
      </c>
    </row>
    <row r="194" spans="1:158" ht="17.25" thickBot="1" x14ac:dyDescent="0.3">
      <c r="A194" s="226">
        <v>46148</v>
      </c>
      <c r="B194" s="227" t="s">
        <v>161</v>
      </c>
      <c r="C194" s="227" t="s">
        <v>293</v>
      </c>
      <c r="D194" s="228">
        <v>1450</v>
      </c>
      <c r="E194" s="228">
        <v>445.05</v>
      </c>
      <c r="F194" s="228">
        <v>443.75</v>
      </c>
      <c r="G194" s="228">
        <v>1.3</v>
      </c>
      <c r="H194" s="229">
        <v>2.8999999999999998E-3</v>
      </c>
      <c r="I194" s="228">
        <v>443.25</v>
      </c>
      <c r="J194" s="228">
        <v>442.65</v>
      </c>
      <c r="K194" s="228">
        <v>0.6</v>
      </c>
      <c r="L194" s="229">
        <v>1.4E-3</v>
      </c>
      <c r="M194" s="228">
        <v>445.05</v>
      </c>
      <c r="N194" s="228">
        <v>443.75</v>
      </c>
      <c r="O194" s="228">
        <v>1.3</v>
      </c>
      <c r="P194" s="229">
        <v>2.8999999999999998E-3</v>
      </c>
      <c r="Q194" s="228">
        <v>446.9</v>
      </c>
      <c r="R194" s="228">
        <v>445.1</v>
      </c>
      <c r="S194" s="228">
        <v>1.8</v>
      </c>
      <c r="T194" s="229">
        <v>4.0000000000000001E-3</v>
      </c>
      <c r="U194" s="228">
        <v>448.4</v>
      </c>
      <c r="V194" s="228">
        <v>447.35</v>
      </c>
      <c r="W194" s="228">
        <v>1.05</v>
      </c>
      <c r="X194" s="229">
        <v>2.3E-3</v>
      </c>
      <c r="Y194" s="228">
        <v>1.8</v>
      </c>
      <c r="Z194" s="228">
        <v>1.1000000000000001</v>
      </c>
      <c r="AA194" s="228">
        <v>0.7</v>
      </c>
      <c r="AB194" s="229">
        <v>4.1000000000000003E-3</v>
      </c>
      <c r="AC194" s="228">
        <v>1.8</v>
      </c>
      <c r="AD194" s="228">
        <v>1.1000000000000001</v>
      </c>
      <c r="AE194" s="228">
        <v>0.7</v>
      </c>
      <c r="AF194" s="229">
        <v>4.1000000000000003E-3</v>
      </c>
      <c r="AG194" s="228">
        <v>3.65</v>
      </c>
      <c r="AH194" s="228">
        <v>2.4500000000000002</v>
      </c>
      <c r="AI194" s="228">
        <v>1.2</v>
      </c>
      <c r="AJ194" s="229">
        <v>8.2000000000000007E-3</v>
      </c>
      <c r="AK194" s="228">
        <v>5.15</v>
      </c>
      <c r="AL194" s="228">
        <v>4.7</v>
      </c>
      <c r="AM194" s="228">
        <v>0.45</v>
      </c>
      <c r="AN194" s="229">
        <v>1.1599999999999999E-2</v>
      </c>
      <c r="AO194" s="228">
        <v>444.15</v>
      </c>
      <c r="AP194" s="228">
        <v>445.61</v>
      </c>
      <c r="AQ194" s="228">
        <v>0</v>
      </c>
      <c r="AR194" s="230">
        <v>5183750</v>
      </c>
      <c r="AS194" s="230">
        <v>11987150</v>
      </c>
      <c r="AT194" s="230">
        <v>-6803400</v>
      </c>
      <c r="AU194" s="229">
        <v>-0.56759999999999999</v>
      </c>
      <c r="AV194" s="230">
        <v>4756000</v>
      </c>
      <c r="AW194" s="230">
        <v>11391200</v>
      </c>
      <c r="AX194" s="230">
        <v>-6635200</v>
      </c>
      <c r="AY194" s="229">
        <v>-0.58250000000000002</v>
      </c>
      <c r="AZ194" s="230">
        <v>339300</v>
      </c>
      <c r="BA194" s="230">
        <v>481400</v>
      </c>
      <c r="BB194" s="230">
        <v>-142100</v>
      </c>
      <c r="BC194" s="229">
        <v>-0.29520000000000002</v>
      </c>
      <c r="BD194" s="230">
        <v>88450</v>
      </c>
      <c r="BE194" s="230">
        <v>114550</v>
      </c>
      <c r="BF194" s="230">
        <v>-26100</v>
      </c>
      <c r="BG194" s="229">
        <v>-0.2278</v>
      </c>
      <c r="BH194" s="230">
        <v>22080600</v>
      </c>
      <c r="BI194" s="230">
        <v>38133550</v>
      </c>
      <c r="BJ194" s="230">
        <v>-16052950</v>
      </c>
      <c r="BK194" s="229">
        <v>-0.42099999999999999</v>
      </c>
      <c r="BL194" s="230">
        <v>7963400</v>
      </c>
      <c r="BM194" s="230">
        <v>15488900</v>
      </c>
      <c r="BN194" s="230">
        <v>-7525500</v>
      </c>
      <c r="BO194" s="229">
        <v>-0.4859</v>
      </c>
      <c r="BP194" s="230">
        <v>35227750</v>
      </c>
      <c r="BQ194" s="230">
        <v>65609600</v>
      </c>
      <c r="BR194" s="230">
        <v>-30381850</v>
      </c>
      <c r="BS194" s="229">
        <v>-0.46310000000000001</v>
      </c>
      <c r="BT194" s="230">
        <v>4846591</v>
      </c>
      <c r="BU194" s="230">
        <v>7046316</v>
      </c>
      <c r="BV194" s="230">
        <v>-2199725</v>
      </c>
      <c r="BW194" s="229">
        <v>-0.31219999999999998</v>
      </c>
      <c r="BX194" s="230">
        <v>53651450</v>
      </c>
      <c r="BY194" s="230">
        <v>53159900</v>
      </c>
      <c r="BZ194" s="230">
        <v>491550</v>
      </c>
      <c r="CA194" s="229">
        <v>9.1999999999999998E-3</v>
      </c>
      <c r="CB194" s="230">
        <v>51943350</v>
      </c>
      <c r="CC194" s="230">
        <v>51634500</v>
      </c>
      <c r="CD194" s="230">
        <v>308850</v>
      </c>
      <c r="CE194" s="229">
        <v>6.0000000000000001E-3</v>
      </c>
      <c r="CF194" s="230">
        <v>1371700</v>
      </c>
      <c r="CG194" s="230">
        <v>1249900</v>
      </c>
      <c r="CH194" s="230">
        <v>121800</v>
      </c>
      <c r="CI194" s="229">
        <v>9.74E-2</v>
      </c>
      <c r="CJ194" s="230">
        <v>336400</v>
      </c>
      <c r="CK194" s="230">
        <v>275500</v>
      </c>
      <c r="CL194" s="230">
        <v>60900</v>
      </c>
      <c r="CM194" s="229">
        <v>0.22109999999999999</v>
      </c>
      <c r="CN194" s="230">
        <v>26865600</v>
      </c>
      <c r="CO194" s="230">
        <v>26329100</v>
      </c>
      <c r="CP194" s="230">
        <v>536500</v>
      </c>
      <c r="CQ194" s="229">
        <v>2.0400000000000001E-2</v>
      </c>
      <c r="CR194" s="230">
        <v>16182000</v>
      </c>
      <c r="CS194" s="230">
        <v>16708350</v>
      </c>
      <c r="CT194" s="230">
        <v>-526350</v>
      </c>
      <c r="CU194" s="229">
        <v>-3.15E-2</v>
      </c>
      <c r="CV194" s="230">
        <v>96699050</v>
      </c>
      <c r="CW194" s="230">
        <v>96197350</v>
      </c>
      <c r="CX194" s="230">
        <v>501700</v>
      </c>
      <c r="CY194" s="229">
        <v>5.1999999999999998E-3</v>
      </c>
      <c r="CZ194" s="228">
        <v>31.7</v>
      </c>
      <c r="DA194" s="228">
        <v>31.86</v>
      </c>
      <c r="DB194" s="228">
        <v>-0.16</v>
      </c>
      <c r="DC194" s="228">
        <v>-0.16</v>
      </c>
      <c r="DD194" s="228">
        <v>31.64</v>
      </c>
      <c r="DE194" s="228">
        <v>31.72</v>
      </c>
      <c r="DF194" s="228">
        <v>0.06</v>
      </c>
      <c r="DG194" s="228">
        <v>-0.08</v>
      </c>
      <c r="DH194" s="228">
        <v>31.68</v>
      </c>
      <c r="DI194" s="228">
        <v>31.84</v>
      </c>
      <c r="DJ194" s="228">
        <v>-0.16</v>
      </c>
      <c r="DK194" s="228">
        <v>-0.16</v>
      </c>
      <c r="DL194" s="228">
        <v>31.75</v>
      </c>
      <c r="DM194" s="228">
        <v>31.92</v>
      </c>
      <c r="DN194" s="228">
        <v>-0.17</v>
      </c>
      <c r="DO194" s="228">
        <v>-0.17</v>
      </c>
      <c r="DP194" s="228">
        <v>0.6</v>
      </c>
      <c r="DQ194" s="228">
        <v>0.63</v>
      </c>
      <c r="DR194" s="228">
        <v>-0.03</v>
      </c>
      <c r="DS194" s="229">
        <v>-4.7600000000000003E-2</v>
      </c>
      <c r="DT194" s="228">
        <v>450</v>
      </c>
      <c r="DU194" s="228">
        <v>430</v>
      </c>
      <c r="DV194" s="228">
        <v>0.36</v>
      </c>
      <c r="DW194" s="228">
        <v>0.41</v>
      </c>
      <c r="DX194" s="228">
        <v>-0.05</v>
      </c>
      <c r="DY194" s="229">
        <v>-0.122</v>
      </c>
      <c r="DZ194" s="229">
        <v>3.1800000000000002E-2</v>
      </c>
      <c r="EA194" s="230">
        <v>1525400</v>
      </c>
      <c r="EB194" s="229">
        <v>4.1999999999999997E-3</v>
      </c>
      <c r="EC194" s="229">
        <v>3.1800000000000002E-2</v>
      </c>
      <c r="ED194" s="228">
        <v>1.46</v>
      </c>
      <c r="EE194" s="229">
        <v>3.3E-3</v>
      </c>
      <c r="EF194" s="230">
        <v>2277781</v>
      </c>
      <c r="EG194" s="230">
        <v>2682396</v>
      </c>
      <c r="EH194" s="229">
        <v>-0.15079999999999999</v>
      </c>
      <c r="EI194" s="229">
        <v>0.47</v>
      </c>
      <c r="EJ194" s="231">
        <v>103425.54</v>
      </c>
      <c r="EK194" s="231">
        <v>34385.67</v>
      </c>
      <c r="EL194" s="231">
        <v>23031.78</v>
      </c>
      <c r="EM194" s="231">
        <v>6006</v>
      </c>
      <c r="EN194" s="231">
        <v>160842.99</v>
      </c>
      <c r="EO194" s="231">
        <v>299357.82</v>
      </c>
      <c r="EP194" s="231">
        <v>-138514.82999999999</v>
      </c>
      <c r="EQ194" s="229">
        <v>-0.4627</v>
      </c>
      <c r="ER194" s="231">
        <v>124100</v>
      </c>
      <c r="ES194" s="231">
        <v>69448</v>
      </c>
      <c r="ET194" s="231">
        <v>238812</v>
      </c>
      <c r="EU194" s="231">
        <v>169808198</v>
      </c>
      <c r="EV194" s="231">
        <v>432361</v>
      </c>
      <c r="EW194" s="231">
        <v>429204</v>
      </c>
      <c r="EX194" s="231">
        <v>3157</v>
      </c>
      <c r="EY194" s="229">
        <v>7.4000000000000003E-3</v>
      </c>
      <c r="EZ194" s="229">
        <v>0.56950000000000001</v>
      </c>
      <c r="FA194" s="227" t="s">
        <v>555</v>
      </c>
      <c r="FB194" s="161">
        <f t="shared" si="4"/>
        <v>0</v>
      </c>
    </row>
    <row r="195" spans="1:158" ht="17.25" thickBot="1" x14ac:dyDescent="0.3">
      <c r="A195" s="226">
        <v>46148</v>
      </c>
      <c r="B195" s="227" t="s">
        <v>227</v>
      </c>
      <c r="C195" s="227" t="s">
        <v>294</v>
      </c>
      <c r="D195" s="228">
        <v>2750</v>
      </c>
      <c r="E195" s="228">
        <v>216.73</v>
      </c>
      <c r="F195" s="228">
        <v>212.45</v>
      </c>
      <c r="G195" s="228">
        <v>4.28</v>
      </c>
      <c r="H195" s="229">
        <v>2.01E-2</v>
      </c>
      <c r="I195" s="228">
        <v>215.47</v>
      </c>
      <c r="J195" s="228">
        <v>211.32</v>
      </c>
      <c r="K195" s="228">
        <v>4.1500000000000004</v>
      </c>
      <c r="L195" s="229">
        <v>1.9599999999999999E-2</v>
      </c>
      <c r="M195" s="228">
        <v>216.73</v>
      </c>
      <c r="N195" s="228">
        <v>212.45</v>
      </c>
      <c r="O195" s="228">
        <v>4.28</v>
      </c>
      <c r="P195" s="229">
        <v>2.01E-2</v>
      </c>
      <c r="Q195" s="228">
        <v>215.32</v>
      </c>
      <c r="R195" s="228">
        <v>211.02</v>
      </c>
      <c r="S195" s="228">
        <v>4.3</v>
      </c>
      <c r="T195" s="229">
        <v>2.0400000000000001E-2</v>
      </c>
      <c r="U195" s="228">
        <v>216.6</v>
      </c>
      <c r="V195" s="228">
        <v>212.08</v>
      </c>
      <c r="W195" s="228">
        <v>4.5199999999999996</v>
      </c>
      <c r="X195" s="229">
        <v>2.1299999999999999E-2</v>
      </c>
      <c r="Y195" s="228">
        <v>1.26</v>
      </c>
      <c r="Z195" s="228">
        <v>1.1299999999999999</v>
      </c>
      <c r="AA195" s="228">
        <v>0.13</v>
      </c>
      <c r="AB195" s="229">
        <v>5.7999999999999996E-3</v>
      </c>
      <c r="AC195" s="228">
        <v>1.26</v>
      </c>
      <c r="AD195" s="228">
        <v>1.1299999999999999</v>
      </c>
      <c r="AE195" s="228">
        <v>0.13</v>
      </c>
      <c r="AF195" s="229">
        <v>5.7999999999999996E-3</v>
      </c>
      <c r="AG195" s="228">
        <v>-0.15</v>
      </c>
      <c r="AH195" s="228">
        <v>-0.3</v>
      </c>
      <c r="AI195" s="228">
        <v>0.15</v>
      </c>
      <c r="AJ195" s="229">
        <v>-6.9999999999999999E-4</v>
      </c>
      <c r="AK195" s="228">
        <v>1.1299999999999999</v>
      </c>
      <c r="AL195" s="228">
        <v>0.76</v>
      </c>
      <c r="AM195" s="228">
        <v>0.37</v>
      </c>
      <c r="AN195" s="229">
        <v>5.1999999999999998E-3</v>
      </c>
      <c r="AO195" s="228">
        <v>216.09</v>
      </c>
      <c r="AP195" s="228">
        <v>213.97</v>
      </c>
      <c r="AQ195" s="228">
        <v>0</v>
      </c>
      <c r="AR195" s="230">
        <v>28028000</v>
      </c>
      <c r="AS195" s="230">
        <v>13684000</v>
      </c>
      <c r="AT195" s="230">
        <v>14344000</v>
      </c>
      <c r="AU195" s="229">
        <v>1.0482</v>
      </c>
      <c r="AV195" s="230">
        <v>24516250</v>
      </c>
      <c r="AW195" s="230">
        <v>11871750</v>
      </c>
      <c r="AX195" s="230">
        <v>12644500</v>
      </c>
      <c r="AY195" s="229">
        <v>1.0650999999999999</v>
      </c>
      <c r="AZ195" s="230">
        <v>3135000</v>
      </c>
      <c r="BA195" s="230">
        <v>1644500</v>
      </c>
      <c r="BB195" s="230">
        <v>1490500</v>
      </c>
      <c r="BC195" s="229">
        <v>0.90639999999999998</v>
      </c>
      <c r="BD195" s="230">
        <v>376750</v>
      </c>
      <c r="BE195" s="230">
        <v>167750</v>
      </c>
      <c r="BF195" s="230">
        <v>209000</v>
      </c>
      <c r="BG195" s="229">
        <v>1.2459</v>
      </c>
      <c r="BH195" s="230">
        <v>73562500</v>
      </c>
      <c r="BI195" s="230">
        <v>45452000</v>
      </c>
      <c r="BJ195" s="230">
        <v>28110500</v>
      </c>
      <c r="BK195" s="229">
        <v>0.61850000000000005</v>
      </c>
      <c r="BL195" s="230">
        <v>50899750</v>
      </c>
      <c r="BM195" s="230">
        <v>31388500</v>
      </c>
      <c r="BN195" s="230">
        <v>19511250</v>
      </c>
      <c r="BO195" s="229">
        <v>0.62160000000000004</v>
      </c>
      <c r="BP195" s="230">
        <v>152490250</v>
      </c>
      <c r="BQ195" s="230">
        <v>90524500</v>
      </c>
      <c r="BR195" s="230">
        <v>61965750</v>
      </c>
      <c r="BS195" s="229">
        <v>0.6845</v>
      </c>
      <c r="BT195" s="230">
        <v>25063055</v>
      </c>
      <c r="BU195" s="230">
        <v>21445079</v>
      </c>
      <c r="BV195" s="230">
        <v>3617976</v>
      </c>
      <c r="BW195" s="229">
        <v>0.16869999999999999</v>
      </c>
      <c r="BX195" s="230">
        <v>186287750</v>
      </c>
      <c r="BY195" s="230">
        <v>185770750</v>
      </c>
      <c r="BZ195" s="230">
        <v>517000</v>
      </c>
      <c r="CA195" s="229">
        <v>2.8E-3</v>
      </c>
      <c r="CB195" s="230">
        <v>171685250</v>
      </c>
      <c r="CC195" s="230">
        <v>171528500</v>
      </c>
      <c r="CD195" s="230">
        <v>156750</v>
      </c>
      <c r="CE195" s="229">
        <v>8.9999999999999998E-4</v>
      </c>
      <c r="CF195" s="230">
        <v>14269750</v>
      </c>
      <c r="CG195" s="230">
        <v>13964500</v>
      </c>
      <c r="CH195" s="230">
        <v>305250</v>
      </c>
      <c r="CI195" s="229">
        <v>2.1899999999999999E-2</v>
      </c>
      <c r="CJ195" s="230">
        <v>332750</v>
      </c>
      <c r="CK195" s="230">
        <v>277750</v>
      </c>
      <c r="CL195" s="230">
        <v>55000</v>
      </c>
      <c r="CM195" s="229">
        <v>0.19800000000000001</v>
      </c>
      <c r="CN195" s="230">
        <v>80638250</v>
      </c>
      <c r="CO195" s="230">
        <v>83305750</v>
      </c>
      <c r="CP195" s="230">
        <v>-2667500</v>
      </c>
      <c r="CQ195" s="229">
        <v>-3.2000000000000001E-2</v>
      </c>
      <c r="CR195" s="230">
        <v>57271500</v>
      </c>
      <c r="CS195" s="230">
        <v>53834000</v>
      </c>
      <c r="CT195" s="230">
        <v>3437500</v>
      </c>
      <c r="CU195" s="229">
        <v>6.3899999999999998E-2</v>
      </c>
      <c r="CV195" s="230">
        <v>324197500</v>
      </c>
      <c r="CW195" s="230">
        <v>322910500</v>
      </c>
      <c r="CX195" s="230">
        <v>1287000</v>
      </c>
      <c r="CY195" s="229">
        <v>4.0000000000000001E-3</v>
      </c>
      <c r="CZ195" s="228">
        <v>29.05</v>
      </c>
      <c r="DA195" s="228">
        <v>29.44</v>
      </c>
      <c r="DB195" s="228">
        <v>-0.39</v>
      </c>
      <c r="DC195" s="228">
        <v>-0.39</v>
      </c>
      <c r="DD195" s="228">
        <v>35.450000000000003</v>
      </c>
      <c r="DE195" s="228">
        <v>35.44</v>
      </c>
      <c r="DF195" s="228">
        <v>-6.4</v>
      </c>
      <c r="DG195" s="228">
        <v>0.01</v>
      </c>
      <c r="DH195" s="228">
        <v>28.28</v>
      </c>
      <c r="DI195" s="228">
        <v>28.76</v>
      </c>
      <c r="DJ195" s="228">
        <v>-0.48</v>
      </c>
      <c r="DK195" s="228">
        <v>-0.48</v>
      </c>
      <c r="DL195" s="228">
        <v>30.17</v>
      </c>
      <c r="DM195" s="228">
        <v>30.42</v>
      </c>
      <c r="DN195" s="228">
        <v>-0.25</v>
      </c>
      <c r="DO195" s="228">
        <v>-0.25</v>
      </c>
      <c r="DP195" s="228">
        <v>0.71</v>
      </c>
      <c r="DQ195" s="228">
        <v>0.65</v>
      </c>
      <c r="DR195" s="228">
        <v>0.06</v>
      </c>
      <c r="DS195" s="229">
        <v>9.2299999999999993E-2</v>
      </c>
      <c r="DT195" s="228">
        <v>210</v>
      </c>
      <c r="DU195" s="228">
        <v>210</v>
      </c>
      <c r="DV195" s="228">
        <v>0.69</v>
      </c>
      <c r="DW195" s="228">
        <v>0.69</v>
      </c>
      <c r="DX195" s="228">
        <v>0</v>
      </c>
      <c r="DY195" s="229">
        <v>0</v>
      </c>
      <c r="DZ195" s="229">
        <v>7.8399999999999997E-2</v>
      </c>
      <c r="EA195" s="230">
        <v>14242250</v>
      </c>
      <c r="EB195" s="229">
        <v>-6.4999999999999997E-3</v>
      </c>
      <c r="EC195" s="229">
        <v>7.8399999999999997E-2</v>
      </c>
      <c r="ED195" s="228">
        <v>-2.12</v>
      </c>
      <c r="EE195" s="229">
        <v>-9.7999999999999997E-3</v>
      </c>
      <c r="EF195" s="230">
        <v>12977836</v>
      </c>
      <c r="EG195" s="230">
        <v>7343801</v>
      </c>
      <c r="EH195" s="229">
        <v>0.76719999999999999</v>
      </c>
      <c r="EI195" s="229">
        <v>0.51780000000000004</v>
      </c>
      <c r="EJ195" s="231">
        <v>165862.60999999999</v>
      </c>
      <c r="EK195" s="231">
        <v>107134.59</v>
      </c>
      <c r="EL195" s="231">
        <v>60496.639999999999</v>
      </c>
      <c r="EM195" s="231">
        <v>8557</v>
      </c>
      <c r="EN195" s="231">
        <v>333493.84000000003</v>
      </c>
      <c r="EO195" s="231">
        <v>196020.15</v>
      </c>
      <c r="EP195" s="231">
        <v>137473.69</v>
      </c>
      <c r="EQ195" s="229">
        <v>0.70130000000000003</v>
      </c>
      <c r="ER195" s="231">
        <v>176008</v>
      </c>
      <c r="ES195" s="231">
        <v>117177</v>
      </c>
      <c r="ET195" s="231">
        <v>403540</v>
      </c>
      <c r="EU195" s="231">
        <v>1049350971</v>
      </c>
      <c r="EV195" s="231">
        <v>696725</v>
      </c>
      <c r="EW195" s="231">
        <v>686014</v>
      </c>
      <c r="EX195" s="231">
        <v>10711</v>
      </c>
      <c r="EY195" s="229">
        <v>1.5599999999999999E-2</v>
      </c>
      <c r="EZ195" s="229">
        <v>0.309</v>
      </c>
      <c r="FA195" s="227" t="s">
        <v>555</v>
      </c>
      <c r="FB195" s="161">
        <f t="shared" ref="FB195:FB258" si="5">BX262-CB262</f>
        <v>0</v>
      </c>
    </row>
    <row r="196" spans="1:158" ht="17.25" thickBot="1" x14ac:dyDescent="0.3">
      <c r="A196" s="226">
        <v>46148</v>
      </c>
      <c r="B196" s="227" t="s">
        <v>221</v>
      </c>
      <c r="C196" s="227" t="s">
        <v>295</v>
      </c>
      <c r="D196" s="228">
        <v>175</v>
      </c>
      <c r="E196" s="231">
        <v>2409.5</v>
      </c>
      <c r="F196" s="231">
        <v>2418.1999999999998</v>
      </c>
      <c r="G196" s="228">
        <v>-8.6999999999999993</v>
      </c>
      <c r="H196" s="229">
        <v>-3.5999999999999999E-3</v>
      </c>
      <c r="I196" s="231">
        <v>2435.4</v>
      </c>
      <c r="J196" s="231">
        <v>2427.3000000000002</v>
      </c>
      <c r="K196" s="228">
        <v>8.1</v>
      </c>
      <c r="L196" s="229">
        <v>3.3E-3</v>
      </c>
      <c r="M196" s="231">
        <v>2409.5</v>
      </c>
      <c r="N196" s="231">
        <v>2418.1999999999998</v>
      </c>
      <c r="O196" s="228">
        <v>-8.6999999999999993</v>
      </c>
      <c r="P196" s="229">
        <v>-3.5999999999999999E-3</v>
      </c>
      <c r="Q196" s="231">
        <v>2407.5</v>
      </c>
      <c r="R196" s="231">
        <v>2406</v>
      </c>
      <c r="S196" s="228">
        <v>1.5</v>
      </c>
      <c r="T196" s="229">
        <v>5.9999999999999995E-4</v>
      </c>
      <c r="U196" s="231">
        <v>2402.6</v>
      </c>
      <c r="V196" s="231">
        <v>2404.8000000000002</v>
      </c>
      <c r="W196" s="228">
        <v>-2.2000000000000002</v>
      </c>
      <c r="X196" s="229">
        <v>-8.9999999999999998E-4</v>
      </c>
      <c r="Y196" s="228">
        <v>-25.9</v>
      </c>
      <c r="Z196" s="228">
        <v>-9.1</v>
      </c>
      <c r="AA196" s="228">
        <v>-16.8</v>
      </c>
      <c r="AB196" s="229">
        <v>-1.06E-2</v>
      </c>
      <c r="AC196" s="228">
        <v>-25.9</v>
      </c>
      <c r="AD196" s="228">
        <v>-9.1</v>
      </c>
      <c r="AE196" s="228">
        <v>-16.8</v>
      </c>
      <c r="AF196" s="229">
        <v>-1.06E-2</v>
      </c>
      <c r="AG196" s="228">
        <v>-27.9</v>
      </c>
      <c r="AH196" s="228">
        <v>-21.3</v>
      </c>
      <c r="AI196" s="228">
        <v>-6.6</v>
      </c>
      <c r="AJ196" s="229">
        <v>-1.15E-2</v>
      </c>
      <c r="AK196" s="228">
        <v>-32.799999999999997</v>
      </c>
      <c r="AL196" s="228">
        <v>-22.5</v>
      </c>
      <c r="AM196" s="228">
        <v>-10.3</v>
      </c>
      <c r="AN196" s="229">
        <v>-1.35E-2</v>
      </c>
      <c r="AO196" s="231">
        <v>2409.48</v>
      </c>
      <c r="AP196" s="231">
        <v>2407.5700000000002</v>
      </c>
      <c r="AQ196" s="228">
        <v>0</v>
      </c>
      <c r="AR196" s="230">
        <v>4853800</v>
      </c>
      <c r="AS196" s="230">
        <v>2157225</v>
      </c>
      <c r="AT196" s="230">
        <v>2696575</v>
      </c>
      <c r="AU196" s="229">
        <v>1.25</v>
      </c>
      <c r="AV196" s="230">
        <v>3868550</v>
      </c>
      <c r="AW196" s="230">
        <v>1771875</v>
      </c>
      <c r="AX196" s="230">
        <v>2096675</v>
      </c>
      <c r="AY196" s="229">
        <v>1.1833</v>
      </c>
      <c r="AZ196" s="230">
        <v>870625</v>
      </c>
      <c r="BA196" s="230">
        <v>342475</v>
      </c>
      <c r="BB196" s="230">
        <v>528150</v>
      </c>
      <c r="BC196" s="229">
        <v>1.5422</v>
      </c>
      <c r="BD196" s="230">
        <v>114625</v>
      </c>
      <c r="BE196" s="230">
        <v>42875</v>
      </c>
      <c r="BF196" s="230">
        <v>71750</v>
      </c>
      <c r="BG196" s="229">
        <v>1.6735</v>
      </c>
      <c r="BH196" s="230">
        <v>15620500</v>
      </c>
      <c r="BI196" s="230">
        <v>7895125</v>
      </c>
      <c r="BJ196" s="230">
        <v>7725375</v>
      </c>
      <c r="BK196" s="229">
        <v>0.97850000000000004</v>
      </c>
      <c r="BL196" s="230">
        <v>7753725</v>
      </c>
      <c r="BM196" s="230">
        <v>3367525</v>
      </c>
      <c r="BN196" s="230">
        <v>4386200</v>
      </c>
      <c r="BO196" s="229">
        <v>1.3025</v>
      </c>
      <c r="BP196" s="230">
        <v>28228025</v>
      </c>
      <c r="BQ196" s="230">
        <v>13419875</v>
      </c>
      <c r="BR196" s="230">
        <v>14808150</v>
      </c>
      <c r="BS196" s="229">
        <v>1.1033999999999999</v>
      </c>
      <c r="BT196" s="230">
        <v>3218152</v>
      </c>
      <c r="BU196" s="230">
        <v>3471696</v>
      </c>
      <c r="BV196" s="230">
        <v>-253544</v>
      </c>
      <c r="BW196" s="229">
        <v>-7.2999999999999995E-2</v>
      </c>
      <c r="BX196" s="230">
        <v>38816350</v>
      </c>
      <c r="BY196" s="230">
        <v>37518575</v>
      </c>
      <c r="BZ196" s="230">
        <v>1297775</v>
      </c>
      <c r="CA196" s="229">
        <v>3.4599999999999999E-2</v>
      </c>
      <c r="CB196" s="230">
        <v>35633850</v>
      </c>
      <c r="CC196" s="230">
        <v>34755175</v>
      </c>
      <c r="CD196" s="230">
        <v>878675</v>
      </c>
      <c r="CE196" s="229">
        <v>2.53E-2</v>
      </c>
      <c r="CF196" s="230">
        <v>2880325</v>
      </c>
      <c r="CG196" s="230">
        <v>2543800</v>
      </c>
      <c r="CH196" s="230">
        <v>336525</v>
      </c>
      <c r="CI196" s="229">
        <v>0.1323</v>
      </c>
      <c r="CJ196" s="230">
        <v>302175</v>
      </c>
      <c r="CK196" s="230">
        <v>219600</v>
      </c>
      <c r="CL196" s="230">
        <v>82575</v>
      </c>
      <c r="CM196" s="229">
        <v>0.376</v>
      </c>
      <c r="CN196" s="230">
        <v>13320025</v>
      </c>
      <c r="CO196" s="230">
        <v>11927425</v>
      </c>
      <c r="CP196" s="230">
        <v>1392600</v>
      </c>
      <c r="CQ196" s="229">
        <v>0.1168</v>
      </c>
      <c r="CR196" s="230">
        <v>9109125</v>
      </c>
      <c r="CS196" s="230">
        <v>8487150</v>
      </c>
      <c r="CT196" s="230">
        <v>621975</v>
      </c>
      <c r="CU196" s="229">
        <v>7.3300000000000004E-2</v>
      </c>
      <c r="CV196" s="230">
        <v>61245500</v>
      </c>
      <c r="CW196" s="230">
        <v>57933150</v>
      </c>
      <c r="CX196" s="230">
        <v>3312350</v>
      </c>
      <c r="CY196" s="229">
        <v>5.7200000000000001E-2</v>
      </c>
      <c r="CZ196" s="228">
        <v>26.8</v>
      </c>
      <c r="DA196" s="228">
        <v>26.84</v>
      </c>
      <c r="DB196" s="228">
        <v>-0.04</v>
      </c>
      <c r="DC196" s="228">
        <v>-0.04</v>
      </c>
      <c r="DD196" s="228">
        <v>27.95</v>
      </c>
      <c r="DE196" s="228">
        <v>28.02</v>
      </c>
      <c r="DF196" s="228">
        <v>-1.1499999999999999</v>
      </c>
      <c r="DG196" s="228">
        <v>-7.0000000000000007E-2</v>
      </c>
      <c r="DH196" s="228">
        <v>27.27</v>
      </c>
      <c r="DI196" s="228">
        <v>26.92</v>
      </c>
      <c r="DJ196" s="228">
        <v>0.35</v>
      </c>
      <c r="DK196" s="228">
        <v>0.35</v>
      </c>
      <c r="DL196" s="228">
        <v>25.85</v>
      </c>
      <c r="DM196" s="228">
        <v>26.65</v>
      </c>
      <c r="DN196" s="228">
        <v>-0.8</v>
      </c>
      <c r="DO196" s="228">
        <v>-0.8</v>
      </c>
      <c r="DP196" s="228">
        <v>0.68</v>
      </c>
      <c r="DQ196" s="228">
        <v>0.71</v>
      </c>
      <c r="DR196" s="228">
        <v>-0.03</v>
      </c>
      <c r="DS196" s="229">
        <v>-4.2299999999999997E-2</v>
      </c>
      <c r="DT196" s="231">
        <v>2600</v>
      </c>
      <c r="DU196" s="231">
        <v>2400</v>
      </c>
      <c r="DV196" s="228">
        <v>0.5</v>
      </c>
      <c r="DW196" s="228">
        <v>0.43</v>
      </c>
      <c r="DX196" s="228">
        <v>7.0000000000000007E-2</v>
      </c>
      <c r="DY196" s="229">
        <v>0.1628</v>
      </c>
      <c r="DZ196" s="229">
        <v>8.2000000000000003E-2</v>
      </c>
      <c r="EA196" s="230">
        <v>2763400</v>
      </c>
      <c r="EB196" s="229">
        <v>-8.0000000000000004E-4</v>
      </c>
      <c r="EC196" s="229">
        <v>8.2000000000000003E-2</v>
      </c>
      <c r="ED196" s="228">
        <v>-1.91</v>
      </c>
      <c r="EE196" s="229">
        <v>-8.0000000000000004E-4</v>
      </c>
      <c r="EF196" s="230">
        <v>1660290</v>
      </c>
      <c r="EG196" s="230">
        <v>1360972</v>
      </c>
      <c r="EH196" s="229">
        <v>0.21990000000000001</v>
      </c>
      <c r="EI196" s="229">
        <v>0.51590000000000003</v>
      </c>
      <c r="EJ196" s="231">
        <v>397028.44</v>
      </c>
      <c r="EK196" s="231">
        <v>186730.2</v>
      </c>
      <c r="EL196" s="231">
        <v>117712.29</v>
      </c>
      <c r="EM196" s="231">
        <v>15451</v>
      </c>
      <c r="EN196" s="231">
        <v>701470.93</v>
      </c>
      <c r="EO196" s="231">
        <v>335361.8</v>
      </c>
      <c r="EP196" s="231">
        <v>366109.13</v>
      </c>
      <c r="EQ196" s="229">
        <v>1.0916999999999999</v>
      </c>
      <c r="ER196" s="231">
        <v>341404</v>
      </c>
      <c r="ES196" s="231">
        <v>227207</v>
      </c>
      <c r="ET196" s="231">
        <v>935201</v>
      </c>
      <c r="EU196" s="231">
        <v>153229333</v>
      </c>
      <c r="EV196" s="231">
        <v>1503812</v>
      </c>
      <c r="EW196" s="231">
        <v>1426700</v>
      </c>
      <c r="EX196" s="231">
        <v>77112</v>
      </c>
      <c r="EY196" s="229">
        <v>5.3999999999999999E-2</v>
      </c>
      <c r="EZ196" s="229">
        <v>0.3997</v>
      </c>
      <c r="FA196" s="227" t="s">
        <v>566</v>
      </c>
      <c r="FB196" s="161">
        <f t="shared" si="5"/>
        <v>0</v>
      </c>
    </row>
    <row r="197" spans="1:158" ht="17.25" thickBot="1" x14ac:dyDescent="0.3">
      <c r="A197" s="226">
        <v>46148</v>
      </c>
      <c r="B197" s="227" t="s">
        <v>221</v>
      </c>
      <c r="C197" s="227" t="s">
        <v>296</v>
      </c>
      <c r="D197" s="228">
        <v>600</v>
      </c>
      <c r="E197" s="231">
        <v>1466</v>
      </c>
      <c r="F197" s="231">
        <v>1453.8</v>
      </c>
      <c r="G197" s="228">
        <v>12.2</v>
      </c>
      <c r="H197" s="229">
        <v>8.3999999999999995E-3</v>
      </c>
      <c r="I197" s="231">
        <v>1466.7</v>
      </c>
      <c r="J197" s="231">
        <v>1452.2</v>
      </c>
      <c r="K197" s="228">
        <v>14.5</v>
      </c>
      <c r="L197" s="229">
        <v>0.01</v>
      </c>
      <c r="M197" s="231">
        <v>1466</v>
      </c>
      <c r="N197" s="231">
        <v>1453.8</v>
      </c>
      <c r="O197" s="228">
        <v>12.2</v>
      </c>
      <c r="P197" s="229">
        <v>8.3999999999999995E-3</v>
      </c>
      <c r="Q197" s="231">
        <v>1466.5</v>
      </c>
      <c r="R197" s="231">
        <v>1454.4</v>
      </c>
      <c r="S197" s="228">
        <v>12.1</v>
      </c>
      <c r="T197" s="229">
        <v>8.3000000000000001E-3</v>
      </c>
      <c r="U197" s="231">
        <v>1471</v>
      </c>
      <c r="V197" s="231">
        <v>1455.9</v>
      </c>
      <c r="W197" s="228">
        <v>15.1</v>
      </c>
      <c r="X197" s="229">
        <v>1.04E-2</v>
      </c>
      <c r="Y197" s="228">
        <v>-0.7</v>
      </c>
      <c r="Z197" s="228">
        <v>1.6</v>
      </c>
      <c r="AA197" s="228">
        <v>-2.2999999999999998</v>
      </c>
      <c r="AB197" s="229">
        <v>-5.0000000000000001E-4</v>
      </c>
      <c r="AC197" s="228">
        <v>-0.7</v>
      </c>
      <c r="AD197" s="228">
        <v>1.6</v>
      </c>
      <c r="AE197" s="228">
        <v>-2.2999999999999998</v>
      </c>
      <c r="AF197" s="229">
        <v>-5.0000000000000001E-4</v>
      </c>
      <c r="AG197" s="228">
        <v>-0.2</v>
      </c>
      <c r="AH197" s="228">
        <v>2.2000000000000002</v>
      </c>
      <c r="AI197" s="228">
        <v>-2.4</v>
      </c>
      <c r="AJ197" s="229">
        <v>-1E-4</v>
      </c>
      <c r="AK197" s="228">
        <v>4.3</v>
      </c>
      <c r="AL197" s="228">
        <v>3.7</v>
      </c>
      <c r="AM197" s="228">
        <v>0.6</v>
      </c>
      <c r="AN197" s="229">
        <v>2.8999999999999998E-3</v>
      </c>
      <c r="AO197" s="231">
        <v>1466.94</v>
      </c>
      <c r="AP197" s="231">
        <v>1465.98</v>
      </c>
      <c r="AQ197" s="228">
        <v>0</v>
      </c>
      <c r="AR197" s="230">
        <v>1257000</v>
      </c>
      <c r="AS197" s="230">
        <v>1239000</v>
      </c>
      <c r="AT197" s="230">
        <v>18000</v>
      </c>
      <c r="AU197" s="229">
        <v>1.4500000000000001E-2</v>
      </c>
      <c r="AV197" s="230">
        <v>1173000</v>
      </c>
      <c r="AW197" s="230">
        <v>1147200</v>
      </c>
      <c r="AX197" s="230">
        <v>25800</v>
      </c>
      <c r="AY197" s="229">
        <v>2.2499999999999999E-2</v>
      </c>
      <c r="AZ197" s="230">
        <v>81000</v>
      </c>
      <c r="BA197" s="230">
        <v>84600</v>
      </c>
      <c r="BB197" s="230">
        <v>-3600</v>
      </c>
      <c r="BC197" s="229">
        <v>-4.2599999999999999E-2</v>
      </c>
      <c r="BD197" s="230">
        <v>3000</v>
      </c>
      <c r="BE197" s="230">
        <v>7200</v>
      </c>
      <c r="BF197" s="230">
        <v>-4200</v>
      </c>
      <c r="BG197" s="229">
        <v>-0.58330000000000004</v>
      </c>
      <c r="BH197" s="230">
        <v>5304600</v>
      </c>
      <c r="BI197" s="230">
        <v>3868200</v>
      </c>
      <c r="BJ197" s="230">
        <v>1436400</v>
      </c>
      <c r="BK197" s="229">
        <v>0.37130000000000002</v>
      </c>
      <c r="BL197" s="230">
        <v>2579400</v>
      </c>
      <c r="BM197" s="230">
        <v>2253600</v>
      </c>
      <c r="BN197" s="230">
        <v>325800</v>
      </c>
      <c r="BO197" s="229">
        <v>0.14460000000000001</v>
      </c>
      <c r="BP197" s="230">
        <v>9141000</v>
      </c>
      <c r="BQ197" s="230">
        <v>7360800</v>
      </c>
      <c r="BR197" s="230">
        <v>1780200</v>
      </c>
      <c r="BS197" s="229">
        <v>0.24179999999999999</v>
      </c>
      <c r="BT197" s="230">
        <v>909242</v>
      </c>
      <c r="BU197" s="230">
        <v>726691</v>
      </c>
      <c r="BV197" s="230">
        <v>182551</v>
      </c>
      <c r="BW197" s="229">
        <v>0.25119999999999998</v>
      </c>
      <c r="BX197" s="230">
        <v>19644000</v>
      </c>
      <c r="BY197" s="230">
        <v>19503600</v>
      </c>
      <c r="BZ197" s="230">
        <v>140400</v>
      </c>
      <c r="CA197" s="229">
        <v>7.1999999999999998E-3</v>
      </c>
      <c r="CB197" s="230">
        <v>19119000</v>
      </c>
      <c r="CC197" s="230">
        <v>19005000</v>
      </c>
      <c r="CD197" s="230">
        <v>114000</v>
      </c>
      <c r="CE197" s="229">
        <v>6.0000000000000001E-3</v>
      </c>
      <c r="CF197" s="230">
        <v>504000</v>
      </c>
      <c r="CG197" s="230">
        <v>480600</v>
      </c>
      <c r="CH197" s="230">
        <v>23400</v>
      </c>
      <c r="CI197" s="229">
        <v>4.87E-2</v>
      </c>
      <c r="CJ197" s="230">
        <v>21000</v>
      </c>
      <c r="CK197" s="230">
        <v>18000</v>
      </c>
      <c r="CL197" s="230">
        <v>3000</v>
      </c>
      <c r="CM197" s="229">
        <v>0.16669999999999999</v>
      </c>
      <c r="CN197" s="230">
        <v>6663600</v>
      </c>
      <c r="CO197" s="230">
        <v>6577800</v>
      </c>
      <c r="CP197" s="230">
        <v>85800</v>
      </c>
      <c r="CQ197" s="229">
        <v>1.2999999999999999E-2</v>
      </c>
      <c r="CR197" s="230">
        <v>4504800</v>
      </c>
      <c r="CS197" s="230">
        <v>4633200</v>
      </c>
      <c r="CT197" s="230">
        <v>-128400</v>
      </c>
      <c r="CU197" s="229">
        <v>-2.7699999999999999E-2</v>
      </c>
      <c r="CV197" s="230">
        <v>30812400</v>
      </c>
      <c r="CW197" s="230">
        <v>30714600</v>
      </c>
      <c r="CX197" s="230">
        <v>97800</v>
      </c>
      <c r="CY197" s="229">
        <v>3.2000000000000002E-3</v>
      </c>
      <c r="CZ197" s="228">
        <v>27.81</v>
      </c>
      <c r="DA197" s="228">
        <v>28.37</v>
      </c>
      <c r="DB197" s="228">
        <v>-0.56000000000000005</v>
      </c>
      <c r="DC197" s="228">
        <v>-0.56000000000000005</v>
      </c>
      <c r="DD197" s="228">
        <v>32.08</v>
      </c>
      <c r="DE197" s="228">
        <v>32.130000000000003</v>
      </c>
      <c r="DF197" s="228">
        <v>-4.2699999999999996</v>
      </c>
      <c r="DG197" s="228">
        <v>-0.05</v>
      </c>
      <c r="DH197" s="228">
        <v>27.6</v>
      </c>
      <c r="DI197" s="228">
        <v>27.97</v>
      </c>
      <c r="DJ197" s="228">
        <v>-0.37</v>
      </c>
      <c r="DK197" s="228">
        <v>-0.37</v>
      </c>
      <c r="DL197" s="228">
        <v>28.24</v>
      </c>
      <c r="DM197" s="228">
        <v>29.06</v>
      </c>
      <c r="DN197" s="228">
        <v>-0.82</v>
      </c>
      <c r="DO197" s="228">
        <v>-0.82</v>
      </c>
      <c r="DP197" s="228">
        <v>0.68</v>
      </c>
      <c r="DQ197" s="228">
        <v>0.7</v>
      </c>
      <c r="DR197" s="228">
        <v>-0.02</v>
      </c>
      <c r="DS197" s="229">
        <v>-2.86E-2</v>
      </c>
      <c r="DT197" s="231">
        <v>1500</v>
      </c>
      <c r="DU197" s="231">
        <v>1500</v>
      </c>
      <c r="DV197" s="228">
        <v>0.49</v>
      </c>
      <c r="DW197" s="228">
        <v>0.57999999999999996</v>
      </c>
      <c r="DX197" s="228">
        <v>-0.09</v>
      </c>
      <c r="DY197" s="229">
        <v>-0.1552</v>
      </c>
      <c r="DZ197" s="229">
        <v>2.6700000000000002E-2</v>
      </c>
      <c r="EA197" s="230">
        <v>498600</v>
      </c>
      <c r="EB197" s="229">
        <v>2.9999999999999997E-4</v>
      </c>
      <c r="EC197" s="229">
        <v>2.6700000000000002E-2</v>
      </c>
      <c r="ED197" s="228">
        <v>-0.96</v>
      </c>
      <c r="EE197" s="229">
        <v>-6.9999999999999999E-4</v>
      </c>
      <c r="EF197" s="230">
        <v>402563</v>
      </c>
      <c r="EG197" s="230">
        <v>252380</v>
      </c>
      <c r="EH197" s="229">
        <v>0.59509999999999996</v>
      </c>
      <c r="EI197" s="229">
        <v>0.44269999999999998</v>
      </c>
      <c r="EJ197" s="231">
        <v>81623.06</v>
      </c>
      <c r="EK197" s="231">
        <v>37012.160000000003</v>
      </c>
      <c r="EL197" s="231">
        <v>18438.68</v>
      </c>
      <c r="EM197" s="231">
        <v>5035</v>
      </c>
      <c r="EN197" s="231">
        <v>137073.9</v>
      </c>
      <c r="EO197" s="231">
        <v>110127.93</v>
      </c>
      <c r="EP197" s="231">
        <v>26945.97</v>
      </c>
      <c r="EQ197" s="229">
        <v>0.2447</v>
      </c>
      <c r="ER197" s="231">
        <v>101285</v>
      </c>
      <c r="ES197" s="231">
        <v>62918</v>
      </c>
      <c r="ET197" s="231">
        <v>287985</v>
      </c>
      <c r="EU197" s="231">
        <v>95553300</v>
      </c>
      <c r="EV197" s="231">
        <v>452188</v>
      </c>
      <c r="EW197" s="231">
        <v>448094</v>
      </c>
      <c r="EX197" s="231">
        <v>4094</v>
      </c>
      <c r="EY197" s="229">
        <v>9.1000000000000004E-3</v>
      </c>
      <c r="EZ197" s="229">
        <v>0.32250000000000001</v>
      </c>
      <c r="FA197" s="227" t="s">
        <v>555</v>
      </c>
      <c r="FB197" s="161">
        <f t="shared" si="5"/>
        <v>0</v>
      </c>
    </row>
    <row r="198" spans="1:158" ht="17.25" thickBot="1" x14ac:dyDescent="0.3">
      <c r="A198" s="226">
        <v>46148</v>
      </c>
      <c r="B198" s="227" t="s">
        <v>184</v>
      </c>
      <c r="C198" s="227" t="s">
        <v>594</v>
      </c>
      <c r="D198" s="228">
        <v>200</v>
      </c>
      <c r="E198" s="231">
        <v>2937.7</v>
      </c>
      <c r="F198" s="231">
        <v>2949.9</v>
      </c>
      <c r="G198" s="228">
        <v>-12.2</v>
      </c>
      <c r="H198" s="229">
        <v>-4.1000000000000003E-3</v>
      </c>
      <c r="I198" s="231">
        <v>2917</v>
      </c>
      <c r="J198" s="231">
        <v>2932.4</v>
      </c>
      <c r="K198" s="228">
        <v>-15.4</v>
      </c>
      <c r="L198" s="229">
        <v>-5.3E-3</v>
      </c>
      <c r="M198" s="231">
        <v>2937.7</v>
      </c>
      <c r="N198" s="231">
        <v>2949.9</v>
      </c>
      <c r="O198" s="228">
        <v>-12.2</v>
      </c>
      <c r="P198" s="229">
        <v>-4.1000000000000003E-3</v>
      </c>
      <c r="Q198" s="231">
        <v>2952.6</v>
      </c>
      <c r="R198" s="231">
        <v>2971.5</v>
      </c>
      <c r="S198" s="228">
        <v>-18.899999999999999</v>
      </c>
      <c r="T198" s="229">
        <v>-6.4000000000000003E-3</v>
      </c>
      <c r="U198" s="231">
        <v>2951.6</v>
      </c>
      <c r="V198" s="231">
        <v>2951.6</v>
      </c>
      <c r="W198" s="228">
        <v>0</v>
      </c>
      <c r="X198" s="229">
        <v>0</v>
      </c>
      <c r="Y198" s="228">
        <v>20.7</v>
      </c>
      <c r="Z198" s="228">
        <v>17.5</v>
      </c>
      <c r="AA198" s="228">
        <v>3.2</v>
      </c>
      <c r="AB198" s="229">
        <v>7.1000000000000004E-3</v>
      </c>
      <c r="AC198" s="228">
        <v>20.7</v>
      </c>
      <c r="AD198" s="228">
        <v>17.5</v>
      </c>
      <c r="AE198" s="228">
        <v>3.2</v>
      </c>
      <c r="AF198" s="229">
        <v>7.1000000000000004E-3</v>
      </c>
      <c r="AG198" s="228">
        <v>35.6</v>
      </c>
      <c r="AH198" s="228">
        <v>39.1</v>
      </c>
      <c r="AI198" s="228">
        <v>-3.5</v>
      </c>
      <c r="AJ198" s="229">
        <v>1.2200000000000001E-2</v>
      </c>
      <c r="AK198" s="228">
        <v>34.6</v>
      </c>
      <c r="AL198" s="228">
        <v>19.2</v>
      </c>
      <c r="AM198" s="228">
        <v>15.4</v>
      </c>
      <c r="AN198" s="229">
        <v>1.1900000000000001E-2</v>
      </c>
      <c r="AO198" s="231">
        <v>2923.58</v>
      </c>
      <c r="AP198" s="231">
        <v>2930.82</v>
      </c>
      <c r="AQ198" s="228">
        <v>0</v>
      </c>
      <c r="AR198" s="230">
        <v>437200</v>
      </c>
      <c r="AS198" s="230">
        <v>130800</v>
      </c>
      <c r="AT198" s="230">
        <v>306400</v>
      </c>
      <c r="AU198" s="229">
        <v>2.3424999999999998</v>
      </c>
      <c r="AV198" s="230">
        <v>427400</v>
      </c>
      <c r="AW198" s="230">
        <v>125400</v>
      </c>
      <c r="AX198" s="230">
        <v>302000</v>
      </c>
      <c r="AY198" s="229">
        <v>2.4083000000000001</v>
      </c>
      <c r="AZ198" s="230">
        <v>9800</v>
      </c>
      <c r="BA198" s="230">
        <v>5400</v>
      </c>
      <c r="BB198" s="230">
        <v>4400</v>
      </c>
      <c r="BC198" s="229">
        <v>0.81479999999999997</v>
      </c>
      <c r="BD198" s="228">
        <v>0</v>
      </c>
      <c r="BE198" s="228">
        <v>0</v>
      </c>
      <c r="BF198" s="228">
        <v>0</v>
      </c>
      <c r="BG198" s="229">
        <v>0</v>
      </c>
      <c r="BH198" s="230">
        <v>405400</v>
      </c>
      <c r="BI198" s="230">
        <v>228000</v>
      </c>
      <c r="BJ198" s="230">
        <v>177400</v>
      </c>
      <c r="BK198" s="229">
        <v>0.77810000000000001</v>
      </c>
      <c r="BL198" s="230">
        <v>115600</v>
      </c>
      <c r="BM198" s="230">
        <v>37400</v>
      </c>
      <c r="BN198" s="230">
        <v>78200</v>
      </c>
      <c r="BO198" s="229">
        <v>2.0909</v>
      </c>
      <c r="BP198" s="230">
        <v>958200</v>
      </c>
      <c r="BQ198" s="230">
        <v>396200</v>
      </c>
      <c r="BR198" s="230">
        <v>562000</v>
      </c>
      <c r="BS198" s="229">
        <v>1.4185000000000001</v>
      </c>
      <c r="BT198" s="230">
        <v>447846</v>
      </c>
      <c r="BU198" s="230">
        <v>110835</v>
      </c>
      <c r="BV198" s="230">
        <v>337011</v>
      </c>
      <c r="BW198" s="229">
        <v>3.0407000000000002</v>
      </c>
      <c r="BX198" s="230">
        <v>2424600</v>
      </c>
      <c r="BY198" s="230">
        <v>2442600</v>
      </c>
      <c r="BZ198" s="230">
        <v>-18000</v>
      </c>
      <c r="CA198" s="229">
        <v>-7.4000000000000003E-3</v>
      </c>
      <c r="CB198" s="230">
        <v>2401400</v>
      </c>
      <c r="CC198" s="230">
        <v>2421600</v>
      </c>
      <c r="CD198" s="230">
        <v>-20200</v>
      </c>
      <c r="CE198" s="229">
        <v>-8.3000000000000001E-3</v>
      </c>
      <c r="CF198" s="230">
        <v>22600</v>
      </c>
      <c r="CG198" s="230">
        <v>20400</v>
      </c>
      <c r="CH198" s="230">
        <v>2200</v>
      </c>
      <c r="CI198" s="229">
        <v>0.10780000000000001</v>
      </c>
      <c r="CJ198" s="228">
        <v>600</v>
      </c>
      <c r="CK198" s="228">
        <v>600</v>
      </c>
      <c r="CL198" s="228">
        <v>0</v>
      </c>
      <c r="CM198" s="229">
        <v>0</v>
      </c>
      <c r="CN198" s="230">
        <v>431600</v>
      </c>
      <c r="CO198" s="230">
        <v>335000</v>
      </c>
      <c r="CP198" s="230">
        <v>96600</v>
      </c>
      <c r="CQ198" s="229">
        <v>0.28839999999999999</v>
      </c>
      <c r="CR198" s="230">
        <v>238600</v>
      </c>
      <c r="CS198" s="230">
        <v>226800</v>
      </c>
      <c r="CT198" s="230">
        <v>11800</v>
      </c>
      <c r="CU198" s="229">
        <v>5.1999999999999998E-2</v>
      </c>
      <c r="CV198" s="230">
        <v>3094800</v>
      </c>
      <c r="CW198" s="230">
        <v>3004400</v>
      </c>
      <c r="CX198" s="230">
        <v>90400</v>
      </c>
      <c r="CY198" s="229">
        <v>3.0099999999999998E-2</v>
      </c>
      <c r="CZ198" s="228">
        <v>38.9</v>
      </c>
      <c r="DA198" s="228">
        <v>39.520000000000003</v>
      </c>
      <c r="DB198" s="228">
        <v>-0.62</v>
      </c>
      <c r="DC198" s="228">
        <v>-0.62</v>
      </c>
      <c r="DD198" s="228">
        <v>44.05</v>
      </c>
      <c r="DE198" s="228">
        <v>44.16</v>
      </c>
      <c r="DF198" s="228">
        <v>-5.15</v>
      </c>
      <c r="DG198" s="228">
        <v>-0.11</v>
      </c>
      <c r="DH198" s="228">
        <v>38.33</v>
      </c>
      <c r="DI198" s="228">
        <v>39.200000000000003</v>
      </c>
      <c r="DJ198" s="228">
        <v>-0.87</v>
      </c>
      <c r="DK198" s="228">
        <v>-0.87</v>
      </c>
      <c r="DL198" s="228">
        <v>40.92</v>
      </c>
      <c r="DM198" s="228">
        <v>41.49</v>
      </c>
      <c r="DN198" s="228">
        <v>-0.56999999999999995</v>
      </c>
      <c r="DO198" s="228">
        <v>-0.56999999999999995</v>
      </c>
      <c r="DP198" s="228">
        <v>0.55000000000000004</v>
      </c>
      <c r="DQ198" s="228">
        <v>0.68</v>
      </c>
      <c r="DR198" s="228">
        <v>-0.13</v>
      </c>
      <c r="DS198" s="229">
        <v>-0.19120000000000001</v>
      </c>
      <c r="DT198" s="231">
        <v>3200</v>
      </c>
      <c r="DU198" s="231">
        <v>2900</v>
      </c>
      <c r="DV198" s="228">
        <v>0.28999999999999998</v>
      </c>
      <c r="DW198" s="228">
        <v>0.16</v>
      </c>
      <c r="DX198" s="228">
        <v>0.13</v>
      </c>
      <c r="DY198" s="229">
        <v>0.8125</v>
      </c>
      <c r="DZ198" s="229">
        <v>9.5999999999999992E-3</v>
      </c>
      <c r="EA198" s="230">
        <v>21000</v>
      </c>
      <c r="EB198" s="229">
        <v>5.1000000000000004E-3</v>
      </c>
      <c r="EC198" s="229">
        <v>9.5999999999999992E-3</v>
      </c>
      <c r="ED198" s="228">
        <v>7.24</v>
      </c>
      <c r="EE198" s="229">
        <v>2.5000000000000001E-3</v>
      </c>
      <c r="EF198" s="230">
        <v>269012</v>
      </c>
      <c r="EG198" s="230">
        <v>51501</v>
      </c>
      <c r="EH198" s="229">
        <v>4.2233999999999998</v>
      </c>
      <c r="EI198" s="229">
        <v>0.60070000000000001</v>
      </c>
      <c r="EJ198" s="231">
        <v>12686.76</v>
      </c>
      <c r="EK198" s="231">
        <v>3452.26</v>
      </c>
      <c r="EL198" s="231">
        <v>12782.6</v>
      </c>
      <c r="EM198" s="228">
        <v>968</v>
      </c>
      <c r="EN198" s="231">
        <v>28921.62</v>
      </c>
      <c r="EO198" s="231">
        <v>12235.49</v>
      </c>
      <c r="EP198" s="231">
        <v>16686.13</v>
      </c>
      <c r="EQ198" s="229">
        <v>1.3636999999999999</v>
      </c>
      <c r="ER198" s="231">
        <v>13520</v>
      </c>
      <c r="ES198" s="231">
        <v>6725</v>
      </c>
      <c r="ET198" s="231">
        <v>71231</v>
      </c>
      <c r="EU198" s="231">
        <v>16239060</v>
      </c>
      <c r="EV198" s="231">
        <v>91477</v>
      </c>
      <c r="EW198" s="231">
        <v>88972</v>
      </c>
      <c r="EX198" s="231">
        <v>2505</v>
      </c>
      <c r="EY198" s="229">
        <v>2.8199999999999999E-2</v>
      </c>
      <c r="EZ198" s="229">
        <v>0.19059999999999999</v>
      </c>
      <c r="FA198" s="227" t="s">
        <v>567</v>
      </c>
      <c r="FB198" s="161">
        <f t="shared" si="5"/>
        <v>0</v>
      </c>
    </row>
    <row r="199" spans="1:158" ht="17.25" thickBot="1" x14ac:dyDescent="0.3">
      <c r="A199" s="226">
        <v>46148</v>
      </c>
      <c r="B199" s="227" t="s">
        <v>168</v>
      </c>
      <c r="C199" s="227" t="s">
        <v>297</v>
      </c>
      <c r="D199" s="228">
        <v>175</v>
      </c>
      <c r="E199" s="231">
        <v>4375.8999999999996</v>
      </c>
      <c r="F199" s="231">
        <v>4387.6000000000004</v>
      </c>
      <c r="G199" s="228">
        <v>-11.7</v>
      </c>
      <c r="H199" s="229">
        <v>-2.7000000000000001E-3</v>
      </c>
      <c r="I199" s="231">
        <v>4359.6000000000004</v>
      </c>
      <c r="J199" s="231">
        <v>4373.6000000000004</v>
      </c>
      <c r="K199" s="228">
        <v>-14</v>
      </c>
      <c r="L199" s="229">
        <v>-3.2000000000000002E-3</v>
      </c>
      <c r="M199" s="231">
        <v>4375.8999999999996</v>
      </c>
      <c r="N199" s="231">
        <v>4387.6000000000004</v>
      </c>
      <c r="O199" s="228">
        <v>-11.7</v>
      </c>
      <c r="P199" s="229">
        <v>-2.7000000000000001E-3</v>
      </c>
      <c r="Q199" s="231">
        <v>4404.3</v>
      </c>
      <c r="R199" s="231">
        <v>4417.1000000000004</v>
      </c>
      <c r="S199" s="228">
        <v>-12.8</v>
      </c>
      <c r="T199" s="229">
        <v>-2.8999999999999998E-3</v>
      </c>
      <c r="U199" s="231">
        <v>4418.3999999999996</v>
      </c>
      <c r="V199" s="231">
        <v>4427.3999999999996</v>
      </c>
      <c r="W199" s="228">
        <v>-9</v>
      </c>
      <c r="X199" s="229">
        <v>-2E-3</v>
      </c>
      <c r="Y199" s="228">
        <v>16.3</v>
      </c>
      <c r="Z199" s="228">
        <v>14</v>
      </c>
      <c r="AA199" s="228">
        <v>2.2999999999999998</v>
      </c>
      <c r="AB199" s="229">
        <v>3.7000000000000002E-3</v>
      </c>
      <c r="AC199" s="228">
        <v>16.3</v>
      </c>
      <c r="AD199" s="228">
        <v>14</v>
      </c>
      <c r="AE199" s="228">
        <v>2.2999999999999998</v>
      </c>
      <c r="AF199" s="229">
        <v>3.7000000000000002E-3</v>
      </c>
      <c r="AG199" s="228">
        <v>44.7</v>
      </c>
      <c r="AH199" s="228">
        <v>43.5</v>
      </c>
      <c r="AI199" s="228">
        <v>1.2</v>
      </c>
      <c r="AJ199" s="229">
        <v>1.03E-2</v>
      </c>
      <c r="AK199" s="228">
        <v>58.8</v>
      </c>
      <c r="AL199" s="228">
        <v>53.8</v>
      </c>
      <c r="AM199" s="228">
        <v>5</v>
      </c>
      <c r="AN199" s="229">
        <v>1.35E-2</v>
      </c>
      <c r="AO199" s="231">
        <v>4350.3599999999997</v>
      </c>
      <c r="AP199" s="231">
        <v>4376.7</v>
      </c>
      <c r="AQ199" s="228">
        <v>0</v>
      </c>
      <c r="AR199" s="230">
        <v>1805825</v>
      </c>
      <c r="AS199" s="230">
        <v>841925</v>
      </c>
      <c r="AT199" s="230">
        <v>963900</v>
      </c>
      <c r="AU199" s="229">
        <v>1.1449</v>
      </c>
      <c r="AV199" s="230">
        <v>1758050</v>
      </c>
      <c r="AW199" s="230">
        <v>813225</v>
      </c>
      <c r="AX199" s="230">
        <v>944825</v>
      </c>
      <c r="AY199" s="229">
        <v>1.1617999999999999</v>
      </c>
      <c r="AZ199" s="230">
        <v>40775</v>
      </c>
      <c r="BA199" s="230">
        <v>25550</v>
      </c>
      <c r="BB199" s="230">
        <v>15225</v>
      </c>
      <c r="BC199" s="229">
        <v>0.59589999999999999</v>
      </c>
      <c r="BD199" s="230">
        <v>7000</v>
      </c>
      <c r="BE199" s="230">
        <v>3150</v>
      </c>
      <c r="BF199" s="230">
        <v>3850</v>
      </c>
      <c r="BG199" s="229">
        <v>1.2222</v>
      </c>
      <c r="BH199" s="230">
        <v>4741625</v>
      </c>
      <c r="BI199" s="230">
        <v>2225300</v>
      </c>
      <c r="BJ199" s="230">
        <v>2516325</v>
      </c>
      <c r="BK199" s="229">
        <v>1.1308</v>
      </c>
      <c r="BL199" s="230">
        <v>3023825</v>
      </c>
      <c r="BM199" s="230">
        <v>1404900</v>
      </c>
      <c r="BN199" s="230">
        <v>1618925</v>
      </c>
      <c r="BO199" s="229">
        <v>1.1523000000000001</v>
      </c>
      <c r="BP199" s="230">
        <v>9571275</v>
      </c>
      <c r="BQ199" s="230">
        <v>4472125</v>
      </c>
      <c r="BR199" s="230">
        <v>5099150</v>
      </c>
      <c r="BS199" s="229">
        <v>1.1402000000000001</v>
      </c>
      <c r="BT199" s="230">
        <v>1495439</v>
      </c>
      <c r="BU199" s="230">
        <v>867118</v>
      </c>
      <c r="BV199" s="230">
        <v>628321</v>
      </c>
      <c r="BW199" s="229">
        <v>0.72460000000000002</v>
      </c>
      <c r="BX199" s="230">
        <v>8702400</v>
      </c>
      <c r="BY199" s="230">
        <v>8943200</v>
      </c>
      <c r="BZ199" s="230">
        <v>-240800</v>
      </c>
      <c r="CA199" s="229">
        <v>-2.69E-2</v>
      </c>
      <c r="CB199" s="230">
        <v>7783125</v>
      </c>
      <c r="CC199" s="230">
        <v>8043700</v>
      </c>
      <c r="CD199" s="230">
        <v>-260575</v>
      </c>
      <c r="CE199" s="229">
        <v>-3.2399999999999998E-2</v>
      </c>
      <c r="CF199" s="230">
        <v>909300</v>
      </c>
      <c r="CG199" s="230">
        <v>893025</v>
      </c>
      <c r="CH199" s="230">
        <v>16275</v>
      </c>
      <c r="CI199" s="229">
        <v>1.8200000000000001E-2</v>
      </c>
      <c r="CJ199" s="230">
        <v>9975</v>
      </c>
      <c r="CK199" s="230">
        <v>6475</v>
      </c>
      <c r="CL199" s="230">
        <v>3500</v>
      </c>
      <c r="CM199" s="229">
        <v>0.54049999999999998</v>
      </c>
      <c r="CN199" s="230">
        <v>1934275</v>
      </c>
      <c r="CO199" s="230">
        <v>1728825</v>
      </c>
      <c r="CP199" s="230">
        <v>205450</v>
      </c>
      <c r="CQ199" s="229">
        <v>0.1188</v>
      </c>
      <c r="CR199" s="230">
        <v>1351525</v>
      </c>
      <c r="CS199" s="230">
        <v>1360450</v>
      </c>
      <c r="CT199" s="230">
        <v>-8925</v>
      </c>
      <c r="CU199" s="229">
        <v>-6.6E-3</v>
      </c>
      <c r="CV199" s="230">
        <v>11988200</v>
      </c>
      <c r="CW199" s="230">
        <v>12032475</v>
      </c>
      <c r="CX199" s="230">
        <v>-44275</v>
      </c>
      <c r="CY199" s="229">
        <v>-3.7000000000000002E-3</v>
      </c>
      <c r="CZ199" s="228">
        <v>27.53</v>
      </c>
      <c r="DA199" s="228">
        <v>27.55</v>
      </c>
      <c r="DB199" s="228">
        <v>-0.02</v>
      </c>
      <c r="DC199" s="228">
        <v>-0.02</v>
      </c>
      <c r="DD199" s="228">
        <v>27.31</v>
      </c>
      <c r="DE199" s="228">
        <v>27.37</v>
      </c>
      <c r="DF199" s="228">
        <v>0.22</v>
      </c>
      <c r="DG199" s="228">
        <v>-0.06</v>
      </c>
      <c r="DH199" s="228">
        <v>27.3</v>
      </c>
      <c r="DI199" s="228">
        <v>27.12</v>
      </c>
      <c r="DJ199" s="228">
        <v>0.18</v>
      </c>
      <c r="DK199" s="228">
        <v>0.18</v>
      </c>
      <c r="DL199" s="228">
        <v>27.9</v>
      </c>
      <c r="DM199" s="228">
        <v>28.21</v>
      </c>
      <c r="DN199" s="228">
        <v>-0.31</v>
      </c>
      <c r="DO199" s="228">
        <v>-0.31</v>
      </c>
      <c r="DP199" s="228">
        <v>0.7</v>
      </c>
      <c r="DQ199" s="228">
        <v>0.79</v>
      </c>
      <c r="DR199" s="228">
        <v>-0.09</v>
      </c>
      <c r="DS199" s="229">
        <v>-0.1139</v>
      </c>
      <c r="DT199" s="231">
        <v>4500</v>
      </c>
      <c r="DU199" s="231">
        <v>4000</v>
      </c>
      <c r="DV199" s="228">
        <v>0.64</v>
      </c>
      <c r="DW199" s="228">
        <v>0.63</v>
      </c>
      <c r="DX199" s="228">
        <v>0.01</v>
      </c>
      <c r="DY199" s="229">
        <v>1.5900000000000001E-2</v>
      </c>
      <c r="DZ199" s="229">
        <v>0.1056</v>
      </c>
      <c r="EA199" s="230">
        <v>899500</v>
      </c>
      <c r="EB199" s="229">
        <v>6.4999999999999997E-3</v>
      </c>
      <c r="EC199" s="229">
        <v>0.1056</v>
      </c>
      <c r="ED199" s="228">
        <v>26.34</v>
      </c>
      <c r="EE199" s="229">
        <v>6.1000000000000004E-3</v>
      </c>
      <c r="EF199" s="230">
        <v>846175</v>
      </c>
      <c r="EG199" s="230">
        <v>452300</v>
      </c>
      <c r="EH199" s="229">
        <v>0.87080000000000002</v>
      </c>
      <c r="EI199" s="229">
        <v>0.56579999999999997</v>
      </c>
      <c r="EJ199" s="231">
        <v>217078.43</v>
      </c>
      <c r="EK199" s="231">
        <v>131497.38</v>
      </c>
      <c r="EL199" s="231">
        <v>78574.39</v>
      </c>
      <c r="EM199" s="231">
        <v>4256</v>
      </c>
      <c r="EN199" s="231">
        <v>427150.2</v>
      </c>
      <c r="EO199" s="231">
        <v>200308.41</v>
      </c>
      <c r="EP199" s="231">
        <v>226841.79</v>
      </c>
      <c r="EQ199" s="229">
        <v>1.1325000000000001</v>
      </c>
      <c r="ER199" s="231">
        <v>88313</v>
      </c>
      <c r="ES199" s="231">
        <v>56507</v>
      </c>
      <c r="ET199" s="231">
        <v>381071</v>
      </c>
      <c r="EU199" s="231">
        <v>41744334</v>
      </c>
      <c r="EV199" s="231">
        <v>525891</v>
      </c>
      <c r="EW199" s="231">
        <v>528630</v>
      </c>
      <c r="EX199" s="231">
        <v>-2739</v>
      </c>
      <c r="EY199" s="229">
        <v>-5.1999999999999998E-3</v>
      </c>
      <c r="EZ199" s="229">
        <v>0.28720000000000001</v>
      </c>
      <c r="FA199" s="227" t="s">
        <v>567</v>
      </c>
      <c r="FB199" s="161">
        <f t="shared" si="5"/>
        <v>0</v>
      </c>
    </row>
    <row r="200" spans="1:158" ht="17.25" thickBot="1" x14ac:dyDescent="0.3">
      <c r="A200" s="226">
        <v>46148</v>
      </c>
      <c r="B200" s="227" t="s">
        <v>162</v>
      </c>
      <c r="C200" s="227" t="s">
        <v>685</v>
      </c>
      <c r="D200" s="228">
        <v>800</v>
      </c>
      <c r="E200" s="228">
        <v>360.35</v>
      </c>
      <c r="F200" s="228">
        <v>342.1</v>
      </c>
      <c r="G200" s="228">
        <v>18.25</v>
      </c>
      <c r="H200" s="229">
        <v>5.33E-2</v>
      </c>
      <c r="I200" s="228">
        <v>358.15</v>
      </c>
      <c r="J200" s="228">
        <v>340.15</v>
      </c>
      <c r="K200" s="228">
        <v>18</v>
      </c>
      <c r="L200" s="229">
        <v>5.2900000000000003E-2</v>
      </c>
      <c r="M200" s="228">
        <v>360.35</v>
      </c>
      <c r="N200" s="228">
        <v>342.1</v>
      </c>
      <c r="O200" s="228">
        <v>18.25</v>
      </c>
      <c r="P200" s="229">
        <v>5.33E-2</v>
      </c>
      <c r="Q200" s="228">
        <v>359.65</v>
      </c>
      <c r="R200" s="228">
        <v>343.05</v>
      </c>
      <c r="S200" s="228">
        <v>16.600000000000001</v>
      </c>
      <c r="T200" s="229">
        <v>4.8399999999999999E-2</v>
      </c>
      <c r="U200" s="228">
        <v>360.9</v>
      </c>
      <c r="V200" s="228">
        <v>344.2</v>
      </c>
      <c r="W200" s="228">
        <v>16.7</v>
      </c>
      <c r="X200" s="229">
        <v>4.8500000000000001E-2</v>
      </c>
      <c r="Y200" s="228">
        <v>2.2000000000000002</v>
      </c>
      <c r="Z200" s="228">
        <v>1.95</v>
      </c>
      <c r="AA200" s="228">
        <v>0.25</v>
      </c>
      <c r="AB200" s="229">
        <v>6.1000000000000004E-3</v>
      </c>
      <c r="AC200" s="228">
        <v>2.2000000000000002</v>
      </c>
      <c r="AD200" s="228">
        <v>1.95</v>
      </c>
      <c r="AE200" s="228">
        <v>0.25</v>
      </c>
      <c r="AF200" s="229">
        <v>6.1000000000000004E-3</v>
      </c>
      <c r="AG200" s="228">
        <v>1.5</v>
      </c>
      <c r="AH200" s="228">
        <v>2.9</v>
      </c>
      <c r="AI200" s="228">
        <v>-1.4</v>
      </c>
      <c r="AJ200" s="229">
        <v>4.1999999999999997E-3</v>
      </c>
      <c r="AK200" s="228">
        <v>2.75</v>
      </c>
      <c r="AL200" s="228">
        <v>4.05</v>
      </c>
      <c r="AM200" s="228">
        <v>-1.3</v>
      </c>
      <c r="AN200" s="229">
        <v>7.7000000000000002E-3</v>
      </c>
      <c r="AO200" s="228">
        <v>353.58</v>
      </c>
      <c r="AP200" s="228">
        <v>354.58</v>
      </c>
      <c r="AQ200" s="228">
        <v>0</v>
      </c>
      <c r="AR200" s="230">
        <v>15792000</v>
      </c>
      <c r="AS200" s="230">
        <v>8472000</v>
      </c>
      <c r="AT200" s="230">
        <v>7320000</v>
      </c>
      <c r="AU200" s="229">
        <v>0.86399999999999999</v>
      </c>
      <c r="AV200" s="230">
        <v>13897600</v>
      </c>
      <c r="AW200" s="230">
        <v>7614400</v>
      </c>
      <c r="AX200" s="230">
        <v>6283200</v>
      </c>
      <c r="AY200" s="229">
        <v>0.82520000000000004</v>
      </c>
      <c r="AZ200" s="230">
        <v>1728800</v>
      </c>
      <c r="BA200" s="230">
        <v>831200</v>
      </c>
      <c r="BB200" s="230">
        <v>897600</v>
      </c>
      <c r="BC200" s="229">
        <v>1.0799000000000001</v>
      </c>
      <c r="BD200" s="230">
        <v>165600</v>
      </c>
      <c r="BE200" s="230">
        <v>26400</v>
      </c>
      <c r="BF200" s="230">
        <v>139200</v>
      </c>
      <c r="BG200" s="229">
        <v>5.2727000000000004</v>
      </c>
      <c r="BH200" s="230">
        <v>43420800</v>
      </c>
      <c r="BI200" s="230">
        <v>22308800</v>
      </c>
      <c r="BJ200" s="230">
        <v>21112000</v>
      </c>
      <c r="BK200" s="229">
        <v>0.94640000000000002</v>
      </c>
      <c r="BL200" s="230">
        <v>19964800</v>
      </c>
      <c r="BM200" s="230">
        <v>7100800</v>
      </c>
      <c r="BN200" s="230">
        <v>12864000</v>
      </c>
      <c r="BO200" s="229">
        <v>1.8116000000000001</v>
      </c>
      <c r="BP200" s="230">
        <v>79177600</v>
      </c>
      <c r="BQ200" s="230">
        <v>37881600</v>
      </c>
      <c r="BR200" s="230">
        <v>41296000</v>
      </c>
      <c r="BS200" s="229">
        <v>1.0901000000000001</v>
      </c>
      <c r="BT200" s="230">
        <v>11036464</v>
      </c>
      <c r="BU200" s="230">
        <v>6084755</v>
      </c>
      <c r="BV200" s="230">
        <v>4951709</v>
      </c>
      <c r="BW200" s="229">
        <v>0.81379999999999997</v>
      </c>
      <c r="BX200" s="230">
        <v>69032000</v>
      </c>
      <c r="BY200" s="230">
        <v>69904800</v>
      </c>
      <c r="BZ200" s="230">
        <v>-872800</v>
      </c>
      <c r="CA200" s="229">
        <v>-1.2500000000000001E-2</v>
      </c>
      <c r="CB200" s="230">
        <v>64087200</v>
      </c>
      <c r="CC200" s="230">
        <v>64803200</v>
      </c>
      <c r="CD200" s="230">
        <v>-716000</v>
      </c>
      <c r="CE200" s="229">
        <v>-1.0999999999999999E-2</v>
      </c>
      <c r="CF200" s="230">
        <v>4501600</v>
      </c>
      <c r="CG200" s="230">
        <v>4594400</v>
      </c>
      <c r="CH200" s="230">
        <v>-92800</v>
      </c>
      <c r="CI200" s="229">
        <v>-2.0199999999999999E-2</v>
      </c>
      <c r="CJ200" s="230">
        <v>443200</v>
      </c>
      <c r="CK200" s="230">
        <v>507200</v>
      </c>
      <c r="CL200" s="230">
        <v>-64000</v>
      </c>
      <c r="CM200" s="229">
        <v>-0.12620000000000001</v>
      </c>
      <c r="CN200" s="230">
        <v>26910400</v>
      </c>
      <c r="CO200" s="230">
        <v>25924000</v>
      </c>
      <c r="CP200" s="230">
        <v>986400</v>
      </c>
      <c r="CQ200" s="229">
        <v>3.7999999999999999E-2</v>
      </c>
      <c r="CR200" s="230">
        <v>17364800</v>
      </c>
      <c r="CS200" s="230">
        <v>16437600</v>
      </c>
      <c r="CT200" s="230">
        <v>927200</v>
      </c>
      <c r="CU200" s="229">
        <v>5.6399999999999999E-2</v>
      </c>
      <c r="CV200" s="230">
        <v>113307200</v>
      </c>
      <c r="CW200" s="230">
        <v>112266400</v>
      </c>
      <c r="CX200" s="230">
        <v>1040800</v>
      </c>
      <c r="CY200" s="229">
        <v>9.2999999999999992E-3</v>
      </c>
      <c r="CZ200" s="228">
        <v>36.72</v>
      </c>
      <c r="DA200" s="228">
        <v>37.950000000000003</v>
      </c>
      <c r="DB200" s="228">
        <v>-1.23</v>
      </c>
      <c r="DC200" s="228">
        <v>-1.23</v>
      </c>
      <c r="DD200" s="228">
        <v>38.46</v>
      </c>
      <c r="DE200" s="228">
        <v>37.909999999999997</v>
      </c>
      <c r="DF200" s="228">
        <v>-1.74</v>
      </c>
      <c r="DG200" s="228">
        <v>0.55000000000000004</v>
      </c>
      <c r="DH200" s="228">
        <v>35.79</v>
      </c>
      <c r="DI200" s="228">
        <v>37.770000000000003</v>
      </c>
      <c r="DJ200" s="228">
        <v>-1.98</v>
      </c>
      <c r="DK200" s="228">
        <v>-1.98</v>
      </c>
      <c r="DL200" s="228">
        <v>38.729999999999997</v>
      </c>
      <c r="DM200" s="228">
        <v>38.520000000000003</v>
      </c>
      <c r="DN200" s="228">
        <v>0.21</v>
      </c>
      <c r="DO200" s="228">
        <v>0.21</v>
      </c>
      <c r="DP200" s="228">
        <v>0.65</v>
      </c>
      <c r="DQ200" s="228">
        <v>0.63</v>
      </c>
      <c r="DR200" s="228">
        <v>0.02</v>
      </c>
      <c r="DS200" s="229">
        <v>3.1699999999999999E-2</v>
      </c>
      <c r="DT200" s="228">
        <v>400</v>
      </c>
      <c r="DU200" s="228">
        <v>350</v>
      </c>
      <c r="DV200" s="228">
        <v>0.46</v>
      </c>
      <c r="DW200" s="228">
        <v>0.32</v>
      </c>
      <c r="DX200" s="228">
        <v>0.14000000000000001</v>
      </c>
      <c r="DY200" s="229">
        <v>0.4375</v>
      </c>
      <c r="DZ200" s="229">
        <v>7.1599999999999997E-2</v>
      </c>
      <c r="EA200" s="230">
        <v>5101600</v>
      </c>
      <c r="EB200" s="229">
        <v>-1.9E-3</v>
      </c>
      <c r="EC200" s="229">
        <v>7.1599999999999997E-2</v>
      </c>
      <c r="ED200" s="228">
        <v>1</v>
      </c>
      <c r="EE200" s="229">
        <v>2.8E-3</v>
      </c>
      <c r="EF200" s="230">
        <v>4473362</v>
      </c>
      <c r="EG200" s="230">
        <v>2222317</v>
      </c>
      <c r="EH200" s="229">
        <v>1.0128999999999999</v>
      </c>
      <c r="EI200" s="229">
        <v>0.40529999999999999</v>
      </c>
      <c r="EJ200" s="231">
        <v>163423.32999999999</v>
      </c>
      <c r="EK200" s="231">
        <v>68786.27</v>
      </c>
      <c r="EL200" s="231">
        <v>56442.37</v>
      </c>
      <c r="EM200" s="231">
        <v>17228</v>
      </c>
      <c r="EN200" s="231">
        <v>288651.96999999997</v>
      </c>
      <c r="EO200" s="231">
        <v>136379.12</v>
      </c>
      <c r="EP200" s="231">
        <v>152272.85</v>
      </c>
      <c r="EQ200" s="229">
        <v>1.1165</v>
      </c>
      <c r="ER200" s="231">
        <v>98923</v>
      </c>
      <c r="ES200" s="231">
        <v>59933</v>
      </c>
      <c r="ET200" s="231">
        <v>248728</v>
      </c>
      <c r="EU200" s="231">
        <v>317244234</v>
      </c>
      <c r="EV200" s="231">
        <v>407584</v>
      </c>
      <c r="EW200" s="231">
        <v>390398</v>
      </c>
      <c r="EX200" s="231">
        <v>17186</v>
      </c>
      <c r="EY200" s="229">
        <v>4.3999999999999997E-2</v>
      </c>
      <c r="EZ200" s="229">
        <v>0.35720000000000002</v>
      </c>
      <c r="FA200" s="227" t="s">
        <v>691</v>
      </c>
      <c r="FB200" s="161">
        <f t="shared" si="5"/>
        <v>0</v>
      </c>
    </row>
    <row r="201" spans="1:158" ht="17.25" thickBot="1" x14ac:dyDescent="0.3">
      <c r="A201" s="226">
        <v>46148</v>
      </c>
      <c r="B201" s="227" t="s">
        <v>170</v>
      </c>
      <c r="C201" s="227" t="s">
        <v>298</v>
      </c>
      <c r="D201" s="228">
        <v>125</v>
      </c>
      <c r="E201" s="231">
        <v>4372.3</v>
      </c>
      <c r="F201" s="231">
        <v>4291.7</v>
      </c>
      <c r="G201" s="228">
        <v>80.599999999999994</v>
      </c>
      <c r="H201" s="229">
        <v>1.8800000000000001E-2</v>
      </c>
      <c r="I201" s="231">
        <v>4358.3</v>
      </c>
      <c r="J201" s="231">
        <v>4275.1000000000004</v>
      </c>
      <c r="K201" s="228">
        <v>83.2</v>
      </c>
      <c r="L201" s="229">
        <v>1.95E-2</v>
      </c>
      <c r="M201" s="231">
        <v>4372.3</v>
      </c>
      <c r="N201" s="231">
        <v>4291.7</v>
      </c>
      <c r="O201" s="228">
        <v>80.599999999999994</v>
      </c>
      <c r="P201" s="229">
        <v>1.8800000000000001E-2</v>
      </c>
      <c r="Q201" s="231">
        <v>4372.8999999999996</v>
      </c>
      <c r="R201" s="231">
        <v>4294.3999999999996</v>
      </c>
      <c r="S201" s="228">
        <v>78.5</v>
      </c>
      <c r="T201" s="229">
        <v>1.83E-2</v>
      </c>
      <c r="U201" s="228">
        <v>0</v>
      </c>
      <c r="V201" s="228">
        <v>0</v>
      </c>
      <c r="W201" s="228">
        <v>0</v>
      </c>
      <c r="X201" s="229">
        <v>0</v>
      </c>
      <c r="Y201" s="228">
        <v>14</v>
      </c>
      <c r="Z201" s="228">
        <v>16.600000000000001</v>
      </c>
      <c r="AA201" s="228">
        <v>-2.6</v>
      </c>
      <c r="AB201" s="229">
        <v>3.2000000000000002E-3</v>
      </c>
      <c r="AC201" s="228">
        <v>14</v>
      </c>
      <c r="AD201" s="228">
        <v>16.600000000000001</v>
      </c>
      <c r="AE201" s="228">
        <v>-2.6</v>
      </c>
      <c r="AF201" s="229">
        <v>3.2000000000000002E-3</v>
      </c>
      <c r="AG201" s="228">
        <v>14.6</v>
      </c>
      <c r="AH201" s="228">
        <v>19.3</v>
      </c>
      <c r="AI201" s="228">
        <v>-4.7</v>
      </c>
      <c r="AJ201" s="229">
        <v>3.3E-3</v>
      </c>
      <c r="AK201" s="228">
        <v>0</v>
      </c>
      <c r="AL201" s="228">
        <v>0</v>
      </c>
      <c r="AM201" s="228">
        <v>0</v>
      </c>
      <c r="AN201" s="229">
        <v>0</v>
      </c>
      <c r="AO201" s="231">
        <v>4366.1499999999996</v>
      </c>
      <c r="AP201" s="231">
        <v>4375.8999999999996</v>
      </c>
      <c r="AQ201" s="228">
        <v>0</v>
      </c>
      <c r="AR201" s="230">
        <v>416125</v>
      </c>
      <c r="AS201" s="230">
        <v>318000</v>
      </c>
      <c r="AT201" s="230">
        <v>98125</v>
      </c>
      <c r="AU201" s="229">
        <v>0.30859999999999999</v>
      </c>
      <c r="AV201" s="230">
        <v>406500</v>
      </c>
      <c r="AW201" s="230">
        <v>315500</v>
      </c>
      <c r="AX201" s="230">
        <v>91000</v>
      </c>
      <c r="AY201" s="229">
        <v>0.28839999999999999</v>
      </c>
      <c r="AZ201" s="230">
        <v>9625</v>
      </c>
      <c r="BA201" s="230">
        <v>2500</v>
      </c>
      <c r="BB201" s="230">
        <v>7125</v>
      </c>
      <c r="BC201" s="229">
        <v>2.85</v>
      </c>
      <c r="BD201" s="228">
        <v>0</v>
      </c>
      <c r="BE201" s="228">
        <v>0</v>
      </c>
      <c r="BF201" s="228">
        <v>0</v>
      </c>
      <c r="BG201" s="229">
        <v>0</v>
      </c>
      <c r="BH201" s="230">
        <v>1030375</v>
      </c>
      <c r="BI201" s="230">
        <v>403750</v>
      </c>
      <c r="BJ201" s="230">
        <v>626625</v>
      </c>
      <c r="BK201" s="229">
        <v>1.552</v>
      </c>
      <c r="BL201" s="230">
        <v>261125</v>
      </c>
      <c r="BM201" s="230">
        <v>119125</v>
      </c>
      <c r="BN201" s="230">
        <v>142000</v>
      </c>
      <c r="BO201" s="229">
        <v>1.1919999999999999</v>
      </c>
      <c r="BP201" s="230">
        <v>1707625</v>
      </c>
      <c r="BQ201" s="230">
        <v>840875</v>
      </c>
      <c r="BR201" s="230">
        <v>866750</v>
      </c>
      <c r="BS201" s="229">
        <v>1.0307999999999999</v>
      </c>
      <c r="BT201" s="230">
        <v>345580</v>
      </c>
      <c r="BU201" s="230">
        <v>182186</v>
      </c>
      <c r="BV201" s="230">
        <v>163394</v>
      </c>
      <c r="BW201" s="229">
        <v>0.89690000000000003</v>
      </c>
      <c r="BX201" s="230">
        <v>2596625</v>
      </c>
      <c r="BY201" s="230">
        <v>2592750</v>
      </c>
      <c r="BZ201" s="230">
        <v>3875</v>
      </c>
      <c r="CA201" s="229">
        <v>1.5E-3</v>
      </c>
      <c r="CB201" s="230">
        <v>2587875</v>
      </c>
      <c r="CC201" s="230">
        <v>2586375</v>
      </c>
      <c r="CD201" s="230">
        <v>1500</v>
      </c>
      <c r="CE201" s="229">
        <v>5.9999999999999995E-4</v>
      </c>
      <c r="CF201" s="230">
        <v>8750</v>
      </c>
      <c r="CG201" s="230">
        <v>6375</v>
      </c>
      <c r="CH201" s="230">
        <v>2375</v>
      </c>
      <c r="CI201" s="229">
        <v>0.3725</v>
      </c>
      <c r="CJ201" s="228">
        <v>0</v>
      </c>
      <c r="CK201" s="228">
        <v>0</v>
      </c>
      <c r="CL201" s="228">
        <v>0</v>
      </c>
      <c r="CM201" s="229">
        <v>0</v>
      </c>
      <c r="CN201" s="230">
        <v>424875</v>
      </c>
      <c r="CO201" s="230">
        <v>414500</v>
      </c>
      <c r="CP201" s="230">
        <v>10375</v>
      </c>
      <c r="CQ201" s="229">
        <v>2.5000000000000001E-2</v>
      </c>
      <c r="CR201" s="230">
        <v>216625</v>
      </c>
      <c r="CS201" s="230">
        <v>194125</v>
      </c>
      <c r="CT201" s="230">
        <v>22500</v>
      </c>
      <c r="CU201" s="229">
        <v>0.1159</v>
      </c>
      <c r="CV201" s="230">
        <v>3238125</v>
      </c>
      <c r="CW201" s="230">
        <v>3201375</v>
      </c>
      <c r="CX201" s="230">
        <v>36750</v>
      </c>
      <c r="CY201" s="229">
        <v>1.15E-2</v>
      </c>
      <c r="CZ201" s="228">
        <v>25.57</v>
      </c>
      <c r="DA201" s="228">
        <v>26.68</v>
      </c>
      <c r="DB201" s="228">
        <v>-1.1100000000000001</v>
      </c>
      <c r="DC201" s="228">
        <v>-1.1100000000000001</v>
      </c>
      <c r="DD201" s="228">
        <v>25.46</v>
      </c>
      <c r="DE201" s="228">
        <v>25.39</v>
      </c>
      <c r="DF201" s="228">
        <v>0.11</v>
      </c>
      <c r="DG201" s="228">
        <v>7.0000000000000007E-2</v>
      </c>
      <c r="DH201" s="228">
        <v>25.33</v>
      </c>
      <c r="DI201" s="228">
        <v>26.28</v>
      </c>
      <c r="DJ201" s="228">
        <v>-0.95</v>
      </c>
      <c r="DK201" s="228">
        <v>-0.95</v>
      </c>
      <c r="DL201" s="228">
        <v>26.53</v>
      </c>
      <c r="DM201" s="228">
        <v>28.02</v>
      </c>
      <c r="DN201" s="228">
        <v>-1.49</v>
      </c>
      <c r="DO201" s="228">
        <v>-1.49</v>
      </c>
      <c r="DP201" s="228">
        <v>0.51</v>
      </c>
      <c r="DQ201" s="228">
        <v>0.47</v>
      </c>
      <c r="DR201" s="228">
        <v>0.04</v>
      </c>
      <c r="DS201" s="229">
        <v>8.5099999999999995E-2</v>
      </c>
      <c r="DT201" s="231">
        <v>4600</v>
      </c>
      <c r="DU201" s="231">
        <v>4300</v>
      </c>
      <c r="DV201" s="228">
        <v>0.25</v>
      </c>
      <c r="DW201" s="228">
        <v>0.3</v>
      </c>
      <c r="DX201" s="228">
        <v>-0.05</v>
      </c>
      <c r="DY201" s="229">
        <v>-0.16669999999999999</v>
      </c>
      <c r="DZ201" s="229">
        <v>3.3999999999999998E-3</v>
      </c>
      <c r="EA201" s="230">
        <v>6375</v>
      </c>
      <c r="EB201" s="229">
        <v>1E-4</v>
      </c>
      <c r="EC201" s="229">
        <v>3.3999999999999998E-3</v>
      </c>
      <c r="ED201" s="228">
        <v>9.75</v>
      </c>
      <c r="EE201" s="229">
        <v>2.2000000000000001E-3</v>
      </c>
      <c r="EF201" s="230">
        <v>147883</v>
      </c>
      <c r="EG201" s="230">
        <v>90032</v>
      </c>
      <c r="EH201" s="229">
        <v>0.64259999999999995</v>
      </c>
      <c r="EI201" s="229">
        <v>0.4279</v>
      </c>
      <c r="EJ201" s="231">
        <v>46702.83</v>
      </c>
      <c r="EK201" s="231">
        <v>11192.32</v>
      </c>
      <c r="EL201" s="231">
        <v>18169.560000000001</v>
      </c>
      <c r="EM201" s="231">
        <v>2429</v>
      </c>
      <c r="EN201" s="231">
        <v>76064.710000000006</v>
      </c>
      <c r="EO201" s="231">
        <v>36856.69</v>
      </c>
      <c r="EP201" s="231">
        <v>39208.019999999997</v>
      </c>
      <c r="EQ201" s="229">
        <v>1.0638000000000001</v>
      </c>
      <c r="ER201" s="231">
        <v>18986</v>
      </c>
      <c r="ES201" s="231">
        <v>9037</v>
      </c>
      <c r="ET201" s="231">
        <v>113532</v>
      </c>
      <c r="EU201" s="231">
        <v>10726004</v>
      </c>
      <c r="EV201" s="231">
        <v>141555</v>
      </c>
      <c r="EW201" s="231">
        <v>137654</v>
      </c>
      <c r="EX201" s="231">
        <v>3901</v>
      </c>
      <c r="EY201" s="229">
        <v>2.8299999999999999E-2</v>
      </c>
      <c r="EZ201" s="229">
        <v>0.3019</v>
      </c>
      <c r="FA201" s="227" t="s">
        <v>555</v>
      </c>
      <c r="FB201" s="161">
        <f t="shared" si="5"/>
        <v>0</v>
      </c>
    </row>
    <row r="202" spans="1:158" ht="17.25" thickBot="1" x14ac:dyDescent="0.3">
      <c r="A202" s="226">
        <v>46148</v>
      </c>
      <c r="B202" s="227" t="s">
        <v>197</v>
      </c>
      <c r="C202" s="227" t="s">
        <v>482</v>
      </c>
      <c r="D202" s="228">
        <v>100</v>
      </c>
      <c r="E202" s="231">
        <v>4318.1000000000004</v>
      </c>
      <c r="F202" s="231">
        <v>4143.6000000000004</v>
      </c>
      <c r="G202" s="228">
        <v>174.5</v>
      </c>
      <c r="H202" s="229">
        <v>4.2099999999999999E-2</v>
      </c>
      <c r="I202" s="231">
        <v>4289.8</v>
      </c>
      <c r="J202" s="231">
        <v>4135.3999999999996</v>
      </c>
      <c r="K202" s="228">
        <v>154.4</v>
      </c>
      <c r="L202" s="229">
        <v>3.73E-2</v>
      </c>
      <c r="M202" s="231">
        <v>4318.1000000000004</v>
      </c>
      <c r="N202" s="231">
        <v>4143.6000000000004</v>
      </c>
      <c r="O202" s="228">
        <v>174.5</v>
      </c>
      <c r="P202" s="229">
        <v>4.2099999999999999E-2</v>
      </c>
      <c r="Q202" s="231">
        <v>4302.3999999999996</v>
      </c>
      <c r="R202" s="231">
        <v>4123.8</v>
      </c>
      <c r="S202" s="228">
        <v>178.6</v>
      </c>
      <c r="T202" s="229">
        <v>4.3299999999999998E-2</v>
      </c>
      <c r="U202" s="231">
        <v>4305</v>
      </c>
      <c r="V202" s="231">
        <v>4125.7</v>
      </c>
      <c r="W202" s="228">
        <v>179.3</v>
      </c>
      <c r="X202" s="229">
        <v>4.3499999999999997E-2</v>
      </c>
      <c r="Y202" s="228">
        <v>28.3</v>
      </c>
      <c r="Z202" s="228">
        <v>8.1999999999999993</v>
      </c>
      <c r="AA202" s="228">
        <v>20.100000000000001</v>
      </c>
      <c r="AB202" s="229">
        <v>6.6E-3</v>
      </c>
      <c r="AC202" s="228">
        <v>28.3</v>
      </c>
      <c r="AD202" s="228">
        <v>8.1999999999999993</v>
      </c>
      <c r="AE202" s="228">
        <v>20.100000000000001</v>
      </c>
      <c r="AF202" s="229">
        <v>6.6E-3</v>
      </c>
      <c r="AG202" s="228">
        <v>12.6</v>
      </c>
      <c r="AH202" s="228">
        <v>-11.6</v>
      </c>
      <c r="AI202" s="228">
        <v>24.2</v>
      </c>
      <c r="AJ202" s="229">
        <v>2.8999999999999998E-3</v>
      </c>
      <c r="AK202" s="228">
        <v>15.2</v>
      </c>
      <c r="AL202" s="228">
        <v>-9.6999999999999993</v>
      </c>
      <c r="AM202" s="228">
        <v>24.9</v>
      </c>
      <c r="AN202" s="229">
        <v>3.5000000000000001E-3</v>
      </c>
      <c r="AO202" s="231">
        <v>4280.58</v>
      </c>
      <c r="AP202" s="231">
        <v>4265.9799999999996</v>
      </c>
      <c r="AQ202" s="228">
        <v>0</v>
      </c>
      <c r="AR202" s="230">
        <v>1224900</v>
      </c>
      <c r="AS202" s="230">
        <v>590600</v>
      </c>
      <c r="AT202" s="230">
        <v>634300</v>
      </c>
      <c r="AU202" s="229">
        <v>1.0740000000000001</v>
      </c>
      <c r="AV202" s="230">
        <v>1112900</v>
      </c>
      <c r="AW202" s="230">
        <v>529600</v>
      </c>
      <c r="AX202" s="230">
        <v>583300</v>
      </c>
      <c r="AY202" s="229">
        <v>1.1013999999999999</v>
      </c>
      <c r="AZ202" s="230">
        <v>103400</v>
      </c>
      <c r="BA202" s="230">
        <v>57800</v>
      </c>
      <c r="BB202" s="230">
        <v>45600</v>
      </c>
      <c r="BC202" s="229">
        <v>0.78890000000000005</v>
      </c>
      <c r="BD202" s="230">
        <v>8600</v>
      </c>
      <c r="BE202" s="230">
        <v>3200</v>
      </c>
      <c r="BF202" s="230">
        <v>5400</v>
      </c>
      <c r="BG202" s="229">
        <v>1.6875</v>
      </c>
      <c r="BH202" s="230">
        <v>8127000</v>
      </c>
      <c r="BI202" s="230">
        <v>2020400</v>
      </c>
      <c r="BJ202" s="230">
        <v>6106600</v>
      </c>
      <c r="BK202" s="229">
        <v>3.0225</v>
      </c>
      <c r="BL202" s="230">
        <v>2691500</v>
      </c>
      <c r="BM202" s="230">
        <v>965200</v>
      </c>
      <c r="BN202" s="230">
        <v>1726300</v>
      </c>
      <c r="BO202" s="229">
        <v>1.7885</v>
      </c>
      <c r="BP202" s="230">
        <v>12043400</v>
      </c>
      <c r="BQ202" s="230">
        <v>3576200</v>
      </c>
      <c r="BR202" s="230">
        <v>8467200</v>
      </c>
      <c r="BS202" s="229">
        <v>2.3677000000000001</v>
      </c>
      <c r="BT202" s="230">
        <v>1455345</v>
      </c>
      <c r="BU202" s="230">
        <v>490894</v>
      </c>
      <c r="BV202" s="230">
        <v>964451</v>
      </c>
      <c r="BW202" s="229">
        <v>1.9646999999999999</v>
      </c>
      <c r="BX202" s="230">
        <v>7057500</v>
      </c>
      <c r="BY202" s="230">
        <v>7100600</v>
      </c>
      <c r="BZ202" s="230">
        <v>-43100</v>
      </c>
      <c r="CA202" s="229">
        <v>-6.1000000000000004E-3</v>
      </c>
      <c r="CB202" s="230">
        <v>6712500</v>
      </c>
      <c r="CC202" s="230">
        <v>6760700</v>
      </c>
      <c r="CD202" s="230">
        <v>-48200</v>
      </c>
      <c r="CE202" s="229">
        <v>-7.1000000000000004E-3</v>
      </c>
      <c r="CF202" s="230">
        <v>327600</v>
      </c>
      <c r="CG202" s="230">
        <v>322500</v>
      </c>
      <c r="CH202" s="230">
        <v>5100</v>
      </c>
      <c r="CI202" s="229">
        <v>1.5800000000000002E-2</v>
      </c>
      <c r="CJ202" s="230">
        <v>17400</v>
      </c>
      <c r="CK202" s="230">
        <v>17400</v>
      </c>
      <c r="CL202" s="228">
        <v>0</v>
      </c>
      <c r="CM202" s="229">
        <v>0</v>
      </c>
      <c r="CN202" s="230">
        <v>3237200</v>
      </c>
      <c r="CO202" s="230">
        <v>3552400</v>
      </c>
      <c r="CP202" s="230">
        <v>-315200</v>
      </c>
      <c r="CQ202" s="229">
        <v>-8.8700000000000001E-2</v>
      </c>
      <c r="CR202" s="230">
        <v>1466500</v>
      </c>
      <c r="CS202" s="230">
        <v>1375050</v>
      </c>
      <c r="CT202" s="230">
        <v>91450</v>
      </c>
      <c r="CU202" s="229">
        <v>6.6500000000000004E-2</v>
      </c>
      <c r="CV202" s="230">
        <v>11761200</v>
      </c>
      <c r="CW202" s="230">
        <v>12028050</v>
      </c>
      <c r="CX202" s="230">
        <v>-266850</v>
      </c>
      <c r="CY202" s="229">
        <v>-2.2200000000000001E-2</v>
      </c>
      <c r="CZ202" s="228">
        <v>33.06</v>
      </c>
      <c r="DA202" s="228">
        <v>33.630000000000003</v>
      </c>
      <c r="DB202" s="228">
        <v>-0.56999999999999995</v>
      </c>
      <c r="DC202" s="228">
        <v>-0.56999999999999995</v>
      </c>
      <c r="DD202" s="228">
        <v>44.23</v>
      </c>
      <c r="DE202" s="228">
        <v>43.99</v>
      </c>
      <c r="DF202" s="228">
        <v>-11.17</v>
      </c>
      <c r="DG202" s="228">
        <v>0.24</v>
      </c>
      <c r="DH202" s="228">
        <v>32.909999999999997</v>
      </c>
      <c r="DI202" s="228">
        <v>33.71</v>
      </c>
      <c r="DJ202" s="228">
        <v>-0.8</v>
      </c>
      <c r="DK202" s="228">
        <v>-0.8</v>
      </c>
      <c r="DL202" s="228">
        <v>33.51</v>
      </c>
      <c r="DM202" s="228">
        <v>33.47</v>
      </c>
      <c r="DN202" s="228">
        <v>0.04</v>
      </c>
      <c r="DO202" s="228">
        <v>0.04</v>
      </c>
      <c r="DP202" s="228">
        <v>0.45</v>
      </c>
      <c r="DQ202" s="228">
        <v>0.39</v>
      </c>
      <c r="DR202" s="228">
        <v>0.06</v>
      </c>
      <c r="DS202" s="229">
        <v>0.15379999999999999</v>
      </c>
      <c r="DT202" s="231">
        <v>4500</v>
      </c>
      <c r="DU202" s="231">
        <v>4200</v>
      </c>
      <c r="DV202" s="228">
        <v>0.33</v>
      </c>
      <c r="DW202" s="228">
        <v>0.48</v>
      </c>
      <c r="DX202" s="228">
        <v>-0.15</v>
      </c>
      <c r="DY202" s="229">
        <v>-0.3125</v>
      </c>
      <c r="DZ202" s="229">
        <v>4.8899999999999999E-2</v>
      </c>
      <c r="EA202" s="230">
        <v>339900</v>
      </c>
      <c r="EB202" s="229">
        <v>-3.5999999999999999E-3</v>
      </c>
      <c r="EC202" s="229">
        <v>4.8899999999999999E-2</v>
      </c>
      <c r="ED202" s="228">
        <v>-14.6</v>
      </c>
      <c r="EE202" s="229">
        <v>-3.3999999999999998E-3</v>
      </c>
      <c r="EF202" s="230">
        <v>573817</v>
      </c>
      <c r="EG202" s="230">
        <v>167361</v>
      </c>
      <c r="EH202" s="229">
        <v>2.4285999999999999</v>
      </c>
      <c r="EI202" s="229">
        <v>0.39429999999999998</v>
      </c>
      <c r="EJ202" s="231">
        <v>366555.41</v>
      </c>
      <c r="EK202" s="231">
        <v>112001.67</v>
      </c>
      <c r="EL202" s="231">
        <v>52599.199999999997</v>
      </c>
      <c r="EM202" s="231">
        <v>7192</v>
      </c>
      <c r="EN202" s="231">
        <v>531156.28</v>
      </c>
      <c r="EO202" s="231">
        <v>153321.59</v>
      </c>
      <c r="EP202" s="231">
        <v>377834.69</v>
      </c>
      <c r="EQ202" s="229">
        <v>2.4643000000000002</v>
      </c>
      <c r="ER202" s="231">
        <v>143572</v>
      </c>
      <c r="ES202" s="231">
        <v>59592</v>
      </c>
      <c r="ET202" s="231">
        <v>304696</v>
      </c>
      <c r="EU202" s="231">
        <v>33590487</v>
      </c>
      <c r="EV202" s="231">
        <v>507860</v>
      </c>
      <c r="EW202" s="231">
        <v>507032</v>
      </c>
      <c r="EX202" s="228">
        <v>828</v>
      </c>
      <c r="EY202" s="229">
        <v>1.6000000000000001E-3</v>
      </c>
      <c r="EZ202" s="229">
        <v>0.35010000000000002</v>
      </c>
      <c r="FA202" s="227" t="s">
        <v>691</v>
      </c>
      <c r="FB202" s="161">
        <f t="shared" si="5"/>
        <v>0</v>
      </c>
    </row>
    <row r="203" spans="1:158" ht="17.25" thickBot="1" x14ac:dyDescent="0.3">
      <c r="A203" s="226">
        <v>46148</v>
      </c>
      <c r="B203" s="227" t="s">
        <v>162</v>
      </c>
      <c r="C203" s="227" t="s">
        <v>300</v>
      </c>
      <c r="D203" s="228">
        <v>175</v>
      </c>
      <c r="E203" s="231">
        <v>3633</v>
      </c>
      <c r="F203" s="231">
        <v>3543.3</v>
      </c>
      <c r="G203" s="228">
        <v>89.7</v>
      </c>
      <c r="H203" s="229">
        <v>2.53E-2</v>
      </c>
      <c r="I203" s="231">
        <v>3617.9</v>
      </c>
      <c r="J203" s="231">
        <v>3534.4</v>
      </c>
      <c r="K203" s="228">
        <v>83.5</v>
      </c>
      <c r="L203" s="229">
        <v>2.3599999999999999E-2</v>
      </c>
      <c r="M203" s="231">
        <v>3633</v>
      </c>
      <c r="N203" s="231">
        <v>3543.3</v>
      </c>
      <c r="O203" s="228">
        <v>89.7</v>
      </c>
      <c r="P203" s="229">
        <v>2.53E-2</v>
      </c>
      <c r="Q203" s="231">
        <v>3655.8</v>
      </c>
      <c r="R203" s="231">
        <v>3566.8</v>
      </c>
      <c r="S203" s="228">
        <v>89</v>
      </c>
      <c r="T203" s="229">
        <v>2.5000000000000001E-2</v>
      </c>
      <c r="U203" s="231">
        <v>3669.6</v>
      </c>
      <c r="V203" s="231">
        <v>3583.6</v>
      </c>
      <c r="W203" s="228">
        <v>86</v>
      </c>
      <c r="X203" s="229">
        <v>2.4E-2</v>
      </c>
      <c r="Y203" s="228">
        <v>15.1</v>
      </c>
      <c r="Z203" s="228">
        <v>8.9</v>
      </c>
      <c r="AA203" s="228">
        <v>6.2</v>
      </c>
      <c r="AB203" s="229">
        <v>4.1999999999999997E-3</v>
      </c>
      <c r="AC203" s="228">
        <v>15.1</v>
      </c>
      <c r="AD203" s="228">
        <v>8.9</v>
      </c>
      <c r="AE203" s="228">
        <v>6.2</v>
      </c>
      <c r="AF203" s="229">
        <v>4.1999999999999997E-3</v>
      </c>
      <c r="AG203" s="228">
        <v>37.9</v>
      </c>
      <c r="AH203" s="228">
        <v>32.4</v>
      </c>
      <c r="AI203" s="228">
        <v>5.5</v>
      </c>
      <c r="AJ203" s="229">
        <v>1.0500000000000001E-2</v>
      </c>
      <c r="AK203" s="228">
        <v>51.7</v>
      </c>
      <c r="AL203" s="228">
        <v>49.2</v>
      </c>
      <c r="AM203" s="228">
        <v>2.5</v>
      </c>
      <c r="AN203" s="229">
        <v>1.43E-2</v>
      </c>
      <c r="AO203" s="231">
        <v>3587.17</v>
      </c>
      <c r="AP203" s="231">
        <v>3610.44</v>
      </c>
      <c r="AQ203" s="228">
        <v>0</v>
      </c>
      <c r="AR203" s="230">
        <v>1144325</v>
      </c>
      <c r="AS203" s="230">
        <v>616350</v>
      </c>
      <c r="AT203" s="230">
        <v>527975</v>
      </c>
      <c r="AU203" s="229">
        <v>0.85660000000000003</v>
      </c>
      <c r="AV203" s="230">
        <v>1089550</v>
      </c>
      <c r="AW203" s="230">
        <v>600950</v>
      </c>
      <c r="AX203" s="230">
        <v>488600</v>
      </c>
      <c r="AY203" s="229">
        <v>0.81299999999999994</v>
      </c>
      <c r="AZ203" s="230">
        <v>47775</v>
      </c>
      <c r="BA203" s="230">
        <v>12425</v>
      </c>
      <c r="BB203" s="230">
        <v>35350</v>
      </c>
      <c r="BC203" s="229">
        <v>2.8451</v>
      </c>
      <c r="BD203" s="230">
        <v>7000</v>
      </c>
      <c r="BE203" s="230">
        <v>2975</v>
      </c>
      <c r="BF203" s="230">
        <v>4025</v>
      </c>
      <c r="BG203" s="229">
        <v>1.3529</v>
      </c>
      <c r="BH203" s="230">
        <v>3681475</v>
      </c>
      <c r="BI203" s="230">
        <v>1014825</v>
      </c>
      <c r="BJ203" s="230">
        <v>2666650</v>
      </c>
      <c r="BK203" s="229">
        <v>2.6276999999999999</v>
      </c>
      <c r="BL203" s="230">
        <v>997675</v>
      </c>
      <c r="BM203" s="230">
        <v>404075</v>
      </c>
      <c r="BN203" s="230">
        <v>593600</v>
      </c>
      <c r="BO203" s="229">
        <v>1.4690000000000001</v>
      </c>
      <c r="BP203" s="230">
        <v>5823475</v>
      </c>
      <c r="BQ203" s="230">
        <v>2035250</v>
      </c>
      <c r="BR203" s="230">
        <v>3788225</v>
      </c>
      <c r="BS203" s="229">
        <v>1.8613</v>
      </c>
      <c r="BT203" s="230">
        <v>927954</v>
      </c>
      <c r="BU203" s="230">
        <v>406692</v>
      </c>
      <c r="BV203" s="230">
        <v>521262</v>
      </c>
      <c r="BW203" s="229">
        <v>1.2817000000000001</v>
      </c>
      <c r="BX203" s="230">
        <v>8508850</v>
      </c>
      <c r="BY203" s="230">
        <v>8771875</v>
      </c>
      <c r="BZ203" s="230">
        <v>-263025</v>
      </c>
      <c r="CA203" s="229">
        <v>-0.03</v>
      </c>
      <c r="CB203" s="230">
        <v>8123325</v>
      </c>
      <c r="CC203" s="230">
        <v>8380400</v>
      </c>
      <c r="CD203" s="230">
        <v>-257075</v>
      </c>
      <c r="CE203" s="229">
        <v>-3.0700000000000002E-2</v>
      </c>
      <c r="CF203" s="230">
        <v>382550</v>
      </c>
      <c r="CG203" s="230">
        <v>386400</v>
      </c>
      <c r="CH203" s="230">
        <v>-3850</v>
      </c>
      <c r="CI203" s="229">
        <v>-0.01</v>
      </c>
      <c r="CJ203" s="230">
        <v>2975</v>
      </c>
      <c r="CK203" s="230">
        <v>5075</v>
      </c>
      <c r="CL203" s="230">
        <v>-2100</v>
      </c>
      <c r="CM203" s="229">
        <v>-0.4138</v>
      </c>
      <c r="CN203" s="230">
        <v>1594075</v>
      </c>
      <c r="CO203" s="230">
        <v>1568700</v>
      </c>
      <c r="CP203" s="230">
        <v>25375</v>
      </c>
      <c r="CQ203" s="229">
        <v>1.6199999999999999E-2</v>
      </c>
      <c r="CR203" s="230">
        <v>962850</v>
      </c>
      <c r="CS203" s="230">
        <v>917875</v>
      </c>
      <c r="CT203" s="230">
        <v>44975</v>
      </c>
      <c r="CU203" s="229">
        <v>4.9000000000000002E-2</v>
      </c>
      <c r="CV203" s="230">
        <v>11065775</v>
      </c>
      <c r="CW203" s="230">
        <v>11258450</v>
      </c>
      <c r="CX203" s="230">
        <v>-192675</v>
      </c>
      <c r="CY203" s="229">
        <v>-1.7100000000000001E-2</v>
      </c>
      <c r="CZ203" s="228">
        <v>35.119999999999997</v>
      </c>
      <c r="DA203" s="228">
        <v>35.04</v>
      </c>
      <c r="DB203" s="228">
        <v>0.08</v>
      </c>
      <c r="DC203" s="228">
        <v>0.08</v>
      </c>
      <c r="DD203" s="228">
        <v>33.729999999999997</v>
      </c>
      <c r="DE203" s="228">
        <v>33.659999999999997</v>
      </c>
      <c r="DF203" s="228">
        <v>1.39</v>
      </c>
      <c r="DG203" s="228">
        <v>7.0000000000000007E-2</v>
      </c>
      <c r="DH203" s="228">
        <v>34.79</v>
      </c>
      <c r="DI203" s="228">
        <v>34.69</v>
      </c>
      <c r="DJ203" s="228">
        <v>0.1</v>
      </c>
      <c r="DK203" s="228">
        <v>0.1</v>
      </c>
      <c r="DL203" s="228">
        <v>36.369999999999997</v>
      </c>
      <c r="DM203" s="228">
        <v>35.92</v>
      </c>
      <c r="DN203" s="228">
        <v>0.45</v>
      </c>
      <c r="DO203" s="228">
        <v>0.45</v>
      </c>
      <c r="DP203" s="228">
        <v>0.6</v>
      </c>
      <c r="DQ203" s="228">
        <v>0.59</v>
      </c>
      <c r="DR203" s="228">
        <v>0.01</v>
      </c>
      <c r="DS203" s="229">
        <v>1.6899999999999998E-2</v>
      </c>
      <c r="DT203" s="231">
        <v>3600</v>
      </c>
      <c r="DU203" s="231">
        <v>3500</v>
      </c>
      <c r="DV203" s="228">
        <v>0.27</v>
      </c>
      <c r="DW203" s="228">
        <v>0.4</v>
      </c>
      <c r="DX203" s="228">
        <v>-0.13</v>
      </c>
      <c r="DY203" s="229">
        <v>-0.32500000000000001</v>
      </c>
      <c r="DZ203" s="229">
        <v>4.53E-2</v>
      </c>
      <c r="EA203" s="230">
        <v>391475</v>
      </c>
      <c r="EB203" s="229">
        <v>6.3E-3</v>
      </c>
      <c r="EC203" s="229">
        <v>4.53E-2</v>
      </c>
      <c r="ED203" s="228">
        <v>23.27</v>
      </c>
      <c r="EE203" s="229">
        <v>6.4999999999999997E-3</v>
      </c>
      <c r="EF203" s="230">
        <v>521157</v>
      </c>
      <c r="EG203" s="230">
        <v>207716</v>
      </c>
      <c r="EH203" s="229">
        <v>1.5089999999999999</v>
      </c>
      <c r="EI203" s="229">
        <v>0.56159999999999999</v>
      </c>
      <c r="EJ203" s="231">
        <v>137437.25</v>
      </c>
      <c r="EK203" s="231">
        <v>35317.06</v>
      </c>
      <c r="EL203" s="231">
        <v>41062.5</v>
      </c>
      <c r="EM203" s="231">
        <v>5976</v>
      </c>
      <c r="EN203" s="231">
        <v>213816.81</v>
      </c>
      <c r="EO203" s="231">
        <v>73527.09</v>
      </c>
      <c r="EP203" s="231">
        <v>140289.72</v>
      </c>
      <c r="EQ203" s="229">
        <v>1.9079999999999999</v>
      </c>
      <c r="ER203" s="231">
        <v>58672</v>
      </c>
      <c r="ES203" s="231">
        <v>33547</v>
      </c>
      <c r="ET203" s="231">
        <v>309215</v>
      </c>
      <c r="EU203" s="231">
        <v>32253708</v>
      </c>
      <c r="EV203" s="231">
        <v>401434</v>
      </c>
      <c r="EW203" s="231">
        <v>400436</v>
      </c>
      <c r="EX203" s="228">
        <v>998</v>
      </c>
      <c r="EY203" s="229">
        <v>2.5000000000000001E-3</v>
      </c>
      <c r="EZ203" s="229">
        <v>0.34310000000000002</v>
      </c>
      <c r="FA203" s="227" t="s">
        <v>691</v>
      </c>
      <c r="FB203" s="161">
        <f t="shared" si="5"/>
        <v>0</v>
      </c>
    </row>
    <row r="204" spans="1:158" ht="17.25" thickBot="1" x14ac:dyDescent="0.3">
      <c r="A204" s="226">
        <v>46148</v>
      </c>
      <c r="B204" s="227" t="s">
        <v>157</v>
      </c>
      <c r="C204" s="227" t="s">
        <v>302</v>
      </c>
      <c r="D204" s="228">
        <v>50</v>
      </c>
      <c r="E204" s="231">
        <v>12169</v>
      </c>
      <c r="F204" s="231">
        <v>11987</v>
      </c>
      <c r="G204" s="228">
        <v>182</v>
      </c>
      <c r="H204" s="229">
        <v>1.52E-2</v>
      </c>
      <c r="I204" s="231">
        <v>12093</v>
      </c>
      <c r="J204" s="231">
        <v>11963</v>
      </c>
      <c r="K204" s="228">
        <v>130</v>
      </c>
      <c r="L204" s="229">
        <v>1.09E-2</v>
      </c>
      <c r="M204" s="231">
        <v>12169</v>
      </c>
      <c r="N204" s="231">
        <v>11987</v>
      </c>
      <c r="O204" s="228">
        <v>182</v>
      </c>
      <c r="P204" s="229">
        <v>1.52E-2</v>
      </c>
      <c r="Q204" s="231">
        <v>12250</v>
      </c>
      <c r="R204" s="231">
        <v>12063</v>
      </c>
      <c r="S204" s="228">
        <v>187</v>
      </c>
      <c r="T204" s="229">
        <v>1.55E-2</v>
      </c>
      <c r="U204" s="231">
        <v>12306</v>
      </c>
      <c r="V204" s="231">
        <v>12114</v>
      </c>
      <c r="W204" s="228">
        <v>192</v>
      </c>
      <c r="X204" s="229">
        <v>1.5800000000000002E-2</v>
      </c>
      <c r="Y204" s="228">
        <v>76</v>
      </c>
      <c r="Z204" s="228">
        <v>24</v>
      </c>
      <c r="AA204" s="228">
        <v>52</v>
      </c>
      <c r="AB204" s="229">
        <v>6.3E-3</v>
      </c>
      <c r="AC204" s="228">
        <v>76</v>
      </c>
      <c r="AD204" s="228">
        <v>24</v>
      </c>
      <c r="AE204" s="228">
        <v>52</v>
      </c>
      <c r="AF204" s="229">
        <v>6.3E-3</v>
      </c>
      <c r="AG204" s="228">
        <v>157</v>
      </c>
      <c r="AH204" s="228">
        <v>100</v>
      </c>
      <c r="AI204" s="228">
        <v>57</v>
      </c>
      <c r="AJ204" s="229">
        <v>1.2999999999999999E-2</v>
      </c>
      <c r="AK204" s="228">
        <v>213</v>
      </c>
      <c r="AL204" s="228">
        <v>151</v>
      </c>
      <c r="AM204" s="228">
        <v>62</v>
      </c>
      <c r="AN204" s="229">
        <v>1.7600000000000001E-2</v>
      </c>
      <c r="AO204" s="231">
        <v>12086.92</v>
      </c>
      <c r="AP204" s="231">
        <v>12175.75</v>
      </c>
      <c r="AQ204" s="228">
        <v>0</v>
      </c>
      <c r="AR204" s="230">
        <v>451700</v>
      </c>
      <c r="AS204" s="230">
        <v>504250</v>
      </c>
      <c r="AT204" s="230">
        <v>-52550</v>
      </c>
      <c r="AU204" s="229">
        <v>-0.1042</v>
      </c>
      <c r="AV204" s="230">
        <v>433250</v>
      </c>
      <c r="AW204" s="230">
        <v>479450</v>
      </c>
      <c r="AX204" s="230">
        <v>-46200</v>
      </c>
      <c r="AY204" s="229">
        <v>-9.64E-2</v>
      </c>
      <c r="AZ204" s="230">
        <v>17650</v>
      </c>
      <c r="BA204" s="230">
        <v>24050</v>
      </c>
      <c r="BB204" s="230">
        <v>-6400</v>
      </c>
      <c r="BC204" s="229">
        <v>-0.2661</v>
      </c>
      <c r="BD204" s="228">
        <v>800</v>
      </c>
      <c r="BE204" s="228">
        <v>750</v>
      </c>
      <c r="BF204" s="228">
        <v>50</v>
      </c>
      <c r="BG204" s="229">
        <v>6.6699999999999995E-2</v>
      </c>
      <c r="BH204" s="230">
        <v>1601700</v>
      </c>
      <c r="BI204" s="230">
        <v>1750500</v>
      </c>
      <c r="BJ204" s="230">
        <v>-148800</v>
      </c>
      <c r="BK204" s="229">
        <v>-8.5000000000000006E-2</v>
      </c>
      <c r="BL204" s="230">
        <v>754600</v>
      </c>
      <c r="BM204" s="230">
        <v>834350</v>
      </c>
      <c r="BN204" s="230">
        <v>-79750</v>
      </c>
      <c r="BO204" s="229">
        <v>-9.5600000000000004E-2</v>
      </c>
      <c r="BP204" s="230">
        <v>2808000</v>
      </c>
      <c r="BQ204" s="230">
        <v>3089100</v>
      </c>
      <c r="BR204" s="230">
        <v>-281100</v>
      </c>
      <c r="BS204" s="229">
        <v>-9.0999999999999998E-2</v>
      </c>
      <c r="BT204" s="230">
        <v>374083</v>
      </c>
      <c r="BU204" s="230">
        <v>359592</v>
      </c>
      <c r="BV204" s="230">
        <v>14491</v>
      </c>
      <c r="BW204" s="229">
        <v>4.0300000000000002E-2</v>
      </c>
      <c r="BX204" s="230">
        <v>2750150</v>
      </c>
      <c r="BY204" s="230">
        <v>2772650</v>
      </c>
      <c r="BZ204" s="230">
        <v>-22500</v>
      </c>
      <c r="CA204" s="229">
        <v>-8.0999999999999996E-3</v>
      </c>
      <c r="CB204" s="230">
        <v>2289100</v>
      </c>
      <c r="CC204" s="230">
        <v>2312050</v>
      </c>
      <c r="CD204" s="230">
        <v>-22950</v>
      </c>
      <c r="CE204" s="229">
        <v>-9.9000000000000008E-3</v>
      </c>
      <c r="CF204" s="230">
        <v>458550</v>
      </c>
      <c r="CG204" s="230">
        <v>458450</v>
      </c>
      <c r="CH204" s="228">
        <v>100</v>
      </c>
      <c r="CI204" s="229">
        <v>2.0000000000000001E-4</v>
      </c>
      <c r="CJ204" s="230">
        <v>2500</v>
      </c>
      <c r="CK204" s="230">
        <v>2150</v>
      </c>
      <c r="CL204" s="228">
        <v>350</v>
      </c>
      <c r="CM204" s="229">
        <v>0.1628</v>
      </c>
      <c r="CN204" s="230">
        <v>1155950</v>
      </c>
      <c r="CO204" s="230">
        <v>1198900</v>
      </c>
      <c r="CP204" s="230">
        <v>-42950</v>
      </c>
      <c r="CQ204" s="229">
        <v>-3.5799999999999998E-2</v>
      </c>
      <c r="CR204" s="230">
        <v>475050</v>
      </c>
      <c r="CS204" s="230">
        <v>496800</v>
      </c>
      <c r="CT204" s="230">
        <v>-21750</v>
      </c>
      <c r="CU204" s="229">
        <v>-4.3799999999999999E-2</v>
      </c>
      <c r="CV204" s="230">
        <v>4381150</v>
      </c>
      <c r="CW204" s="230">
        <v>4468350</v>
      </c>
      <c r="CX204" s="230">
        <v>-87200</v>
      </c>
      <c r="CY204" s="229">
        <v>-1.95E-2</v>
      </c>
      <c r="CZ204" s="228">
        <v>25.18</v>
      </c>
      <c r="DA204" s="228">
        <v>26.26</v>
      </c>
      <c r="DB204" s="228">
        <v>-1.08</v>
      </c>
      <c r="DC204" s="228">
        <v>-1.08</v>
      </c>
      <c r="DD204" s="228">
        <v>29.8</v>
      </c>
      <c r="DE204" s="228">
        <v>29.84</v>
      </c>
      <c r="DF204" s="228">
        <v>-4.62</v>
      </c>
      <c r="DG204" s="228">
        <v>-0.04</v>
      </c>
      <c r="DH204" s="228">
        <v>24.61</v>
      </c>
      <c r="DI204" s="228">
        <v>25.62</v>
      </c>
      <c r="DJ204" s="228">
        <v>-1.01</v>
      </c>
      <c r="DK204" s="228">
        <v>-1.01</v>
      </c>
      <c r="DL204" s="228">
        <v>26.38</v>
      </c>
      <c r="DM204" s="228">
        <v>27.59</v>
      </c>
      <c r="DN204" s="228">
        <v>-1.21</v>
      </c>
      <c r="DO204" s="228">
        <v>-1.21</v>
      </c>
      <c r="DP204" s="228">
        <v>0.41</v>
      </c>
      <c r="DQ204" s="228">
        <v>0.41</v>
      </c>
      <c r="DR204" s="228">
        <v>0</v>
      </c>
      <c r="DS204" s="229">
        <v>0</v>
      </c>
      <c r="DT204" s="231">
        <v>13000</v>
      </c>
      <c r="DU204" s="231">
        <v>11000</v>
      </c>
      <c r="DV204" s="228">
        <v>0.47</v>
      </c>
      <c r="DW204" s="228">
        <v>0.48</v>
      </c>
      <c r="DX204" s="228">
        <v>-0.01</v>
      </c>
      <c r="DY204" s="229">
        <v>-2.0799999999999999E-2</v>
      </c>
      <c r="DZ204" s="229">
        <v>0.1676</v>
      </c>
      <c r="EA204" s="230">
        <v>460600</v>
      </c>
      <c r="EB204" s="229">
        <v>6.7000000000000002E-3</v>
      </c>
      <c r="EC204" s="229">
        <v>0.1676</v>
      </c>
      <c r="ED204" s="228">
        <v>88.83</v>
      </c>
      <c r="EE204" s="229">
        <v>7.3000000000000001E-3</v>
      </c>
      <c r="EF204" s="230">
        <v>202279</v>
      </c>
      <c r="EG204" s="230">
        <v>188191</v>
      </c>
      <c r="EH204" s="229">
        <v>7.4899999999999994E-2</v>
      </c>
      <c r="EI204" s="229">
        <v>0.54069999999999996</v>
      </c>
      <c r="EJ204" s="231">
        <v>201717.83</v>
      </c>
      <c r="EK204" s="231">
        <v>88574.13</v>
      </c>
      <c r="EL204" s="231">
        <v>54613.53</v>
      </c>
      <c r="EM204" s="231">
        <v>10189</v>
      </c>
      <c r="EN204" s="231">
        <v>344905.49</v>
      </c>
      <c r="EO204" s="231">
        <v>375927.07</v>
      </c>
      <c r="EP204" s="231">
        <v>-31021.58</v>
      </c>
      <c r="EQ204" s="229">
        <v>-8.2500000000000004E-2</v>
      </c>
      <c r="ER204" s="231">
        <v>145049</v>
      </c>
      <c r="ES204" s="231">
        <v>54193</v>
      </c>
      <c r="ET204" s="231">
        <v>335041</v>
      </c>
      <c r="EU204" s="231">
        <v>12994504</v>
      </c>
      <c r="EV204" s="231">
        <v>534283</v>
      </c>
      <c r="EW204" s="231">
        <v>539952</v>
      </c>
      <c r="EX204" s="231">
        <v>-5669</v>
      </c>
      <c r="EY204" s="229">
        <v>-1.0500000000000001E-2</v>
      </c>
      <c r="EZ204" s="229">
        <v>0.3372</v>
      </c>
      <c r="FA204" s="227" t="s">
        <v>691</v>
      </c>
      <c r="FB204" s="161">
        <f t="shared" si="5"/>
        <v>0</v>
      </c>
    </row>
    <row r="205" spans="1:158" ht="17.25" thickBot="1" x14ac:dyDescent="0.3">
      <c r="A205" s="226">
        <v>46148</v>
      </c>
      <c r="B205" s="227" t="s">
        <v>172</v>
      </c>
      <c r="C205" s="227" t="s">
        <v>592</v>
      </c>
      <c r="D205" s="228">
        <v>4425</v>
      </c>
      <c r="E205" s="228">
        <v>169.82</v>
      </c>
      <c r="F205" s="228">
        <v>164.47</v>
      </c>
      <c r="G205" s="228">
        <v>5.35</v>
      </c>
      <c r="H205" s="229">
        <v>3.2500000000000001E-2</v>
      </c>
      <c r="I205" s="228">
        <v>168.75</v>
      </c>
      <c r="J205" s="228">
        <v>163.74</v>
      </c>
      <c r="K205" s="228">
        <v>5.01</v>
      </c>
      <c r="L205" s="229">
        <v>3.0599999999999999E-2</v>
      </c>
      <c r="M205" s="228">
        <v>169.82</v>
      </c>
      <c r="N205" s="228">
        <v>164.47</v>
      </c>
      <c r="O205" s="228">
        <v>5.35</v>
      </c>
      <c r="P205" s="229">
        <v>3.2500000000000001E-2</v>
      </c>
      <c r="Q205" s="228">
        <v>170.22</v>
      </c>
      <c r="R205" s="228">
        <v>164.7</v>
      </c>
      <c r="S205" s="228">
        <v>5.52</v>
      </c>
      <c r="T205" s="229">
        <v>3.3500000000000002E-2</v>
      </c>
      <c r="U205" s="228">
        <v>170.6</v>
      </c>
      <c r="V205" s="228">
        <v>165</v>
      </c>
      <c r="W205" s="228">
        <v>5.6</v>
      </c>
      <c r="X205" s="229">
        <v>3.39E-2</v>
      </c>
      <c r="Y205" s="228">
        <v>1.07</v>
      </c>
      <c r="Z205" s="228">
        <v>0.73</v>
      </c>
      <c r="AA205" s="228">
        <v>0.34</v>
      </c>
      <c r="AB205" s="229">
        <v>6.3E-3</v>
      </c>
      <c r="AC205" s="228">
        <v>1.07</v>
      </c>
      <c r="AD205" s="228">
        <v>0.73</v>
      </c>
      <c r="AE205" s="228">
        <v>0.34</v>
      </c>
      <c r="AF205" s="229">
        <v>6.3E-3</v>
      </c>
      <c r="AG205" s="228">
        <v>1.47</v>
      </c>
      <c r="AH205" s="228">
        <v>0.96</v>
      </c>
      <c r="AI205" s="228">
        <v>0.51</v>
      </c>
      <c r="AJ205" s="229">
        <v>8.6999999999999994E-3</v>
      </c>
      <c r="AK205" s="228">
        <v>1.85</v>
      </c>
      <c r="AL205" s="228">
        <v>1.26</v>
      </c>
      <c r="AM205" s="228">
        <v>0.59</v>
      </c>
      <c r="AN205" s="229">
        <v>1.0999999999999999E-2</v>
      </c>
      <c r="AO205" s="228">
        <v>168.51</v>
      </c>
      <c r="AP205" s="228">
        <v>168.53</v>
      </c>
      <c r="AQ205" s="228">
        <v>0</v>
      </c>
      <c r="AR205" s="230">
        <v>24187050</v>
      </c>
      <c r="AS205" s="230">
        <v>17177850</v>
      </c>
      <c r="AT205" s="230">
        <v>7009200</v>
      </c>
      <c r="AU205" s="229">
        <v>0.40799999999999997</v>
      </c>
      <c r="AV205" s="230">
        <v>22660425</v>
      </c>
      <c r="AW205" s="230">
        <v>15500775</v>
      </c>
      <c r="AX205" s="230">
        <v>7159650</v>
      </c>
      <c r="AY205" s="229">
        <v>0.46189999999999998</v>
      </c>
      <c r="AZ205" s="230">
        <v>1331925</v>
      </c>
      <c r="BA205" s="230">
        <v>1584150</v>
      </c>
      <c r="BB205" s="230">
        <v>-252225</v>
      </c>
      <c r="BC205" s="229">
        <v>-0.15920000000000001</v>
      </c>
      <c r="BD205" s="230">
        <v>194700</v>
      </c>
      <c r="BE205" s="230">
        <v>92925</v>
      </c>
      <c r="BF205" s="230">
        <v>101775</v>
      </c>
      <c r="BG205" s="229">
        <v>1.0952</v>
      </c>
      <c r="BH205" s="230">
        <v>63445650</v>
      </c>
      <c r="BI205" s="230">
        <v>42227775</v>
      </c>
      <c r="BJ205" s="230">
        <v>21217875</v>
      </c>
      <c r="BK205" s="229">
        <v>0.50249999999999995</v>
      </c>
      <c r="BL205" s="230">
        <v>23541000</v>
      </c>
      <c r="BM205" s="230">
        <v>12500625</v>
      </c>
      <c r="BN205" s="230">
        <v>11040375</v>
      </c>
      <c r="BO205" s="229">
        <v>0.88319999999999999</v>
      </c>
      <c r="BP205" s="230">
        <v>111173700</v>
      </c>
      <c r="BQ205" s="230">
        <v>71906250</v>
      </c>
      <c r="BR205" s="230">
        <v>39267450</v>
      </c>
      <c r="BS205" s="229">
        <v>0.54610000000000003</v>
      </c>
      <c r="BT205" s="230">
        <v>16422891</v>
      </c>
      <c r="BU205" s="230">
        <v>12558530</v>
      </c>
      <c r="BV205" s="230">
        <v>3864361</v>
      </c>
      <c r="BW205" s="229">
        <v>0.30769999999999997</v>
      </c>
      <c r="BX205" s="230">
        <v>140684025</v>
      </c>
      <c r="BY205" s="230">
        <v>140064525</v>
      </c>
      <c r="BZ205" s="230">
        <v>619500</v>
      </c>
      <c r="CA205" s="229">
        <v>4.4000000000000003E-3</v>
      </c>
      <c r="CB205" s="230">
        <v>134055375</v>
      </c>
      <c r="CC205" s="230">
        <v>133820850</v>
      </c>
      <c r="CD205" s="230">
        <v>234525</v>
      </c>
      <c r="CE205" s="229">
        <v>1.8E-3</v>
      </c>
      <c r="CF205" s="230">
        <v>6265800</v>
      </c>
      <c r="CG205" s="230">
        <v>5956050</v>
      </c>
      <c r="CH205" s="230">
        <v>309750</v>
      </c>
      <c r="CI205" s="229">
        <v>5.1999999999999998E-2</v>
      </c>
      <c r="CJ205" s="230">
        <v>362850</v>
      </c>
      <c r="CK205" s="230">
        <v>287625</v>
      </c>
      <c r="CL205" s="230">
        <v>75225</v>
      </c>
      <c r="CM205" s="229">
        <v>0.26150000000000001</v>
      </c>
      <c r="CN205" s="230">
        <v>68096325</v>
      </c>
      <c r="CO205" s="230">
        <v>66826350</v>
      </c>
      <c r="CP205" s="230">
        <v>1269975</v>
      </c>
      <c r="CQ205" s="229">
        <v>1.9E-2</v>
      </c>
      <c r="CR205" s="230">
        <v>31652025</v>
      </c>
      <c r="CS205" s="230">
        <v>32616675</v>
      </c>
      <c r="CT205" s="230">
        <v>-964650</v>
      </c>
      <c r="CU205" s="229">
        <v>-2.9600000000000001E-2</v>
      </c>
      <c r="CV205" s="230">
        <v>240432375</v>
      </c>
      <c r="CW205" s="230">
        <v>239507550</v>
      </c>
      <c r="CX205" s="230">
        <v>924825</v>
      </c>
      <c r="CY205" s="229">
        <v>3.8999999999999998E-3</v>
      </c>
      <c r="CZ205" s="228">
        <v>38.92</v>
      </c>
      <c r="DA205" s="228">
        <v>40.28</v>
      </c>
      <c r="DB205" s="228">
        <v>-1.36</v>
      </c>
      <c r="DC205" s="228">
        <v>-1.36</v>
      </c>
      <c r="DD205" s="228">
        <v>44.45</v>
      </c>
      <c r="DE205" s="228">
        <v>44.37</v>
      </c>
      <c r="DF205" s="228">
        <v>-5.53</v>
      </c>
      <c r="DG205" s="228">
        <v>0.08</v>
      </c>
      <c r="DH205" s="228">
        <v>39.07</v>
      </c>
      <c r="DI205" s="228">
        <v>40.71</v>
      </c>
      <c r="DJ205" s="228">
        <v>-1.64</v>
      </c>
      <c r="DK205" s="228">
        <v>-1.64</v>
      </c>
      <c r="DL205" s="228">
        <v>38.5</v>
      </c>
      <c r="DM205" s="228">
        <v>38.82</v>
      </c>
      <c r="DN205" s="228">
        <v>-0.32</v>
      </c>
      <c r="DO205" s="228">
        <v>-0.32</v>
      </c>
      <c r="DP205" s="228">
        <v>0.46</v>
      </c>
      <c r="DQ205" s="228">
        <v>0.49</v>
      </c>
      <c r="DR205" s="228">
        <v>-0.03</v>
      </c>
      <c r="DS205" s="229">
        <v>-6.1199999999999997E-2</v>
      </c>
      <c r="DT205" s="228">
        <v>190</v>
      </c>
      <c r="DU205" s="228">
        <v>180</v>
      </c>
      <c r="DV205" s="228">
        <v>0.37</v>
      </c>
      <c r="DW205" s="228">
        <v>0.3</v>
      </c>
      <c r="DX205" s="228">
        <v>7.0000000000000007E-2</v>
      </c>
      <c r="DY205" s="229">
        <v>0.23330000000000001</v>
      </c>
      <c r="DZ205" s="229">
        <v>4.7100000000000003E-2</v>
      </c>
      <c r="EA205" s="230">
        <v>6243675</v>
      </c>
      <c r="EB205" s="229">
        <v>2.3999999999999998E-3</v>
      </c>
      <c r="EC205" s="229">
        <v>4.7100000000000003E-2</v>
      </c>
      <c r="ED205" s="228">
        <v>0.02</v>
      </c>
      <c r="EE205" s="229">
        <v>1E-4</v>
      </c>
      <c r="EF205" s="230">
        <v>7618417</v>
      </c>
      <c r="EG205" s="230">
        <v>5284178</v>
      </c>
      <c r="EH205" s="229">
        <v>0.44169999999999998</v>
      </c>
      <c r="EI205" s="229">
        <v>0.46389999999999998</v>
      </c>
      <c r="EJ205" s="231">
        <v>116007.25</v>
      </c>
      <c r="EK205" s="231">
        <v>38928.660000000003</v>
      </c>
      <c r="EL205" s="231">
        <v>40758.980000000003</v>
      </c>
      <c r="EM205" s="231">
        <v>5470</v>
      </c>
      <c r="EN205" s="231">
        <v>195694.89</v>
      </c>
      <c r="EO205" s="231">
        <v>125686.66</v>
      </c>
      <c r="EP205" s="231">
        <v>70008.23</v>
      </c>
      <c r="EQ205" s="229">
        <v>0.55700000000000005</v>
      </c>
      <c r="ER205" s="231">
        <v>126901</v>
      </c>
      <c r="ES205" s="231">
        <v>53605</v>
      </c>
      <c r="ET205" s="231">
        <v>238938</v>
      </c>
      <c r="EU205" s="231">
        <v>289041713</v>
      </c>
      <c r="EV205" s="231">
        <v>419444</v>
      </c>
      <c r="EW205" s="231">
        <v>410187</v>
      </c>
      <c r="EX205" s="231">
        <v>9257</v>
      </c>
      <c r="EY205" s="229">
        <v>2.2599999999999999E-2</v>
      </c>
      <c r="EZ205" s="229">
        <v>0.83179999999999998</v>
      </c>
      <c r="FA205" s="227" t="s">
        <v>555</v>
      </c>
      <c r="FB205" s="161">
        <f t="shared" si="5"/>
        <v>0</v>
      </c>
    </row>
    <row r="206" spans="1:158" ht="17.25" thickBot="1" x14ac:dyDescent="0.3">
      <c r="A206" s="226">
        <v>46148</v>
      </c>
      <c r="B206" s="227" t="s">
        <v>168</v>
      </c>
      <c r="C206" s="227" t="s">
        <v>568</v>
      </c>
      <c r="D206" s="228">
        <v>400</v>
      </c>
      <c r="E206" s="231">
        <v>1298.7</v>
      </c>
      <c r="F206" s="231">
        <v>1322.9</v>
      </c>
      <c r="G206" s="228">
        <v>-24.2</v>
      </c>
      <c r="H206" s="229">
        <v>-1.83E-2</v>
      </c>
      <c r="I206" s="231">
        <v>1290.3</v>
      </c>
      <c r="J206" s="231">
        <v>1315.6</v>
      </c>
      <c r="K206" s="228">
        <v>-25.3</v>
      </c>
      <c r="L206" s="229">
        <v>-1.9199999999999998E-2</v>
      </c>
      <c r="M206" s="231">
        <v>1298.7</v>
      </c>
      <c r="N206" s="231">
        <v>1322.9</v>
      </c>
      <c r="O206" s="228">
        <v>-24.2</v>
      </c>
      <c r="P206" s="229">
        <v>-1.83E-2</v>
      </c>
      <c r="Q206" s="231">
        <v>1307.5</v>
      </c>
      <c r="R206" s="231">
        <v>1331.1</v>
      </c>
      <c r="S206" s="228">
        <v>-23.6</v>
      </c>
      <c r="T206" s="229">
        <v>-1.77E-2</v>
      </c>
      <c r="U206" s="231">
        <v>1312.5</v>
      </c>
      <c r="V206" s="231">
        <v>1340</v>
      </c>
      <c r="W206" s="228">
        <v>-27.5</v>
      </c>
      <c r="X206" s="229">
        <v>-2.0500000000000001E-2</v>
      </c>
      <c r="Y206" s="228">
        <v>8.4</v>
      </c>
      <c r="Z206" s="228">
        <v>7.3</v>
      </c>
      <c r="AA206" s="228">
        <v>1.1000000000000001</v>
      </c>
      <c r="AB206" s="229">
        <v>6.4999999999999997E-3</v>
      </c>
      <c r="AC206" s="228">
        <v>8.4</v>
      </c>
      <c r="AD206" s="228">
        <v>7.3</v>
      </c>
      <c r="AE206" s="228">
        <v>1.1000000000000001</v>
      </c>
      <c r="AF206" s="229">
        <v>6.4999999999999997E-3</v>
      </c>
      <c r="AG206" s="228">
        <v>17.2</v>
      </c>
      <c r="AH206" s="228">
        <v>15.5</v>
      </c>
      <c r="AI206" s="228">
        <v>1.7</v>
      </c>
      <c r="AJ206" s="229">
        <v>1.3299999999999999E-2</v>
      </c>
      <c r="AK206" s="228">
        <v>22.2</v>
      </c>
      <c r="AL206" s="228">
        <v>24.4</v>
      </c>
      <c r="AM206" s="228">
        <v>-2.2000000000000002</v>
      </c>
      <c r="AN206" s="229">
        <v>1.72E-2</v>
      </c>
      <c r="AO206" s="231">
        <v>1291.72</v>
      </c>
      <c r="AP206" s="231">
        <v>1299.68</v>
      </c>
      <c r="AQ206" s="228">
        <v>0</v>
      </c>
      <c r="AR206" s="230">
        <v>2847600</v>
      </c>
      <c r="AS206" s="230">
        <v>468800</v>
      </c>
      <c r="AT206" s="230">
        <v>2378800</v>
      </c>
      <c r="AU206" s="229">
        <v>5.0742000000000003</v>
      </c>
      <c r="AV206" s="230">
        <v>2702400</v>
      </c>
      <c r="AW206" s="230">
        <v>451600</v>
      </c>
      <c r="AX206" s="230">
        <v>2250800</v>
      </c>
      <c r="AY206" s="229">
        <v>4.9840999999999998</v>
      </c>
      <c r="AZ206" s="230">
        <v>132000</v>
      </c>
      <c r="BA206" s="230">
        <v>16400</v>
      </c>
      <c r="BB206" s="230">
        <v>115600</v>
      </c>
      <c r="BC206" s="229">
        <v>7.0488</v>
      </c>
      <c r="BD206" s="230">
        <v>13200</v>
      </c>
      <c r="BE206" s="228">
        <v>800</v>
      </c>
      <c r="BF206" s="230">
        <v>12400</v>
      </c>
      <c r="BG206" s="229">
        <v>15.5</v>
      </c>
      <c r="BH206" s="230">
        <v>5192800</v>
      </c>
      <c r="BI206" s="230">
        <v>1189600</v>
      </c>
      <c r="BJ206" s="230">
        <v>4003200</v>
      </c>
      <c r="BK206" s="229">
        <v>3.3652000000000002</v>
      </c>
      <c r="BL206" s="230">
        <v>3166400</v>
      </c>
      <c r="BM206" s="230">
        <v>410400</v>
      </c>
      <c r="BN206" s="230">
        <v>2756000</v>
      </c>
      <c r="BO206" s="229">
        <v>6.7153999999999998</v>
      </c>
      <c r="BP206" s="230">
        <v>11206800</v>
      </c>
      <c r="BQ206" s="230">
        <v>2068800</v>
      </c>
      <c r="BR206" s="230">
        <v>9138000</v>
      </c>
      <c r="BS206" s="229">
        <v>4.4170999999999996</v>
      </c>
      <c r="BT206" s="230">
        <v>3122123</v>
      </c>
      <c r="BU206" s="230">
        <v>677949</v>
      </c>
      <c r="BV206" s="230">
        <v>2444174</v>
      </c>
      <c r="BW206" s="229">
        <v>3.6052</v>
      </c>
      <c r="BX206" s="230">
        <v>12143600</v>
      </c>
      <c r="BY206" s="230">
        <v>11590400</v>
      </c>
      <c r="BZ206" s="230">
        <v>553200</v>
      </c>
      <c r="CA206" s="229">
        <v>4.7699999999999999E-2</v>
      </c>
      <c r="CB206" s="230">
        <v>11473600</v>
      </c>
      <c r="CC206" s="230">
        <v>10986000</v>
      </c>
      <c r="CD206" s="230">
        <v>487600</v>
      </c>
      <c r="CE206" s="229">
        <v>4.4400000000000002E-2</v>
      </c>
      <c r="CF206" s="230">
        <v>652400</v>
      </c>
      <c r="CG206" s="230">
        <v>595600</v>
      </c>
      <c r="CH206" s="230">
        <v>56800</v>
      </c>
      <c r="CI206" s="229">
        <v>9.5399999999999999E-2</v>
      </c>
      <c r="CJ206" s="230">
        <v>17600</v>
      </c>
      <c r="CK206" s="230">
        <v>8800</v>
      </c>
      <c r="CL206" s="230">
        <v>8800</v>
      </c>
      <c r="CM206" s="229">
        <v>1</v>
      </c>
      <c r="CN206" s="230">
        <v>3671200</v>
      </c>
      <c r="CO206" s="230">
        <v>2967200</v>
      </c>
      <c r="CP206" s="230">
        <v>704000</v>
      </c>
      <c r="CQ206" s="229">
        <v>0.23730000000000001</v>
      </c>
      <c r="CR206" s="230">
        <v>2468800</v>
      </c>
      <c r="CS206" s="230">
        <v>2032000</v>
      </c>
      <c r="CT206" s="230">
        <v>436800</v>
      </c>
      <c r="CU206" s="229">
        <v>0.215</v>
      </c>
      <c r="CV206" s="230">
        <v>18283600</v>
      </c>
      <c r="CW206" s="230">
        <v>16589600</v>
      </c>
      <c r="CX206" s="230">
        <v>1694000</v>
      </c>
      <c r="CY206" s="229">
        <v>0.1021</v>
      </c>
      <c r="CZ206" s="228">
        <v>30.28</v>
      </c>
      <c r="DA206" s="228">
        <v>30.53</v>
      </c>
      <c r="DB206" s="228">
        <v>-0.25</v>
      </c>
      <c r="DC206" s="228">
        <v>-0.25</v>
      </c>
      <c r="DD206" s="228">
        <v>30.28</v>
      </c>
      <c r="DE206" s="228">
        <v>30.25</v>
      </c>
      <c r="DF206" s="228">
        <v>0</v>
      </c>
      <c r="DG206" s="228">
        <v>0.03</v>
      </c>
      <c r="DH206" s="228">
        <v>30.46</v>
      </c>
      <c r="DI206" s="228">
        <v>30.53</v>
      </c>
      <c r="DJ206" s="228">
        <v>-7.0000000000000007E-2</v>
      </c>
      <c r="DK206" s="228">
        <v>-7.0000000000000007E-2</v>
      </c>
      <c r="DL206" s="228">
        <v>29.98</v>
      </c>
      <c r="DM206" s="228">
        <v>30.53</v>
      </c>
      <c r="DN206" s="228">
        <v>-0.55000000000000004</v>
      </c>
      <c r="DO206" s="228">
        <v>-0.55000000000000004</v>
      </c>
      <c r="DP206" s="228">
        <v>0.67</v>
      </c>
      <c r="DQ206" s="228">
        <v>0.68</v>
      </c>
      <c r="DR206" s="228">
        <v>-0.01</v>
      </c>
      <c r="DS206" s="229">
        <v>-1.47E-2</v>
      </c>
      <c r="DT206" s="231">
        <v>1500</v>
      </c>
      <c r="DU206" s="231">
        <v>1400</v>
      </c>
      <c r="DV206" s="228">
        <v>0.61</v>
      </c>
      <c r="DW206" s="228">
        <v>0.34</v>
      </c>
      <c r="DX206" s="228">
        <v>0.27</v>
      </c>
      <c r="DY206" s="229">
        <v>0.79410000000000003</v>
      </c>
      <c r="DZ206" s="229">
        <v>5.5199999999999999E-2</v>
      </c>
      <c r="EA206" s="230">
        <v>604400</v>
      </c>
      <c r="EB206" s="229">
        <v>6.7999999999999996E-3</v>
      </c>
      <c r="EC206" s="229">
        <v>5.5199999999999999E-2</v>
      </c>
      <c r="ED206" s="228">
        <v>7.96</v>
      </c>
      <c r="EE206" s="229">
        <v>6.1999999999999998E-3</v>
      </c>
      <c r="EF206" s="230">
        <v>1839340</v>
      </c>
      <c r="EG206" s="230">
        <v>396599</v>
      </c>
      <c r="EH206" s="229">
        <v>3.6377999999999999</v>
      </c>
      <c r="EI206" s="229">
        <v>0.58909999999999996</v>
      </c>
      <c r="EJ206" s="231">
        <v>71229.399999999994</v>
      </c>
      <c r="EK206" s="231">
        <v>41356.04</v>
      </c>
      <c r="EL206" s="231">
        <v>36795.14</v>
      </c>
      <c r="EM206" s="231">
        <v>1913</v>
      </c>
      <c r="EN206" s="231">
        <v>149380.57999999999</v>
      </c>
      <c r="EO206" s="231">
        <v>28502.84</v>
      </c>
      <c r="EP206" s="231">
        <v>120877.74</v>
      </c>
      <c r="EQ206" s="229">
        <v>4.2408999999999999</v>
      </c>
      <c r="ER206" s="231">
        <v>51781</v>
      </c>
      <c r="ES206" s="231">
        <v>32992</v>
      </c>
      <c r="ET206" s="231">
        <v>157769</v>
      </c>
      <c r="EU206" s="231">
        <v>38847259</v>
      </c>
      <c r="EV206" s="231">
        <v>242542</v>
      </c>
      <c r="EW206" s="231">
        <v>223335</v>
      </c>
      <c r="EX206" s="231">
        <v>19207</v>
      </c>
      <c r="EY206" s="229">
        <v>8.5999999999999993E-2</v>
      </c>
      <c r="EZ206" s="229">
        <v>0.47070000000000001</v>
      </c>
      <c r="FA206" s="227" t="s">
        <v>566</v>
      </c>
      <c r="FB206" s="161">
        <f t="shared" si="5"/>
        <v>0</v>
      </c>
    </row>
    <row r="207" spans="1:158" ht="17.25" thickBot="1" x14ac:dyDescent="0.3">
      <c r="A207" s="226">
        <v>46148</v>
      </c>
      <c r="B207" s="227" t="s">
        <v>162</v>
      </c>
      <c r="C207" s="227" t="s">
        <v>671</v>
      </c>
      <c r="D207" s="228">
        <v>550</v>
      </c>
      <c r="E207" s="231">
        <v>1133.5999999999999</v>
      </c>
      <c r="F207" s="231">
        <v>1092.7</v>
      </c>
      <c r="G207" s="228">
        <v>40.9</v>
      </c>
      <c r="H207" s="229">
        <v>3.7400000000000003E-2</v>
      </c>
      <c r="I207" s="231">
        <v>1127.9000000000001</v>
      </c>
      <c r="J207" s="231">
        <v>1087.0999999999999</v>
      </c>
      <c r="K207" s="228">
        <v>40.799999999999997</v>
      </c>
      <c r="L207" s="229">
        <v>3.7499999999999999E-2</v>
      </c>
      <c r="M207" s="231">
        <v>1133.5999999999999</v>
      </c>
      <c r="N207" s="231">
        <v>1092.7</v>
      </c>
      <c r="O207" s="228">
        <v>40.9</v>
      </c>
      <c r="P207" s="229">
        <v>3.7400000000000003E-2</v>
      </c>
      <c r="Q207" s="231">
        <v>1139.8</v>
      </c>
      <c r="R207" s="231">
        <v>1100.3</v>
      </c>
      <c r="S207" s="228">
        <v>39.5</v>
      </c>
      <c r="T207" s="229">
        <v>3.5900000000000001E-2</v>
      </c>
      <c r="U207" s="231">
        <v>1142</v>
      </c>
      <c r="V207" s="231">
        <v>1083</v>
      </c>
      <c r="W207" s="228">
        <v>59</v>
      </c>
      <c r="X207" s="229">
        <v>5.45E-2</v>
      </c>
      <c r="Y207" s="228">
        <v>5.7</v>
      </c>
      <c r="Z207" s="228">
        <v>5.6</v>
      </c>
      <c r="AA207" s="228">
        <v>0.1</v>
      </c>
      <c r="AB207" s="229">
        <v>5.1000000000000004E-3</v>
      </c>
      <c r="AC207" s="228">
        <v>5.7</v>
      </c>
      <c r="AD207" s="228">
        <v>5.6</v>
      </c>
      <c r="AE207" s="228">
        <v>0.1</v>
      </c>
      <c r="AF207" s="229">
        <v>5.1000000000000004E-3</v>
      </c>
      <c r="AG207" s="228">
        <v>11.9</v>
      </c>
      <c r="AH207" s="228">
        <v>13.2</v>
      </c>
      <c r="AI207" s="228">
        <v>-1.3</v>
      </c>
      <c r="AJ207" s="229">
        <v>1.06E-2</v>
      </c>
      <c r="AK207" s="228">
        <v>14.1</v>
      </c>
      <c r="AL207" s="228">
        <v>-4.0999999999999996</v>
      </c>
      <c r="AM207" s="228">
        <v>18.2</v>
      </c>
      <c r="AN207" s="229">
        <v>1.2500000000000001E-2</v>
      </c>
      <c r="AO207" s="231">
        <v>1115.8900000000001</v>
      </c>
      <c r="AP207" s="231">
        <v>1123.25</v>
      </c>
      <c r="AQ207" s="228">
        <v>0</v>
      </c>
      <c r="AR207" s="230">
        <v>1100000</v>
      </c>
      <c r="AS207" s="230">
        <v>1240800</v>
      </c>
      <c r="AT207" s="230">
        <v>-140800</v>
      </c>
      <c r="AU207" s="229">
        <v>-0.1135</v>
      </c>
      <c r="AV207" s="230">
        <v>1056550</v>
      </c>
      <c r="AW207" s="230">
        <v>1211100</v>
      </c>
      <c r="AX207" s="230">
        <v>-154550</v>
      </c>
      <c r="AY207" s="229">
        <v>-0.12759999999999999</v>
      </c>
      <c r="AZ207" s="230">
        <v>41800</v>
      </c>
      <c r="BA207" s="230">
        <v>28600</v>
      </c>
      <c r="BB207" s="230">
        <v>13200</v>
      </c>
      <c r="BC207" s="229">
        <v>0.46150000000000002</v>
      </c>
      <c r="BD207" s="230">
        <v>1650</v>
      </c>
      <c r="BE207" s="230">
        <v>1100</v>
      </c>
      <c r="BF207" s="228">
        <v>550</v>
      </c>
      <c r="BG207" s="229">
        <v>0.5</v>
      </c>
      <c r="BH207" s="230">
        <v>2126300</v>
      </c>
      <c r="BI207" s="230">
        <v>1310100</v>
      </c>
      <c r="BJ207" s="230">
        <v>816200</v>
      </c>
      <c r="BK207" s="229">
        <v>0.623</v>
      </c>
      <c r="BL207" s="230">
        <v>510950</v>
      </c>
      <c r="BM207" s="230">
        <v>642950</v>
      </c>
      <c r="BN207" s="230">
        <v>-132000</v>
      </c>
      <c r="BO207" s="229">
        <v>-0.20530000000000001</v>
      </c>
      <c r="BP207" s="230">
        <v>3737250</v>
      </c>
      <c r="BQ207" s="230">
        <v>3193850</v>
      </c>
      <c r="BR207" s="230">
        <v>543400</v>
      </c>
      <c r="BS207" s="229">
        <v>0.1701</v>
      </c>
      <c r="BT207" s="230">
        <v>1301223</v>
      </c>
      <c r="BU207" s="230">
        <v>915067</v>
      </c>
      <c r="BV207" s="230">
        <v>386156</v>
      </c>
      <c r="BW207" s="229">
        <v>0.42199999999999999</v>
      </c>
      <c r="BX207" s="230">
        <v>4492950</v>
      </c>
      <c r="BY207" s="230">
        <v>4502850</v>
      </c>
      <c r="BZ207" s="230">
        <v>-9900</v>
      </c>
      <c r="CA207" s="229">
        <v>-2.2000000000000001E-3</v>
      </c>
      <c r="CB207" s="230">
        <v>4454450</v>
      </c>
      <c r="CC207" s="230">
        <v>4462150</v>
      </c>
      <c r="CD207" s="230">
        <v>-7700</v>
      </c>
      <c r="CE207" s="229">
        <v>-1.6999999999999999E-3</v>
      </c>
      <c r="CF207" s="230">
        <v>37400</v>
      </c>
      <c r="CG207" s="230">
        <v>39600</v>
      </c>
      <c r="CH207" s="230">
        <v>-2200</v>
      </c>
      <c r="CI207" s="229">
        <v>-5.5599999999999997E-2</v>
      </c>
      <c r="CJ207" s="230">
        <v>1100</v>
      </c>
      <c r="CK207" s="230">
        <v>1100</v>
      </c>
      <c r="CL207" s="228">
        <v>0</v>
      </c>
      <c r="CM207" s="229">
        <v>0</v>
      </c>
      <c r="CN207" s="230">
        <v>1270500</v>
      </c>
      <c r="CO207" s="230">
        <v>1169300</v>
      </c>
      <c r="CP207" s="230">
        <v>101200</v>
      </c>
      <c r="CQ207" s="229">
        <v>8.6499999999999994E-2</v>
      </c>
      <c r="CR207" s="230">
        <v>539550</v>
      </c>
      <c r="CS207" s="230">
        <v>486200</v>
      </c>
      <c r="CT207" s="230">
        <v>53350</v>
      </c>
      <c r="CU207" s="229">
        <v>0.10970000000000001</v>
      </c>
      <c r="CV207" s="230">
        <v>6303000</v>
      </c>
      <c r="CW207" s="230">
        <v>6158350</v>
      </c>
      <c r="CX207" s="230">
        <v>144650</v>
      </c>
      <c r="CY207" s="229">
        <v>2.35E-2</v>
      </c>
      <c r="CZ207" s="228">
        <v>39.42</v>
      </c>
      <c r="DA207" s="228">
        <v>40.36</v>
      </c>
      <c r="DB207" s="228">
        <v>-0.94</v>
      </c>
      <c r="DC207" s="228">
        <v>-0.94</v>
      </c>
      <c r="DD207" s="228">
        <v>42.6</v>
      </c>
      <c r="DE207" s="228">
        <v>42.41</v>
      </c>
      <c r="DF207" s="228">
        <v>-3.18</v>
      </c>
      <c r="DG207" s="228">
        <v>0.19</v>
      </c>
      <c r="DH207" s="228">
        <v>39.049999999999997</v>
      </c>
      <c r="DI207" s="228">
        <v>39.409999999999997</v>
      </c>
      <c r="DJ207" s="228">
        <v>-0.36</v>
      </c>
      <c r="DK207" s="228">
        <v>-0.36</v>
      </c>
      <c r="DL207" s="228">
        <v>40.950000000000003</v>
      </c>
      <c r="DM207" s="228">
        <v>42.31</v>
      </c>
      <c r="DN207" s="228">
        <v>-1.36</v>
      </c>
      <c r="DO207" s="228">
        <v>-1.36</v>
      </c>
      <c r="DP207" s="228">
        <v>0.42</v>
      </c>
      <c r="DQ207" s="228">
        <v>0.42</v>
      </c>
      <c r="DR207" s="228">
        <v>0</v>
      </c>
      <c r="DS207" s="229">
        <v>0</v>
      </c>
      <c r="DT207" s="231">
        <v>1200</v>
      </c>
      <c r="DU207" s="231">
        <v>1100</v>
      </c>
      <c r="DV207" s="228">
        <v>0.24</v>
      </c>
      <c r="DW207" s="228">
        <v>0.49</v>
      </c>
      <c r="DX207" s="228">
        <v>-0.25</v>
      </c>
      <c r="DY207" s="229">
        <v>-0.51019999999999999</v>
      </c>
      <c r="DZ207" s="229">
        <v>8.6E-3</v>
      </c>
      <c r="EA207" s="230">
        <v>40700</v>
      </c>
      <c r="EB207" s="229">
        <v>5.4999999999999997E-3</v>
      </c>
      <c r="EC207" s="229">
        <v>8.6E-3</v>
      </c>
      <c r="ED207" s="228">
        <v>7.36</v>
      </c>
      <c r="EE207" s="229">
        <v>6.6E-3</v>
      </c>
      <c r="EF207" s="230">
        <v>686655</v>
      </c>
      <c r="EG207" s="230">
        <v>350894</v>
      </c>
      <c r="EH207" s="229">
        <v>0.95689999999999997</v>
      </c>
      <c r="EI207" s="229">
        <v>0.52769999999999995</v>
      </c>
      <c r="EJ207" s="231">
        <v>25356.78</v>
      </c>
      <c r="EK207" s="231">
        <v>5634.52</v>
      </c>
      <c r="EL207" s="231">
        <v>12278.3</v>
      </c>
      <c r="EM207" s="231">
        <v>1337</v>
      </c>
      <c r="EN207" s="231">
        <v>43269.599999999999</v>
      </c>
      <c r="EO207" s="231">
        <v>36115.769999999997</v>
      </c>
      <c r="EP207" s="231">
        <v>7153.83</v>
      </c>
      <c r="EQ207" s="229">
        <v>0.1981</v>
      </c>
      <c r="ER207" s="231">
        <v>15111</v>
      </c>
      <c r="ES207" s="231">
        <v>5857</v>
      </c>
      <c r="ET207" s="231">
        <v>50934</v>
      </c>
      <c r="EU207" s="231">
        <v>27343613</v>
      </c>
      <c r="EV207" s="231">
        <v>71902</v>
      </c>
      <c r="EW207" s="231">
        <v>68375</v>
      </c>
      <c r="EX207" s="231">
        <v>3527</v>
      </c>
      <c r="EY207" s="229">
        <v>5.16E-2</v>
      </c>
      <c r="EZ207" s="229">
        <v>0.23050000000000001</v>
      </c>
      <c r="FA207" s="227" t="s">
        <v>691</v>
      </c>
      <c r="FB207" s="161">
        <f t="shared" si="5"/>
        <v>0</v>
      </c>
    </row>
    <row r="208" spans="1:158" ht="17.25" thickBot="1" x14ac:dyDescent="0.3">
      <c r="A208" s="226">
        <v>46148</v>
      </c>
      <c r="B208" s="227" t="s">
        <v>498</v>
      </c>
      <c r="C208" s="227" t="s">
        <v>303</v>
      </c>
      <c r="D208" s="228">
        <v>1355</v>
      </c>
      <c r="E208" s="228">
        <v>664.5</v>
      </c>
      <c r="F208" s="228">
        <v>646.25</v>
      </c>
      <c r="G208" s="228">
        <v>18.25</v>
      </c>
      <c r="H208" s="229">
        <v>2.8199999999999999E-2</v>
      </c>
      <c r="I208" s="228">
        <v>660</v>
      </c>
      <c r="J208" s="228">
        <v>642.04999999999995</v>
      </c>
      <c r="K208" s="228">
        <v>17.95</v>
      </c>
      <c r="L208" s="229">
        <v>2.8000000000000001E-2</v>
      </c>
      <c r="M208" s="228">
        <v>664.5</v>
      </c>
      <c r="N208" s="228">
        <v>646.25</v>
      </c>
      <c r="O208" s="228">
        <v>18.25</v>
      </c>
      <c r="P208" s="229">
        <v>2.8199999999999999E-2</v>
      </c>
      <c r="Q208" s="228">
        <v>668.5</v>
      </c>
      <c r="R208" s="228">
        <v>650.5</v>
      </c>
      <c r="S208" s="228">
        <v>18</v>
      </c>
      <c r="T208" s="229">
        <v>2.7699999999999999E-2</v>
      </c>
      <c r="U208" s="228">
        <v>669.65</v>
      </c>
      <c r="V208" s="228">
        <v>651.15</v>
      </c>
      <c r="W208" s="228">
        <v>18.5</v>
      </c>
      <c r="X208" s="229">
        <v>2.8400000000000002E-2</v>
      </c>
      <c r="Y208" s="228">
        <v>4.5</v>
      </c>
      <c r="Z208" s="228">
        <v>4.2</v>
      </c>
      <c r="AA208" s="228">
        <v>0.3</v>
      </c>
      <c r="AB208" s="229">
        <v>6.7999999999999996E-3</v>
      </c>
      <c r="AC208" s="228">
        <v>4.5</v>
      </c>
      <c r="AD208" s="228">
        <v>4.2</v>
      </c>
      <c r="AE208" s="228">
        <v>0.3</v>
      </c>
      <c r="AF208" s="229">
        <v>6.7999999999999996E-3</v>
      </c>
      <c r="AG208" s="228">
        <v>8.5</v>
      </c>
      <c r="AH208" s="228">
        <v>8.4499999999999993</v>
      </c>
      <c r="AI208" s="228">
        <v>0.05</v>
      </c>
      <c r="AJ208" s="229">
        <v>1.29E-2</v>
      </c>
      <c r="AK208" s="228">
        <v>9.65</v>
      </c>
      <c r="AL208" s="228">
        <v>9.1</v>
      </c>
      <c r="AM208" s="228">
        <v>0.55000000000000004</v>
      </c>
      <c r="AN208" s="229">
        <v>1.46E-2</v>
      </c>
      <c r="AO208" s="228">
        <v>658.35</v>
      </c>
      <c r="AP208" s="228">
        <v>661.5</v>
      </c>
      <c r="AQ208" s="228">
        <v>0</v>
      </c>
      <c r="AR208" s="230">
        <v>3002680</v>
      </c>
      <c r="AS208" s="230">
        <v>1006765</v>
      </c>
      <c r="AT208" s="230">
        <v>1995915</v>
      </c>
      <c r="AU208" s="229">
        <v>1.9824999999999999</v>
      </c>
      <c r="AV208" s="230">
        <v>2887505</v>
      </c>
      <c r="AW208" s="230">
        <v>952565</v>
      </c>
      <c r="AX208" s="230">
        <v>1934940</v>
      </c>
      <c r="AY208" s="229">
        <v>2.0312999999999999</v>
      </c>
      <c r="AZ208" s="230">
        <v>107045</v>
      </c>
      <c r="BA208" s="230">
        <v>54200</v>
      </c>
      <c r="BB208" s="230">
        <v>52845</v>
      </c>
      <c r="BC208" s="229">
        <v>0.97499999999999998</v>
      </c>
      <c r="BD208" s="230">
        <v>8130</v>
      </c>
      <c r="BE208" s="228">
        <v>0</v>
      </c>
      <c r="BF208" s="230">
        <v>8130</v>
      </c>
      <c r="BG208" s="229">
        <v>0</v>
      </c>
      <c r="BH208" s="230">
        <v>6749255</v>
      </c>
      <c r="BI208" s="230">
        <v>2178840</v>
      </c>
      <c r="BJ208" s="230">
        <v>4570415</v>
      </c>
      <c r="BK208" s="229">
        <v>2.0975999999999999</v>
      </c>
      <c r="BL208" s="230">
        <v>3059590</v>
      </c>
      <c r="BM208" s="230">
        <v>811645</v>
      </c>
      <c r="BN208" s="230">
        <v>2247945</v>
      </c>
      <c r="BO208" s="229">
        <v>2.7696000000000001</v>
      </c>
      <c r="BP208" s="230">
        <v>12811525</v>
      </c>
      <c r="BQ208" s="230">
        <v>3997250</v>
      </c>
      <c r="BR208" s="230">
        <v>8814275</v>
      </c>
      <c r="BS208" s="229">
        <v>2.2050999999999998</v>
      </c>
      <c r="BT208" s="230">
        <v>1878870</v>
      </c>
      <c r="BU208" s="230">
        <v>1374512</v>
      </c>
      <c r="BV208" s="230">
        <v>504358</v>
      </c>
      <c r="BW208" s="229">
        <v>0.3669</v>
      </c>
      <c r="BX208" s="230">
        <v>28146060</v>
      </c>
      <c r="BY208" s="230">
        <v>28884535</v>
      </c>
      <c r="BZ208" s="230">
        <v>-738475</v>
      </c>
      <c r="CA208" s="229">
        <v>-2.5600000000000001E-2</v>
      </c>
      <c r="CB208" s="230">
        <v>27826280</v>
      </c>
      <c r="CC208" s="230">
        <v>28555270</v>
      </c>
      <c r="CD208" s="230">
        <v>-728990</v>
      </c>
      <c r="CE208" s="229">
        <v>-2.5499999999999998E-2</v>
      </c>
      <c r="CF208" s="230">
        <v>310295</v>
      </c>
      <c r="CG208" s="230">
        <v>319780</v>
      </c>
      <c r="CH208" s="230">
        <v>-9485</v>
      </c>
      <c r="CI208" s="229">
        <v>-2.9700000000000001E-2</v>
      </c>
      <c r="CJ208" s="230">
        <v>9485</v>
      </c>
      <c r="CK208" s="230">
        <v>9485</v>
      </c>
      <c r="CL208" s="228">
        <v>0</v>
      </c>
      <c r="CM208" s="229">
        <v>0</v>
      </c>
      <c r="CN208" s="230">
        <v>5196425</v>
      </c>
      <c r="CO208" s="230">
        <v>4711335</v>
      </c>
      <c r="CP208" s="230">
        <v>485090</v>
      </c>
      <c r="CQ208" s="229">
        <v>0.10299999999999999</v>
      </c>
      <c r="CR208" s="230">
        <v>3406470</v>
      </c>
      <c r="CS208" s="230">
        <v>3323815</v>
      </c>
      <c r="CT208" s="230">
        <v>82655</v>
      </c>
      <c r="CU208" s="229">
        <v>2.4899999999999999E-2</v>
      </c>
      <c r="CV208" s="230">
        <v>36748955</v>
      </c>
      <c r="CW208" s="230">
        <v>36919685</v>
      </c>
      <c r="CX208" s="230">
        <v>-170730</v>
      </c>
      <c r="CY208" s="229">
        <v>-4.5999999999999999E-3</v>
      </c>
      <c r="CZ208" s="228">
        <v>34.68</v>
      </c>
      <c r="DA208" s="228">
        <v>34.869999999999997</v>
      </c>
      <c r="DB208" s="228">
        <v>-0.19</v>
      </c>
      <c r="DC208" s="228">
        <v>-0.19</v>
      </c>
      <c r="DD208" s="228">
        <v>41.13</v>
      </c>
      <c r="DE208" s="228">
        <v>41.06</v>
      </c>
      <c r="DF208" s="228">
        <v>-6.45</v>
      </c>
      <c r="DG208" s="228">
        <v>7.0000000000000007E-2</v>
      </c>
      <c r="DH208" s="228">
        <v>34.58</v>
      </c>
      <c r="DI208" s="228">
        <v>34.619999999999997</v>
      </c>
      <c r="DJ208" s="228">
        <v>-0.04</v>
      </c>
      <c r="DK208" s="228">
        <v>-0.04</v>
      </c>
      <c r="DL208" s="228">
        <v>34.909999999999997</v>
      </c>
      <c r="DM208" s="228">
        <v>35.549999999999997</v>
      </c>
      <c r="DN208" s="228">
        <v>-0.64</v>
      </c>
      <c r="DO208" s="228">
        <v>-0.64</v>
      </c>
      <c r="DP208" s="228">
        <v>0.66</v>
      </c>
      <c r="DQ208" s="228">
        <v>0.71</v>
      </c>
      <c r="DR208" s="228">
        <v>-0.05</v>
      </c>
      <c r="DS208" s="229">
        <v>-7.0400000000000004E-2</v>
      </c>
      <c r="DT208" s="228">
        <v>700</v>
      </c>
      <c r="DU208" s="228">
        <v>650</v>
      </c>
      <c r="DV208" s="228">
        <v>0.45</v>
      </c>
      <c r="DW208" s="228">
        <v>0.37</v>
      </c>
      <c r="DX208" s="228">
        <v>0.08</v>
      </c>
      <c r="DY208" s="229">
        <v>0.2162</v>
      </c>
      <c r="DZ208" s="229">
        <v>1.14E-2</v>
      </c>
      <c r="EA208" s="230">
        <v>329265</v>
      </c>
      <c r="EB208" s="229">
        <v>6.0000000000000001E-3</v>
      </c>
      <c r="EC208" s="229">
        <v>1.14E-2</v>
      </c>
      <c r="ED208" s="228">
        <v>3.15</v>
      </c>
      <c r="EE208" s="229">
        <v>4.7999999999999996E-3</v>
      </c>
      <c r="EF208" s="230">
        <v>983760</v>
      </c>
      <c r="EG208" s="230">
        <v>794966</v>
      </c>
      <c r="EH208" s="229">
        <v>0.23749999999999999</v>
      </c>
      <c r="EI208" s="229">
        <v>0.52359999999999995</v>
      </c>
      <c r="EJ208" s="231">
        <v>46449.81</v>
      </c>
      <c r="EK208" s="231">
        <v>20070.02</v>
      </c>
      <c r="EL208" s="231">
        <v>19771.849999999999</v>
      </c>
      <c r="EM208" s="231">
        <v>1251</v>
      </c>
      <c r="EN208" s="231">
        <v>86291.68</v>
      </c>
      <c r="EO208" s="231">
        <v>26704.67</v>
      </c>
      <c r="EP208" s="231">
        <v>59587.01</v>
      </c>
      <c r="EQ208" s="229">
        <v>2.2313000000000001</v>
      </c>
      <c r="ER208" s="231">
        <v>35101</v>
      </c>
      <c r="ES208" s="231">
        <v>21895</v>
      </c>
      <c r="ET208" s="231">
        <v>187043</v>
      </c>
      <c r="EU208" s="231">
        <v>84189026</v>
      </c>
      <c r="EV208" s="231">
        <v>244039</v>
      </c>
      <c r="EW208" s="231">
        <v>239702</v>
      </c>
      <c r="EX208" s="231">
        <v>4337</v>
      </c>
      <c r="EY208" s="229">
        <v>1.8100000000000002E-2</v>
      </c>
      <c r="EZ208" s="229">
        <v>0.4365</v>
      </c>
      <c r="FA208" s="227" t="s">
        <v>691</v>
      </c>
      <c r="FB208" s="161">
        <f t="shared" si="5"/>
        <v>0</v>
      </c>
    </row>
    <row r="209" spans="1:158" ht="17.25" thickBot="1" x14ac:dyDescent="0.3">
      <c r="A209" s="226">
        <v>46148</v>
      </c>
      <c r="B209" s="227" t="s">
        <v>168</v>
      </c>
      <c r="C209" s="227" t="s">
        <v>585</v>
      </c>
      <c r="D209" s="228">
        <v>1125</v>
      </c>
      <c r="E209" s="228">
        <v>512.5</v>
      </c>
      <c r="F209" s="228">
        <v>514.35</v>
      </c>
      <c r="G209" s="228">
        <v>-1.85</v>
      </c>
      <c r="H209" s="229">
        <v>-3.5999999999999999E-3</v>
      </c>
      <c r="I209" s="228">
        <v>508.95</v>
      </c>
      <c r="J209" s="228">
        <v>511.7</v>
      </c>
      <c r="K209" s="228">
        <v>-2.75</v>
      </c>
      <c r="L209" s="229">
        <v>-5.4000000000000003E-3</v>
      </c>
      <c r="M209" s="228">
        <v>512.5</v>
      </c>
      <c r="N209" s="228">
        <v>514.35</v>
      </c>
      <c r="O209" s="228">
        <v>-1.85</v>
      </c>
      <c r="P209" s="229">
        <v>-3.5999999999999999E-3</v>
      </c>
      <c r="Q209" s="228">
        <v>515.79999999999995</v>
      </c>
      <c r="R209" s="228">
        <v>517.29999999999995</v>
      </c>
      <c r="S209" s="228">
        <v>-1.5</v>
      </c>
      <c r="T209" s="229">
        <v>-2.8999999999999998E-3</v>
      </c>
      <c r="U209" s="228">
        <v>518.54999999999995</v>
      </c>
      <c r="V209" s="228">
        <v>520.9</v>
      </c>
      <c r="W209" s="228">
        <v>-2.35</v>
      </c>
      <c r="X209" s="229">
        <v>-4.4999999999999997E-3</v>
      </c>
      <c r="Y209" s="228">
        <v>3.55</v>
      </c>
      <c r="Z209" s="228">
        <v>2.65</v>
      </c>
      <c r="AA209" s="228">
        <v>0.9</v>
      </c>
      <c r="AB209" s="229">
        <v>7.0000000000000001E-3</v>
      </c>
      <c r="AC209" s="228">
        <v>3.55</v>
      </c>
      <c r="AD209" s="228">
        <v>2.65</v>
      </c>
      <c r="AE209" s="228">
        <v>0.9</v>
      </c>
      <c r="AF209" s="229">
        <v>7.0000000000000001E-3</v>
      </c>
      <c r="AG209" s="228">
        <v>6.85</v>
      </c>
      <c r="AH209" s="228">
        <v>5.6</v>
      </c>
      <c r="AI209" s="228">
        <v>1.25</v>
      </c>
      <c r="AJ209" s="229">
        <v>1.35E-2</v>
      </c>
      <c r="AK209" s="228">
        <v>9.6</v>
      </c>
      <c r="AL209" s="228">
        <v>9.1999999999999993</v>
      </c>
      <c r="AM209" s="228">
        <v>0.4</v>
      </c>
      <c r="AN209" s="229">
        <v>1.89E-2</v>
      </c>
      <c r="AO209" s="228">
        <v>509.76</v>
      </c>
      <c r="AP209" s="228">
        <v>512.16</v>
      </c>
      <c r="AQ209" s="228">
        <v>0</v>
      </c>
      <c r="AR209" s="230">
        <v>4105125</v>
      </c>
      <c r="AS209" s="230">
        <v>5397750</v>
      </c>
      <c r="AT209" s="230">
        <v>-1292625</v>
      </c>
      <c r="AU209" s="229">
        <v>-0.23949999999999999</v>
      </c>
      <c r="AV209" s="230">
        <v>3937500</v>
      </c>
      <c r="AW209" s="230">
        <v>5194125</v>
      </c>
      <c r="AX209" s="230">
        <v>-1256625</v>
      </c>
      <c r="AY209" s="229">
        <v>-0.2419</v>
      </c>
      <c r="AZ209" s="230">
        <v>128250</v>
      </c>
      <c r="BA209" s="230">
        <v>171000</v>
      </c>
      <c r="BB209" s="230">
        <v>-42750</v>
      </c>
      <c r="BC209" s="229">
        <v>-0.25</v>
      </c>
      <c r="BD209" s="230">
        <v>39375</v>
      </c>
      <c r="BE209" s="230">
        <v>32625</v>
      </c>
      <c r="BF209" s="230">
        <v>6750</v>
      </c>
      <c r="BG209" s="229">
        <v>0.2069</v>
      </c>
      <c r="BH209" s="230">
        <v>7102125</v>
      </c>
      <c r="BI209" s="230">
        <v>8134875</v>
      </c>
      <c r="BJ209" s="230">
        <v>-1032750</v>
      </c>
      <c r="BK209" s="229">
        <v>-0.127</v>
      </c>
      <c r="BL209" s="230">
        <v>4106250</v>
      </c>
      <c r="BM209" s="230">
        <v>5037750</v>
      </c>
      <c r="BN209" s="230">
        <v>-931500</v>
      </c>
      <c r="BO209" s="229">
        <v>-0.18490000000000001</v>
      </c>
      <c r="BP209" s="230">
        <v>15313500</v>
      </c>
      <c r="BQ209" s="230">
        <v>18570375</v>
      </c>
      <c r="BR209" s="230">
        <v>-3256875</v>
      </c>
      <c r="BS209" s="229">
        <v>-0.1754</v>
      </c>
      <c r="BT209" s="230">
        <v>4718025</v>
      </c>
      <c r="BU209" s="230">
        <v>5122816</v>
      </c>
      <c r="BV209" s="230">
        <v>-404791</v>
      </c>
      <c r="BW209" s="229">
        <v>-7.9000000000000001E-2</v>
      </c>
      <c r="BX209" s="230">
        <v>49632300</v>
      </c>
      <c r="BY209" s="230">
        <v>49328175</v>
      </c>
      <c r="BZ209" s="230">
        <v>304125</v>
      </c>
      <c r="CA209" s="229">
        <v>6.1999999999999998E-3</v>
      </c>
      <c r="CB209" s="230">
        <v>48462750</v>
      </c>
      <c r="CC209" s="230">
        <v>48196125</v>
      </c>
      <c r="CD209" s="230">
        <v>266625</v>
      </c>
      <c r="CE209" s="229">
        <v>5.4999999999999997E-3</v>
      </c>
      <c r="CF209" s="230">
        <v>1116000</v>
      </c>
      <c r="CG209" s="230">
        <v>1091250</v>
      </c>
      <c r="CH209" s="230">
        <v>24750</v>
      </c>
      <c r="CI209" s="229">
        <v>2.2700000000000001E-2</v>
      </c>
      <c r="CJ209" s="230">
        <v>53550</v>
      </c>
      <c r="CK209" s="230">
        <v>40800</v>
      </c>
      <c r="CL209" s="230">
        <v>12750</v>
      </c>
      <c r="CM209" s="229">
        <v>0.3125</v>
      </c>
      <c r="CN209" s="230">
        <v>11612250</v>
      </c>
      <c r="CO209" s="230">
        <v>11232000</v>
      </c>
      <c r="CP209" s="230">
        <v>380250</v>
      </c>
      <c r="CQ209" s="229">
        <v>3.39E-2</v>
      </c>
      <c r="CR209" s="230">
        <v>6458625</v>
      </c>
      <c r="CS209" s="230">
        <v>6440625</v>
      </c>
      <c r="CT209" s="230">
        <v>18000</v>
      </c>
      <c r="CU209" s="229">
        <v>2.8E-3</v>
      </c>
      <c r="CV209" s="230">
        <v>67703175</v>
      </c>
      <c r="CW209" s="230">
        <v>67000800</v>
      </c>
      <c r="CX209" s="230">
        <v>702375</v>
      </c>
      <c r="CY209" s="229">
        <v>1.0500000000000001E-2</v>
      </c>
      <c r="CZ209" s="228">
        <v>30.17</v>
      </c>
      <c r="DA209" s="228">
        <v>31.9</v>
      </c>
      <c r="DB209" s="228">
        <v>-1.73</v>
      </c>
      <c r="DC209" s="228">
        <v>-1.73</v>
      </c>
      <c r="DD209" s="228">
        <v>38.729999999999997</v>
      </c>
      <c r="DE209" s="228">
        <v>38.82</v>
      </c>
      <c r="DF209" s="228">
        <v>-8.56</v>
      </c>
      <c r="DG209" s="228">
        <v>-0.09</v>
      </c>
      <c r="DH209" s="228">
        <v>29.9</v>
      </c>
      <c r="DI209" s="228">
        <v>31.36</v>
      </c>
      <c r="DJ209" s="228">
        <v>-1.46</v>
      </c>
      <c r="DK209" s="228">
        <v>-1.46</v>
      </c>
      <c r="DL209" s="228">
        <v>30.64</v>
      </c>
      <c r="DM209" s="228">
        <v>32.770000000000003</v>
      </c>
      <c r="DN209" s="228">
        <v>-2.13</v>
      </c>
      <c r="DO209" s="228">
        <v>-2.13</v>
      </c>
      <c r="DP209" s="228">
        <v>0.56000000000000005</v>
      </c>
      <c r="DQ209" s="228">
        <v>0.56999999999999995</v>
      </c>
      <c r="DR209" s="228">
        <v>-0.01</v>
      </c>
      <c r="DS209" s="229">
        <v>-1.7500000000000002E-2</v>
      </c>
      <c r="DT209" s="228">
        <v>585</v>
      </c>
      <c r="DU209" s="228">
        <v>500</v>
      </c>
      <c r="DV209" s="228">
        <v>0.57999999999999996</v>
      </c>
      <c r="DW209" s="228">
        <v>0.62</v>
      </c>
      <c r="DX209" s="228">
        <v>-0.04</v>
      </c>
      <c r="DY209" s="229">
        <v>-6.4500000000000002E-2</v>
      </c>
      <c r="DZ209" s="229">
        <v>2.3599999999999999E-2</v>
      </c>
      <c r="EA209" s="230">
        <v>1132050</v>
      </c>
      <c r="EB209" s="229">
        <v>6.4000000000000003E-3</v>
      </c>
      <c r="EC209" s="229">
        <v>2.3599999999999999E-2</v>
      </c>
      <c r="ED209" s="228">
        <v>2.4</v>
      </c>
      <c r="EE209" s="229">
        <v>4.7000000000000002E-3</v>
      </c>
      <c r="EF209" s="230">
        <v>2332966</v>
      </c>
      <c r="EG209" s="230">
        <v>2681248</v>
      </c>
      <c r="EH209" s="229">
        <v>-0.12989999999999999</v>
      </c>
      <c r="EI209" s="229">
        <v>0.4945</v>
      </c>
      <c r="EJ209" s="231">
        <v>38209.910000000003</v>
      </c>
      <c r="EK209" s="231">
        <v>20832.88</v>
      </c>
      <c r="EL209" s="231">
        <v>20958.2</v>
      </c>
      <c r="EM209" s="231">
        <v>5820</v>
      </c>
      <c r="EN209" s="231">
        <v>80000.990000000005</v>
      </c>
      <c r="EO209" s="231">
        <v>96985.78</v>
      </c>
      <c r="EP209" s="231">
        <v>-16984.79</v>
      </c>
      <c r="EQ209" s="229">
        <v>-0.17510000000000001</v>
      </c>
      <c r="ER209" s="231">
        <v>61965</v>
      </c>
      <c r="ES209" s="231">
        <v>31663</v>
      </c>
      <c r="ET209" s="231">
        <v>254406</v>
      </c>
      <c r="EU209" s="231">
        <v>205765243</v>
      </c>
      <c r="EV209" s="231">
        <v>348033</v>
      </c>
      <c r="EW209" s="231">
        <v>345215</v>
      </c>
      <c r="EX209" s="231">
        <v>2818</v>
      </c>
      <c r="EY209" s="229">
        <v>8.2000000000000007E-3</v>
      </c>
      <c r="EZ209" s="229">
        <v>0.32900000000000001</v>
      </c>
      <c r="FA209" s="227" t="s">
        <v>566</v>
      </c>
      <c r="FB209" s="161">
        <f t="shared" si="5"/>
        <v>0</v>
      </c>
    </row>
    <row r="210" spans="1:158" ht="17.25" thickBot="1" x14ac:dyDescent="0.3">
      <c r="A210" s="226">
        <v>46148</v>
      </c>
      <c r="B210" s="227" t="s">
        <v>227</v>
      </c>
      <c r="C210" s="227" t="s">
        <v>304</v>
      </c>
      <c r="D210" s="228">
        <v>1150</v>
      </c>
      <c r="E210" s="228">
        <v>318</v>
      </c>
      <c r="F210" s="228">
        <v>305.2</v>
      </c>
      <c r="G210" s="228">
        <v>12.8</v>
      </c>
      <c r="H210" s="229">
        <v>4.19E-2</v>
      </c>
      <c r="I210" s="228">
        <v>316.39999999999998</v>
      </c>
      <c r="J210" s="228">
        <v>303.89999999999998</v>
      </c>
      <c r="K210" s="228">
        <v>12.5</v>
      </c>
      <c r="L210" s="229">
        <v>4.1099999999999998E-2</v>
      </c>
      <c r="M210" s="228">
        <v>318</v>
      </c>
      <c r="N210" s="228">
        <v>305.2</v>
      </c>
      <c r="O210" s="228">
        <v>12.8</v>
      </c>
      <c r="P210" s="229">
        <v>4.19E-2</v>
      </c>
      <c r="Q210" s="228">
        <v>320.10000000000002</v>
      </c>
      <c r="R210" s="228">
        <v>307.10000000000002</v>
      </c>
      <c r="S210" s="228">
        <v>13</v>
      </c>
      <c r="T210" s="229">
        <v>4.2299999999999997E-2</v>
      </c>
      <c r="U210" s="228">
        <v>322.05</v>
      </c>
      <c r="V210" s="228">
        <v>308.45</v>
      </c>
      <c r="W210" s="228">
        <v>13.6</v>
      </c>
      <c r="X210" s="229">
        <v>4.41E-2</v>
      </c>
      <c r="Y210" s="228">
        <v>1.6</v>
      </c>
      <c r="Z210" s="228">
        <v>1.3</v>
      </c>
      <c r="AA210" s="228">
        <v>0.3</v>
      </c>
      <c r="AB210" s="229">
        <v>5.1000000000000004E-3</v>
      </c>
      <c r="AC210" s="228">
        <v>1.6</v>
      </c>
      <c r="AD210" s="228">
        <v>1.3</v>
      </c>
      <c r="AE210" s="228">
        <v>0.3</v>
      </c>
      <c r="AF210" s="229">
        <v>5.1000000000000004E-3</v>
      </c>
      <c r="AG210" s="228">
        <v>3.7</v>
      </c>
      <c r="AH210" s="228">
        <v>3.2</v>
      </c>
      <c r="AI210" s="228">
        <v>0.5</v>
      </c>
      <c r="AJ210" s="229">
        <v>1.17E-2</v>
      </c>
      <c r="AK210" s="228">
        <v>5.65</v>
      </c>
      <c r="AL210" s="228">
        <v>4.55</v>
      </c>
      <c r="AM210" s="228">
        <v>1.1000000000000001</v>
      </c>
      <c r="AN210" s="229">
        <v>1.7899999999999999E-2</v>
      </c>
      <c r="AO210" s="228">
        <v>314.83</v>
      </c>
      <c r="AP210" s="228">
        <v>316.67</v>
      </c>
      <c r="AQ210" s="228">
        <v>0</v>
      </c>
      <c r="AR210" s="230">
        <v>23451950</v>
      </c>
      <c r="AS210" s="230">
        <v>20589600</v>
      </c>
      <c r="AT210" s="230">
        <v>2862350</v>
      </c>
      <c r="AU210" s="229">
        <v>0.13900000000000001</v>
      </c>
      <c r="AV210" s="230">
        <v>21770650</v>
      </c>
      <c r="AW210" s="230">
        <v>18663350</v>
      </c>
      <c r="AX210" s="230">
        <v>3107300</v>
      </c>
      <c r="AY210" s="229">
        <v>0.16650000000000001</v>
      </c>
      <c r="AZ210" s="230">
        <v>1317900</v>
      </c>
      <c r="BA210" s="230">
        <v>1611150</v>
      </c>
      <c r="BB210" s="230">
        <v>-293250</v>
      </c>
      <c r="BC210" s="229">
        <v>-0.182</v>
      </c>
      <c r="BD210" s="230">
        <v>363400</v>
      </c>
      <c r="BE210" s="230">
        <v>315100</v>
      </c>
      <c r="BF210" s="230">
        <v>48300</v>
      </c>
      <c r="BG210" s="229">
        <v>0.15329999999999999</v>
      </c>
      <c r="BH210" s="230">
        <v>123673300</v>
      </c>
      <c r="BI210" s="230">
        <v>116240850</v>
      </c>
      <c r="BJ210" s="230">
        <v>7432450</v>
      </c>
      <c r="BK210" s="229">
        <v>6.3899999999999998E-2</v>
      </c>
      <c r="BL210" s="230">
        <v>60074850</v>
      </c>
      <c r="BM210" s="230">
        <v>47864150</v>
      </c>
      <c r="BN210" s="230">
        <v>12210700</v>
      </c>
      <c r="BO210" s="229">
        <v>0.25509999999999999</v>
      </c>
      <c r="BP210" s="230">
        <v>207200100</v>
      </c>
      <c r="BQ210" s="230">
        <v>184694600</v>
      </c>
      <c r="BR210" s="230">
        <v>22505500</v>
      </c>
      <c r="BS210" s="229">
        <v>0.12189999999999999</v>
      </c>
      <c r="BT210" s="230">
        <v>80204313</v>
      </c>
      <c r="BU210" s="230">
        <v>74489036</v>
      </c>
      <c r="BV210" s="230">
        <v>5715277</v>
      </c>
      <c r="BW210" s="229">
        <v>7.6700000000000004E-2</v>
      </c>
      <c r="BX210" s="230">
        <v>27073300</v>
      </c>
      <c r="BY210" s="230">
        <v>25377050</v>
      </c>
      <c r="BZ210" s="230">
        <v>1696250</v>
      </c>
      <c r="CA210" s="229">
        <v>6.6799999999999998E-2</v>
      </c>
      <c r="CB210" s="230">
        <v>25501250</v>
      </c>
      <c r="CC210" s="230">
        <v>24084450</v>
      </c>
      <c r="CD210" s="230">
        <v>1416800</v>
      </c>
      <c r="CE210" s="229">
        <v>5.8799999999999998E-2</v>
      </c>
      <c r="CF210" s="230">
        <v>1113200</v>
      </c>
      <c r="CG210" s="230">
        <v>961400</v>
      </c>
      <c r="CH210" s="230">
        <v>151800</v>
      </c>
      <c r="CI210" s="229">
        <v>0.15790000000000001</v>
      </c>
      <c r="CJ210" s="230">
        <v>458850</v>
      </c>
      <c r="CK210" s="230">
        <v>331200</v>
      </c>
      <c r="CL210" s="230">
        <v>127650</v>
      </c>
      <c r="CM210" s="229">
        <v>0.38540000000000002</v>
      </c>
      <c r="CN210" s="230">
        <v>30055250</v>
      </c>
      <c r="CO210" s="230">
        <v>27613800</v>
      </c>
      <c r="CP210" s="230">
        <v>2441450</v>
      </c>
      <c r="CQ210" s="229">
        <v>8.8400000000000006E-2</v>
      </c>
      <c r="CR210" s="230">
        <v>22689500</v>
      </c>
      <c r="CS210" s="230">
        <v>18222900</v>
      </c>
      <c r="CT210" s="230">
        <v>4466600</v>
      </c>
      <c r="CU210" s="229">
        <v>0.24510000000000001</v>
      </c>
      <c r="CV210" s="230">
        <v>79818050</v>
      </c>
      <c r="CW210" s="230">
        <v>71213750</v>
      </c>
      <c r="CX210" s="230">
        <v>8604300</v>
      </c>
      <c r="CY210" s="229">
        <v>0.1208</v>
      </c>
      <c r="CZ210" s="228">
        <v>46.19</v>
      </c>
      <c r="DA210" s="228">
        <v>47.48</v>
      </c>
      <c r="DB210" s="228">
        <v>-1.29</v>
      </c>
      <c r="DC210" s="228">
        <v>-1.29</v>
      </c>
      <c r="DD210" s="228">
        <v>43.44</v>
      </c>
      <c r="DE210" s="228">
        <v>43.19</v>
      </c>
      <c r="DF210" s="228">
        <v>2.75</v>
      </c>
      <c r="DG210" s="228">
        <v>0.25</v>
      </c>
      <c r="DH210" s="228">
        <v>46.36</v>
      </c>
      <c r="DI210" s="228">
        <v>47.16</v>
      </c>
      <c r="DJ210" s="228">
        <v>-0.8</v>
      </c>
      <c r="DK210" s="228">
        <v>-0.8</v>
      </c>
      <c r="DL210" s="228">
        <v>45.84</v>
      </c>
      <c r="DM210" s="228">
        <v>48.25</v>
      </c>
      <c r="DN210" s="228">
        <v>-2.41</v>
      </c>
      <c r="DO210" s="228">
        <v>-2.41</v>
      </c>
      <c r="DP210" s="228">
        <v>0.75</v>
      </c>
      <c r="DQ210" s="228">
        <v>0.66</v>
      </c>
      <c r="DR210" s="228">
        <v>0.09</v>
      </c>
      <c r="DS210" s="229">
        <v>0.13639999999999999</v>
      </c>
      <c r="DT210" s="228">
        <v>350</v>
      </c>
      <c r="DU210" s="228">
        <v>300</v>
      </c>
      <c r="DV210" s="228">
        <v>0.49</v>
      </c>
      <c r="DW210" s="228">
        <v>0.41</v>
      </c>
      <c r="DX210" s="228">
        <v>0.08</v>
      </c>
      <c r="DY210" s="229">
        <v>0.1951</v>
      </c>
      <c r="DZ210" s="229">
        <v>5.8099999999999999E-2</v>
      </c>
      <c r="EA210" s="230">
        <v>1292600</v>
      </c>
      <c r="EB210" s="229">
        <v>6.6E-3</v>
      </c>
      <c r="EC210" s="229">
        <v>5.8099999999999999E-2</v>
      </c>
      <c r="ED210" s="228">
        <v>1.84</v>
      </c>
      <c r="EE210" s="229">
        <v>5.7999999999999996E-3</v>
      </c>
      <c r="EF210" s="230">
        <v>25120971</v>
      </c>
      <c r="EG210" s="230">
        <v>23508041</v>
      </c>
      <c r="EH210" s="229">
        <v>6.8599999999999994E-2</v>
      </c>
      <c r="EI210" s="229">
        <v>0.31319999999999998</v>
      </c>
      <c r="EJ210" s="231">
        <v>418788.38</v>
      </c>
      <c r="EK210" s="231">
        <v>181815.6</v>
      </c>
      <c r="EL210" s="231">
        <v>73871.91</v>
      </c>
      <c r="EM210" s="231">
        <v>21205</v>
      </c>
      <c r="EN210" s="231">
        <v>674475.89</v>
      </c>
      <c r="EO210" s="231">
        <v>581853.42000000004</v>
      </c>
      <c r="EP210" s="231">
        <v>92622.47</v>
      </c>
      <c r="EQ210" s="229">
        <v>0.15920000000000001</v>
      </c>
      <c r="ER210" s="231">
        <v>97677</v>
      </c>
      <c r="ES210" s="231">
        <v>63944</v>
      </c>
      <c r="ET210" s="231">
        <v>86135</v>
      </c>
      <c r="EU210" s="231">
        <v>255495438</v>
      </c>
      <c r="EV210" s="231">
        <v>247756</v>
      </c>
      <c r="EW210" s="231">
        <v>215457</v>
      </c>
      <c r="EX210" s="231">
        <v>32299</v>
      </c>
      <c r="EY210" s="229">
        <v>0.14990000000000001</v>
      </c>
      <c r="EZ210" s="229">
        <v>0.31240000000000001</v>
      </c>
      <c r="FA210" s="227" t="s">
        <v>555</v>
      </c>
      <c r="FB210" s="161">
        <f t="shared" si="5"/>
        <v>0</v>
      </c>
    </row>
    <row r="211" spans="1:158" ht="17.25" thickBot="1" x14ac:dyDescent="0.3">
      <c r="A211" s="226">
        <v>46148</v>
      </c>
      <c r="B211" s="227" t="s">
        <v>614</v>
      </c>
      <c r="C211" s="227" t="s">
        <v>695</v>
      </c>
      <c r="D211" s="228">
        <v>4850</v>
      </c>
      <c r="E211" s="228">
        <v>124.95</v>
      </c>
      <c r="F211" s="228">
        <v>125.38</v>
      </c>
      <c r="G211" s="228">
        <v>-0.43</v>
      </c>
      <c r="H211" s="229">
        <v>-3.3999999999999998E-3</v>
      </c>
      <c r="I211" s="228">
        <v>124.2</v>
      </c>
      <c r="J211" s="228">
        <v>125.08</v>
      </c>
      <c r="K211" s="228">
        <v>-0.88</v>
      </c>
      <c r="L211" s="229">
        <v>-7.0000000000000001E-3</v>
      </c>
      <c r="M211" s="228">
        <v>124.95</v>
      </c>
      <c r="N211" s="228">
        <v>125.38</v>
      </c>
      <c r="O211" s="228">
        <v>-0.43</v>
      </c>
      <c r="P211" s="229">
        <v>-3.3999999999999998E-3</v>
      </c>
      <c r="Q211" s="228">
        <v>125.95</v>
      </c>
      <c r="R211" s="228">
        <v>125.92</v>
      </c>
      <c r="S211" s="228">
        <v>0.03</v>
      </c>
      <c r="T211" s="229">
        <v>2.0000000000000001E-4</v>
      </c>
      <c r="U211" s="228">
        <v>126.5</v>
      </c>
      <c r="V211" s="228">
        <v>126.5</v>
      </c>
      <c r="W211" s="228">
        <v>0</v>
      </c>
      <c r="X211" s="229">
        <v>0</v>
      </c>
      <c r="Y211" s="228">
        <v>0.75</v>
      </c>
      <c r="Z211" s="228">
        <v>0.3</v>
      </c>
      <c r="AA211" s="228">
        <v>0.45</v>
      </c>
      <c r="AB211" s="229">
        <v>6.0000000000000001E-3</v>
      </c>
      <c r="AC211" s="228">
        <v>0.75</v>
      </c>
      <c r="AD211" s="228">
        <v>0.3</v>
      </c>
      <c r="AE211" s="228">
        <v>0.45</v>
      </c>
      <c r="AF211" s="229">
        <v>6.0000000000000001E-3</v>
      </c>
      <c r="AG211" s="228">
        <v>1.75</v>
      </c>
      <c r="AH211" s="228">
        <v>0.84</v>
      </c>
      <c r="AI211" s="228">
        <v>0.91</v>
      </c>
      <c r="AJ211" s="229">
        <v>1.41E-2</v>
      </c>
      <c r="AK211" s="228">
        <v>2.2999999999999998</v>
      </c>
      <c r="AL211" s="228">
        <v>1.42</v>
      </c>
      <c r="AM211" s="228">
        <v>0.88</v>
      </c>
      <c r="AN211" s="229">
        <v>1.8499999999999999E-2</v>
      </c>
      <c r="AO211" s="228">
        <v>124.6</v>
      </c>
      <c r="AP211" s="228">
        <v>125.23</v>
      </c>
      <c r="AQ211" s="228">
        <v>0</v>
      </c>
      <c r="AR211" s="230">
        <v>3584150</v>
      </c>
      <c r="AS211" s="230">
        <v>4966400</v>
      </c>
      <c r="AT211" s="230">
        <v>-1382250</v>
      </c>
      <c r="AU211" s="229">
        <v>-0.27829999999999999</v>
      </c>
      <c r="AV211" s="230">
        <v>3462900</v>
      </c>
      <c r="AW211" s="230">
        <v>4816050</v>
      </c>
      <c r="AX211" s="230">
        <v>-1353150</v>
      </c>
      <c r="AY211" s="229">
        <v>-0.28100000000000003</v>
      </c>
      <c r="AZ211" s="230">
        <v>121250</v>
      </c>
      <c r="BA211" s="230">
        <v>145500</v>
      </c>
      <c r="BB211" s="230">
        <v>-24250</v>
      </c>
      <c r="BC211" s="229">
        <v>-0.16669999999999999</v>
      </c>
      <c r="BD211" s="228">
        <v>0</v>
      </c>
      <c r="BE211" s="230">
        <v>4850</v>
      </c>
      <c r="BF211" s="230">
        <v>-4850</v>
      </c>
      <c r="BG211" s="229">
        <v>-1</v>
      </c>
      <c r="BH211" s="230">
        <v>3841200</v>
      </c>
      <c r="BI211" s="230">
        <v>2497750</v>
      </c>
      <c r="BJ211" s="230">
        <v>1343450</v>
      </c>
      <c r="BK211" s="229">
        <v>0.53790000000000004</v>
      </c>
      <c r="BL211" s="230">
        <v>1294950</v>
      </c>
      <c r="BM211" s="230">
        <v>742050</v>
      </c>
      <c r="BN211" s="230">
        <v>552900</v>
      </c>
      <c r="BO211" s="229">
        <v>0.74509999999999998</v>
      </c>
      <c r="BP211" s="230">
        <v>8720300</v>
      </c>
      <c r="BQ211" s="230">
        <v>8206200</v>
      </c>
      <c r="BR211" s="230">
        <v>514100</v>
      </c>
      <c r="BS211" s="229">
        <v>6.2600000000000003E-2</v>
      </c>
      <c r="BT211" s="230">
        <v>5169221</v>
      </c>
      <c r="BU211" s="230">
        <v>7520792</v>
      </c>
      <c r="BV211" s="230">
        <v>-2351571</v>
      </c>
      <c r="BW211" s="229">
        <v>-0.31269999999999998</v>
      </c>
      <c r="BX211" s="230">
        <v>30070000</v>
      </c>
      <c r="BY211" s="230">
        <v>30399800</v>
      </c>
      <c r="BZ211" s="230">
        <v>-329800</v>
      </c>
      <c r="CA211" s="229">
        <v>-1.0800000000000001E-2</v>
      </c>
      <c r="CB211" s="230">
        <v>29551050</v>
      </c>
      <c r="CC211" s="230">
        <v>29929350</v>
      </c>
      <c r="CD211" s="230">
        <v>-378300</v>
      </c>
      <c r="CE211" s="229">
        <v>-1.26E-2</v>
      </c>
      <c r="CF211" s="230">
        <v>460750</v>
      </c>
      <c r="CG211" s="230">
        <v>412250</v>
      </c>
      <c r="CH211" s="230">
        <v>48500</v>
      </c>
      <c r="CI211" s="229">
        <v>0.1176</v>
      </c>
      <c r="CJ211" s="230">
        <v>58200</v>
      </c>
      <c r="CK211" s="230">
        <v>58200</v>
      </c>
      <c r="CL211" s="228">
        <v>0</v>
      </c>
      <c r="CM211" s="229">
        <v>0</v>
      </c>
      <c r="CN211" s="230">
        <v>3981850</v>
      </c>
      <c r="CO211" s="230">
        <v>3171900</v>
      </c>
      <c r="CP211" s="230">
        <v>809950</v>
      </c>
      <c r="CQ211" s="229">
        <v>0.25540000000000002</v>
      </c>
      <c r="CR211" s="230">
        <v>1775100</v>
      </c>
      <c r="CS211" s="230">
        <v>1649000</v>
      </c>
      <c r="CT211" s="230">
        <v>126100</v>
      </c>
      <c r="CU211" s="229">
        <v>7.6499999999999999E-2</v>
      </c>
      <c r="CV211" s="230">
        <v>35826950</v>
      </c>
      <c r="CW211" s="230">
        <v>35220700</v>
      </c>
      <c r="CX211" s="230">
        <v>606250</v>
      </c>
      <c r="CY211" s="229">
        <v>1.72E-2</v>
      </c>
      <c r="CZ211" s="228">
        <v>37.44</v>
      </c>
      <c r="DA211" s="228">
        <v>39.22</v>
      </c>
      <c r="DB211" s="228">
        <v>-1.78</v>
      </c>
      <c r="DC211" s="228">
        <v>-1.78</v>
      </c>
      <c r="DD211" s="228">
        <v>38</v>
      </c>
      <c r="DE211" s="228">
        <v>38.090000000000003</v>
      </c>
      <c r="DF211" s="228">
        <v>-0.56000000000000005</v>
      </c>
      <c r="DG211" s="228">
        <v>-0.09</v>
      </c>
      <c r="DH211" s="228">
        <v>37.76</v>
      </c>
      <c r="DI211" s="228">
        <v>39.06</v>
      </c>
      <c r="DJ211" s="228">
        <v>-1.3</v>
      </c>
      <c r="DK211" s="228">
        <v>-1.3</v>
      </c>
      <c r="DL211" s="228">
        <v>36.47</v>
      </c>
      <c r="DM211" s="228">
        <v>39.770000000000003</v>
      </c>
      <c r="DN211" s="228">
        <v>-3.3</v>
      </c>
      <c r="DO211" s="228">
        <v>-3.3</v>
      </c>
      <c r="DP211" s="228">
        <v>0.45</v>
      </c>
      <c r="DQ211" s="228">
        <v>0.52</v>
      </c>
      <c r="DR211" s="228">
        <v>-7.0000000000000007E-2</v>
      </c>
      <c r="DS211" s="229">
        <v>-0.1346</v>
      </c>
      <c r="DT211" s="228">
        <v>130</v>
      </c>
      <c r="DU211" s="228">
        <v>125</v>
      </c>
      <c r="DV211" s="228">
        <v>0.34</v>
      </c>
      <c r="DW211" s="228">
        <v>0.3</v>
      </c>
      <c r="DX211" s="228">
        <v>0.04</v>
      </c>
      <c r="DY211" s="229">
        <v>0.1333</v>
      </c>
      <c r="DZ211" s="229">
        <v>1.7299999999999999E-2</v>
      </c>
      <c r="EA211" s="230">
        <v>470450</v>
      </c>
      <c r="EB211" s="229">
        <v>8.0000000000000002E-3</v>
      </c>
      <c r="EC211" s="229">
        <v>1.7299999999999999E-2</v>
      </c>
      <c r="ED211" s="228">
        <v>0.63</v>
      </c>
      <c r="EE211" s="229">
        <v>5.1000000000000004E-3</v>
      </c>
      <c r="EF211" s="230">
        <v>2382088</v>
      </c>
      <c r="EG211" s="230">
        <v>3606406</v>
      </c>
      <c r="EH211" s="229">
        <v>-0.33950000000000002</v>
      </c>
      <c r="EI211" s="229">
        <v>0.46079999999999999</v>
      </c>
      <c r="EJ211" s="231">
        <v>5058.21</v>
      </c>
      <c r="EK211" s="231">
        <v>1659.16</v>
      </c>
      <c r="EL211" s="231">
        <v>4466.6899999999996</v>
      </c>
      <c r="EM211" s="228">
        <v>945</v>
      </c>
      <c r="EN211" s="231">
        <v>11184.06</v>
      </c>
      <c r="EO211" s="231">
        <v>10400.42</v>
      </c>
      <c r="EP211" s="228">
        <v>783.64</v>
      </c>
      <c r="EQ211" s="229">
        <v>7.5300000000000006E-2</v>
      </c>
      <c r="ER211" s="231">
        <v>5114</v>
      </c>
      <c r="ES211" s="231">
        <v>2191</v>
      </c>
      <c r="ET211" s="231">
        <v>37578</v>
      </c>
      <c r="EU211" s="231">
        <v>321828727</v>
      </c>
      <c r="EV211" s="231">
        <v>44883</v>
      </c>
      <c r="EW211" s="231">
        <v>44245</v>
      </c>
      <c r="EX211" s="228">
        <v>638</v>
      </c>
      <c r="EY211" s="229">
        <v>1.44E-2</v>
      </c>
      <c r="EZ211" s="229">
        <v>0.1113</v>
      </c>
      <c r="FA211" s="227" t="s">
        <v>567</v>
      </c>
      <c r="FB211" s="161">
        <f t="shared" si="5"/>
        <v>0</v>
      </c>
    </row>
    <row r="212" spans="1:158" ht="17.25" thickBot="1" x14ac:dyDescent="0.3">
      <c r="A212" s="226">
        <v>46148</v>
      </c>
      <c r="B212" s="227" t="s">
        <v>184</v>
      </c>
      <c r="C212" s="227" t="s">
        <v>305</v>
      </c>
      <c r="D212" s="228">
        <v>375</v>
      </c>
      <c r="E212" s="231">
        <v>1384.1</v>
      </c>
      <c r="F212" s="231">
        <v>1377.6</v>
      </c>
      <c r="G212" s="228">
        <v>6.5</v>
      </c>
      <c r="H212" s="229">
        <v>4.7000000000000002E-3</v>
      </c>
      <c r="I212" s="231">
        <v>1379.6</v>
      </c>
      <c r="J212" s="231">
        <v>1375.9</v>
      </c>
      <c r="K212" s="228">
        <v>3.7</v>
      </c>
      <c r="L212" s="229">
        <v>2.7000000000000001E-3</v>
      </c>
      <c r="M212" s="231">
        <v>1384.1</v>
      </c>
      <c r="N212" s="231">
        <v>1377.6</v>
      </c>
      <c r="O212" s="228">
        <v>6.5</v>
      </c>
      <c r="P212" s="229">
        <v>4.7000000000000002E-3</v>
      </c>
      <c r="Q212" s="231">
        <v>1370.2</v>
      </c>
      <c r="R212" s="231">
        <v>1362.5</v>
      </c>
      <c r="S212" s="228">
        <v>7.7</v>
      </c>
      <c r="T212" s="229">
        <v>5.7000000000000002E-3</v>
      </c>
      <c r="U212" s="231">
        <v>1360</v>
      </c>
      <c r="V212" s="231">
        <v>1353.6</v>
      </c>
      <c r="W212" s="228">
        <v>6.4</v>
      </c>
      <c r="X212" s="229">
        <v>4.7000000000000002E-3</v>
      </c>
      <c r="Y212" s="228">
        <v>4.5</v>
      </c>
      <c r="Z212" s="228">
        <v>1.7</v>
      </c>
      <c r="AA212" s="228">
        <v>2.8</v>
      </c>
      <c r="AB212" s="229">
        <v>3.3E-3</v>
      </c>
      <c r="AC212" s="228">
        <v>4.5</v>
      </c>
      <c r="AD212" s="228">
        <v>1.7</v>
      </c>
      <c r="AE212" s="228">
        <v>2.8</v>
      </c>
      <c r="AF212" s="229">
        <v>3.3E-3</v>
      </c>
      <c r="AG212" s="228">
        <v>-9.4</v>
      </c>
      <c r="AH212" s="228">
        <v>-13.4</v>
      </c>
      <c r="AI212" s="228">
        <v>4</v>
      </c>
      <c r="AJ212" s="229">
        <v>-6.7999999999999996E-3</v>
      </c>
      <c r="AK212" s="228">
        <v>-19.600000000000001</v>
      </c>
      <c r="AL212" s="228">
        <v>-22.3</v>
      </c>
      <c r="AM212" s="228">
        <v>2.7</v>
      </c>
      <c r="AN212" s="229">
        <v>-1.4200000000000001E-2</v>
      </c>
      <c r="AO212" s="231">
        <v>1376.13</v>
      </c>
      <c r="AP212" s="231">
        <v>1359.76</v>
      </c>
      <c r="AQ212" s="228">
        <v>0</v>
      </c>
      <c r="AR212" s="230">
        <v>2153625</v>
      </c>
      <c r="AS212" s="230">
        <v>3550500</v>
      </c>
      <c r="AT212" s="230">
        <v>-1396875</v>
      </c>
      <c r="AU212" s="229">
        <v>-0.39340000000000003</v>
      </c>
      <c r="AV212" s="230">
        <v>1939875</v>
      </c>
      <c r="AW212" s="230">
        <v>3318750</v>
      </c>
      <c r="AX212" s="230">
        <v>-1378875</v>
      </c>
      <c r="AY212" s="229">
        <v>-0.41549999999999998</v>
      </c>
      <c r="AZ212" s="230">
        <v>195000</v>
      </c>
      <c r="BA212" s="230">
        <v>204375</v>
      </c>
      <c r="BB212" s="230">
        <v>-9375</v>
      </c>
      <c r="BC212" s="229">
        <v>-4.5900000000000003E-2</v>
      </c>
      <c r="BD212" s="230">
        <v>18750</v>
      </c>
      <c r="BE212" s="230">
        <v>27375</v>
      </c>
      <c r="BF212" s="230">
        <v>-8625</v>
      </c>
      <c r="BG212" s="229">
        <v>-0.31509999999999999</v>
      </c>
      <c r="BH212" s="230">
        <v>4933125</v>
      </c>
      <c r="BI212" s="230">
        <v>7110750</v>
      </c>
      <c r="BJ212" s="230">
        <v>-2177625</v>
      </c>
      <c r="BK212" s="229">
        <v>-0.30620000000000003</v>
      </c>
      <c r="BL212" s="230">
        <v>2284500</v>
      </c>
      <c r="BM212" s="230">
        <v>5086125</v>
      </c>
      <c r="BN212" s="230">
        <v>-2801625</v>
      </c>
      <c r="BO212" s="229">
        <v>-0.55079999999999996</v>
      </c>
      <c r="BP212" s="230">
        <v>9371250</v>
      </c>
      <c r="BQ212" s="230">
        <v>15747375</v>
      </c>
      <c r="BR212" s="230">
        <v>-6376125</v>
      </c>
      <c r="BS212" s="229">
        <v>-0.40489999999999998</v>
      </c>
      <c r="BT212" s="230">
        <v>794356</v>
      </c>
      <c r="BU212" s="230">
        <v>2307276</v>
      </c>
      <c r="BV212" s="230">
        <v>-1512920</v>
      </c>
      <c r="BW212" s="229">
        <v>-0.65569999999999995</v>
      </c>
      <c r="BX212" s="230">
        <v>10755000</v>
      </c>
      <c r="BY212" s="230">
        <v>10831125</v>
      </c>
      <c r="BZ212" s="230">
        <v>-76125</v>
      </c>
      <c r="CA212" s="229">
        <v>-7.0000000000000001E-3</v>
      </c>
      <c r="CB212" s="230">
        <v>10341375</v>
      </c>
      <c r="CC212" s="230">
        <v>10464375</v>
      </c>
      <c r="CD212" s="230">
        <v>-123000</v>
      </c>
      <c r="CE212" s="229">
        <v>-1.18E-2</v>
      </c>
      <c r="CF212" s="230">
        <v>364500</v>
      </c>
      <c r="CG212" s="230">
        <v>324375</v>
      </c>
      <c r="CH212" s="230">
        <v>40125</v>
      </c>
      <c r="CI212" s="229">
        <v>0.1237</v>
      </c>
      <c r="CJ212" s="230">
        <v>49125</v>
      </c>
      <c r="CK212" s="230">
        <v>42375</v>
      </c>
      <c r="CL212" s="230">
        <v>6750</v>
      </c>
      <c r="CM212" s="229">
        <v>0.1593</v>
      </c>
      <c r="CN212" s="230">
        <v>4331625</v>
      </c>
      <c r="CO212" s="230">
        <v>3789000</v>
      </c>
      <c r="CP212" s="230">
        <v>542625</v>
      </c>
      <c r="CQ212" s="229">
        <v>0.14319999999999999</v>
      </c>
      <c r="CR212" s="230">
        <v>2995500</v>
      </c>
      <c r="CS212" s="230">
        <v>2529000</v>
      </c>
      <c r="CT212" s="230">
        <v>466500</v>
      </c>
      <c r="CU212" s="229">
        <v>0.1845</v>
      </c>
      <c r="CV212" s="230">
        <v>18082125</v>
      </c>
      <c r="CW212" s="230">
        <v>17149125</v>
      </c>
      <c r="CX212" s="230">
        <v>933000</v>
      </c>
      <c r="CY212" s="229">
        <v>5.4399999999999997E-2</v>
      </c>
      <c r="CZ212" s="228">
        <v>44.99</v>
      </c>
      <c r="DA212" s="228">
        <v>46.35</v>
      </c>
      <c r="DB212" s="228">
        <v>-1.36</v>
      </c>
      <c r="DC212" s="228">
        <v>-1.36</v>
      </c>
      <c r="DD212" s="228">
        <v>40.46</v>
      </c>
      <c r="DE212" s="228">
        <v>40.56</v>
      </c>
      <c r="DF212" s="228">
        <v>4.53</v>
      </c>
      <c r="DG212" s="228">
        <v>-0.1</v>
      </c>
      <c r="DH212" s="228">
        <v>45.33</v>
      </c>
      <c r="DI212" s="228">
        <v>47.06</v>
      </c>
      <c r="DJ212" s="228">
        <v>-1.73</v>
      </c>
      <c r="DK212" s="228">
        <v>-1.73</v>
      </c>
      <c r="DL212" s="228">
        <v>44.24</v>
      </c>
      <c r="DM212" s="228">
        <v>45.36</v>
      </c>
      <c r="DN212" s="228">
        <v>-1.1200000000000001</v>
      </c>
      <c r="DO212" s="228">
        <v>-1.1200000000000001</v>
      </c>
      <c r="DP212" s="228">
        <v>0.69</v>
      </c>
      <c r="DQ212" s="228">
        <v>0.67</v>
      </c>
      <c r="DR212" s="228">
        <v>0.02</v>
      </c>
      <c r="DS212" s="229">
        <v>2.9899999999999999E-2</v>
      </c>
      <c r="DT212" s="231">
        <v>1500</v>
      </c>
      <c r="DU212" s="231">
        <v>1400</v>
      </c>
      <c r="DV212" s="228">
        <v>0.46</v>
      </c>
      <c r="DW212" s="228">
        <v>0.72</v>
      </c>
      <c r="DX212" s="228">
        <v>-0.26</v>
      </c>
      <c r="DY212" s="229">
        <v>-0.36109999999999998</v>
      </c>
      <c r="DZ212" s="229">
        <v>3.85E-2</v>
      </c>
      <c r="EA212" s="230">
        <v>366750</v>
      </c>
      <c r="EB212" s="229">
        <v>-0.01</v>
      </c>
      <c r="EC212" s="229">
        <v>3.85E-2</v>
      </c>
      <c r="ED212" s="228">
        <v>-16.37</v>
      </c>
      <c r="EE212" s="229">
        <v>-1.1900000000000001E-2</v>
      </c>
      <c r="EF212" s="230">
        <v>221560</v>
      </c>
      <c r="EG212" s="230">
        <v>1017703</v>
      </c>
      <c r="EH212" s="229">
        <v>-0.7823</v>
      </c>
      <c r="EI212" s="229">
        <v>0.27889999999999998</v>
      </c>
      <c r="EJ212" s="231">
        <v>73646.03</v>
      </c>
      <c r="EK212" s="231">
        <v>31702.03</v>
      </c>
      <c r="EL212" s="231">
        <v>29600.73</v>
      </c>
      <c r="EM212" s="231">
        <v>5811</v>
      </c>
      <c r="EN212" s="231">
        <v>134948.79</v>
      </c>
      <c r="EO212" s="231">
        <v>228005.92</v>
      </c>
      <c r="EP212" s="231">
        <v>-93057.13</v>
      </c>
      <c r="EQ212" s="229">
        <v>-0.40810000000000002</v>
      </c>
      <c r="ER212" s="231">
        <v>65366</v>
      </c>
      <c r="ES212" s="231">
        <v>40544</v>
      </c>
      <c r="ET212" s="231">
        <v>148797</v>
      </c>
      <c r="EU212" s="231">
        <v>25134629</v>
      </c>
      <c r="EV212" s="231">
        <v>254707</v>
      </c>
      <c r="EW212" s="231">
        <v>240509</v>
      </c>
      <c r="EX212" s="231">
        <v>14198</v>
      </c>
      <c r="EY212" s="229">
        <v>5.8999999999999997E-2</v>
      </c>
      <c r="EZ212" s="229">
        <v>0.71940000000000004</v>
      </c>
      <c r="FA212" s="227" t="s">
        <v>691</v>
      </c>
      <c r="FB212" s="161">
        <f t="shared" si="5"/>
        <v>0</v>
      </c>
    </row>
    <row r="213" spans="1:158" ht="17.25" thickBot="1" x14ac:dyDescent="0.3">
      <c r="A213" s="226">
        <v>46148</v>
      </c>
      <c r="B213" s="227" t="s">
        <v>184</v>
      </c>
      <c r="C213" s="227" t="s">
        <v>688</v>
      </c>
      <c r="D213" s="228">
        <v>175</v>
      </c>
      <c r="E213" s="231">
        <v>3247.8</v>
      </c>
      <c r="F213" s="231">
        <v>3199.2</v>
      </c>
      <c r="G213" s="228">
        <v>48.6</v>
      </c>
      <c r="H213" s="229">
        <v>1.52E-2</v>
      </c>
      <c r="I213" s="231">
        <v>3225.1</v>
      </c>
      <c r="J213" s="231">
        <v>3181.7</v>
      </c>
      <c r="K213" s="228">
        <v>43.4</v>
      </c>
      <c r="L213" s="229">
        <v>1.3599999999999999E-2</v>
      </c>
      <c r="M213" s="231">
        <v>3247.8</v>
      </c>
      <c r="N213" s="231">
        <v>3199.2</v>
      </c>
      <c r="O213" s="228">
        <v>48.6</v>
      </c>
      <c r="P213" s="229">
        <v>1.52E-2</v>
      </c>
      <c r="Q213" s="231">
        <v>3270.1</v>
      </c>
      <c r="R213" s="231">
        <v>3219</v>
      </c>
      <c r="S213" s="228">
        <v>51.1</v>
      </c>
      <c r="T213" s="229">
        <v>1.5900000000000001E-2</v>
      </c>
      <c r="U213" s="231">
        <v>3279</v>
      </c>
      <c r="V213" s="231">
        <v>3225.6</v>
      </c>
      <c r="W213" s="228">
        <v>53.4</v>
      </c>
      <c r="X213" s="229">
        <v>1.66E-2</v>
      </c>
      <c r="Y213" s="228">
        <v>22.7</v>
      </c>
      <c r="Z213" s="228">
        <v>17.5</v>
      </c>
      <c r="AA213" s="228">
        <v>5.2</v>
      </c>
      <c r="AB213" s="229">
        <v>7.0000000000000001E-3</v>
      </c>
      <c r="AC213" s="228">
        <v>22.7</v>
      </c>
      <c r="AD213" s="228">
        <v>17.5</v>
      </c>
      <c r="AE213" s="228">
        <v>5.2</v>
      </c>
      <c r="AF213" s="229">
        <v>7.0000000000000001E-3</v>
      </c>
      <c r="AG213" s="228">
        <v>45</v>
      </c>
      <c r="AH213" s="228">
        <v>37.299999999999997</v>
      </c>
      <c r="AI213" s="228">
        <v>7.7</v>
      </c>
      <c r="AJ213" s="229">
        <v>1.4E-2</v>
      </c>
      <c r="AK213" s="228">
        <v>53.9</v>
      </c>
      <c r="AL213" s="228">
        <v>43.9</v>
      </c>
      <c r="AM213" s="228">
        <v>10</v>
      </c>
      <c r="AN213" s="229">
        <v>1.67E-2</v>
      </c>
      <c r="AO213" s="231">
        <v>3232.62</v>
      </c>
      <c r="AP213" s="231">
        <v>3262.66</v>
      </c>
      <c r="AQ213" s="228">
        <v>0</v>
      </c>
      <c r="AR213" s="230">
        <v>1641850</v>
      </c>
      <c r="AS213" s="230">
        <v>1057000</v>
      </c>
      <c r="AT213" s="230">
        <v>584850</v>
      </c>
      <c r="AU213" s="229">
        <v>0.55330000000000001</v>
      </c>
      <c r="AV213" s="230">
        <v>1255975</v>
      </c>
      <c r="AW213" s="230">
        <v>989975</v>
      </c>
      <c r="AX213" s="230">
        <v>266000</v>
      </c>
      <c r="AY213" s="229">
        <v>0.26869999999999999</v>
      </c>
      <c r="AZ213" s="230">
        <v>376775</v>
      </c>
      <c r="BA213" s="230">
        <v>60725</v>
      </c>
      <c r="BB213" s="230">
        <v>316050</v>
      </c>
      <c r="BC213" s="229">
        <v>5.2046000000000001</v>
      </c>
      <c r="BD213" s="230">
        <v>9100</v>
      </c>
      <c r="BE213" s="230">
        <v>6300</v>
      </c>
      <c r="BF213" s="230">
        <v>2800</v>
      </c>
      <c r="BG213" s="229">
        <v>0.44440000000000002</v>
      </c>
      <c r="BH213" s="230">
        <v>3894800</v>
      </c>
      <c r="BI213" s="230">
        <v>4004350</v>
      </c>
      <c r="BJ213" s="230">
        <v>-109550</v>
      </c>
      <c r="BK213" s="229">
        <v>-2.7400000000000001E-2</v>
      </c>
      <c r="BL213" s="230">
        <v>1364825</v>
      </c>
      <c r="BM213" s="230">
        <v>1517775</v>
      </c>
      <c r="BN213" s="230">
        <v>-152950</v>
      </c>
      <c r="BO213" s="229">
        <v>-0.1008</v>
      </c>
      <c r="BP213" s="230">
        <v>6901475</v>
      </c>
      <c r="BQ213" s="230">
        <v>6579125</v>
      </c>
      <c r="BR213" s="230">
        <v>322350</v>
      </c>
      <c r="BS213" s="229">
        <v>4.9000000000000002E-2</v>
      </c>
      <c r="BT213" s="230">
        <v>1349434</v>
      </c>
      <c r="BU213" s="230">
        <v>1213873</v>
      </c>
      <c r="BV213" s="230">
        <v>135561</v>
      </c>
      <c r="BW213" s="229">
        <v>0.11169999999999999</v>
      </c>
      <c r="BX213" s="230">
        <v>6021925</v>
      </c>
      <c r="BY213" s="230">
        <v>5807725</v>
      </c>
      <c r="BZ213" s="230">
        <v>214200</v>
      </c>
      <c r="CA213" s="229">
        <v>3.6900000000000002E-2</v>
      </c>
      <c r="CB213" s="230">
        <v>5514950</v>
      </c>
      <c r="CC213" s="230">
        <v>5635000</v>
      </c>
      <c r="CD213" s="230">
        <v>-120050</v>
      </c>
      <c r="CE213" s="229">
        <v>-2.1299999999999999E-2</v>
      </c>
      <c r="CF213" s="230">
        <v>492275</v>
      </c>
      <c r="CG213" s="230">
        <v>159600</v>
      </c>
      <c r="CH213" s="230">
        <v>332675</v>
      </c>
      <c r="CI213" s="229">
        <v>2.0844</v>
      </c>
      <c r="CJ213" s="230">
        <v>14700</v>
      </c>
      <c r="CK213" s="230">
        <v>13125</v>
      </c>
      <c r="CL213" s="230">
        <v>1575</v>
      </c>
      <c r="CM213" s="229">
        <v>0.12</v>
      </c>
      <c r="CN213" s="230">
        <v>4265100</v>
      </c>
      <c r="CO213" s="230">
        <v>4459875</v>
      </c>
      <c r="CP213" s="230">
        <v>-194775</v>
      </c>
      <c r="CQ213" s="229">
        <v>-4.3700000000000003E-2</v>
      </c>
      <c r="CR213" s="230">
        <v>2372125</v>
      </c>
      <c r="CS213" s="230">
        <v>2354975</v>
      </c>
      <c r="CT213" s="230">
        <v>17150</v>
      </c>
      <c r="CU213" s="229">
        <v>7.3000000000000001E-3</v>
      </c>
      <c r="CV213" s="230">
        <v>12659150</v>
      </c>
      <c r="CW213" s="230">
        <v>12622575</v>
      </c>
      <c r="CX213" s="230">
        <v>36575</v>
      </c>
      <c r="CY213" s="229">
        <v>2.8999999999999998E-3</v>
      </c>
      <c r="CZ213" s="228">
        <v>37.44</v>
      </c>
      <c r="DA213" s="228">
        <v>39.700000000000003</v>
      </c>
      <c r="DB213" s="228">
        <v>-2.2599999999999998</v>
      </c>
      <c r="DC213" s="228">
        <v>-2.2599999999999998</v>
      </c>
      <c r="DD213" s="228">
        <v>54.07</v>
      </c>
      <c r="DE213" s="228">
        <v>54.17</v>
      </c>
      <c r="DF213" s="228">
        <v>-16.63</v>
      </c>
      <c r="DG213" s="228">
        <v>-0.1</v>
      </c>
      <c r="DH213" s="228">
        <v>37.78</v>
      </c>
      <c r="DI213" s="228">
        <v>40.299999999999997</v>
      </c>
      <c r="DJ213" s="228">
        <v>-2.52</v>
      </c>
      <c r="DK213" s="228">
        <v>-2.52</v>
      </c>
      <c r="DL213" s="228">
        <v>36.450000000000003</v>
      </c>
      <c r="DM213" s="228">
        <v>38.11</v>
      </c>
      <c r="DN213" s="228">
        <v>-1.66</v>
      </c>
      <c r="DO213" s="228">
        <v>-1.66</v>
      </c>
      <c r="DP213" s="228">
        <v>0.56000000000000005</v>
      </c>
      <c r="DQ213" s="228">
        <v>0.53</v>
      </c>
      <c r="DR213" s="228">
        <v>0.03</v>
      </c>
      <c r="DS213" s="229">
        <v>5.6599999999999998E-2</v>
      </c>
      <c r="DT213" s="231">
        <v>3500</v>
      </c>
      <c r="DU213" s="231">
        <v>3100</v>
      </c>
      <c r="DV213" s="228">
        <v>0.35</v>
      </c>
      <c r="DW213" s="228">
        <v>0.38</v>
      </c>
      <c r="DX213" s="228">
        <v>-0.03</v>
      </c>
      <c r="DY213" s="229">
        <v>-7.8899999999999998E-2</v>
      </c>
      <c r="DZ213" s="229">
        <v>8.4199999999999997E-2</v>
      </c>
      <c r="EA213" s="230">
        <v>172725</v>
      </c>
      <c r="EB213" s="229">
        <v>6.8999999999999999E-3</v>
      </c>
      <c r="EC213" s="229">
        <v>8.4199999999999997E-2</v>
      </c>
      <c r="ED213" s="228">
        <v>30.04</v>
      </c>
      <c r="EE213" s="229">
        <v>9.2999999999999992E-3</v>
      </c>
      <c r="EF213" s="230">
        <v>493926</v>
      </c>
      <c r="EG213" s="230">
        <v>410579</v>
      </c>
      <c r="EH213" s="229">
        <v>0.20300000000000001</v>
      </c>
      <c r="EI213" s="229">
        <v>0.36599999999999999</v>
      </c>
      <c r="EJ213" s="231">
        <v>134539.89000000001</v>
      </c>
      <c r="EK213" s="231">
        <v>42567.9</v>
      </c>
      <c r="EL213" s="231">
        <v>53190.26</v>
      </c>
      <c r="EM213" s="231">
        <v>14543</v>
      </c>
      <c r="EN213" s="231">
        <v>230298.05</v>
      </c>
      <c r="EO213" s="231">
        <v>218462.11</v>
      </c>
      <c r="EP213" s="231">
        <v>11835.94</v>
      </c>
      <c r="EQ213" s="229">
        <v>5.4199999999999998E-2</v>
      </c>
      <c r="ER213" s="231">
        <v>147898</v>
      </c>
      <c r="ES213" s="231">
        <v>75668</v>
      </c>
      <c r="ET213" s="231">
        <v>195694</v>
      </c>
      <c r="EU213" s="231">
        <v>15436318</v>
      </c>
      <c r="EV213" s="231">
        <v>419260</v>
      </c>
      <c r="EW213" s="231">
        <v>415007</v>
      </c>
      <c r="EX213" s="231">
        <v>4253</v>
      </c>
      <c r="EY213" s="229">
        <v>1.0200000000000001E-2</v>
      </c>
      <c r="EZ213" s="229">
        <v>0.82010000000000005</v>
      </c>
      <c r="FA213" s="227" t="s">
        <v>555</v>
      </c>
      <c r="FB213" s="161">
        <f t="shared" si="5"/>
        <v>0</v>
      </c>
    </row>
    <row r="214" spans="1:158" ht="17.25" thickBot="1" x14ac:dyDescent="0.3">
      <c r="A214" s="226">
        <v>46148</v>
      </c>
      <c r="B214" s="227" t="s">
        <v>221</v>
      </c>
      <c r="C214" s="227" t="s">
        <v>306</v>
      </c>
      <c r="D214" s="228">
        <v>3000</v>
      </c>
      <c r="E214" s="228">
        <v>197.51</v>
      </c>
      <c r="F214" s="228">
        <v>196.13</v>
      </c>
      <c r="G214" s="228">
        <v>1.38</v>
      </c>
      <c r="H214" s="229">
        <v>7.0000000000000001E-3</v>
      </c>
      <c r="I214" s="228">
        <v>199.12</v>
      </c>
      <c r="J214" s="228">
        <v>199.78</v>
      </c>
      <c r="K214" s="228">
        <v>-0.66</v>
      </c>
      <c r="L214" s="229">
        <v>-3.3E-3</v>
      </c>
      <c r="M214" s="228">
        <v>197.51</v>
      </c>
      <c r="N214" s="228">
        <v>196.13</v>
      </c>
      <c r="O214" s="228">
        <v>1.38</v>
      </c>
      <c r="P214" s="229">
        <v>7.0000000000000001E-3</v>
      </c>
      <c r="Q214" s="228">
        <v>191.48</v>
      </c>
      <c r="R214" s="228">
        <v>189.76</v>
      </c>
      <c r="S214" s="228">
        <v>1.72</v>
      </c>
      <c r="T214" s="229">
        <v>9.1000000000000004E-3</v>
      </c>
      <c r="U214" s="228">
        <v>188.61</v>
      </c>
      <c r="V214" s="228">
        <v>187</v>
      </c>
      <c r="W214" s="228">
        <v>1.61</v>
      </c>
      <c r="X214" s="229">
        <v>8.6E-3</v>
      </c>
      <c r="Y214" s="228">
        <v>-1.61</v>
      </c>
      <c r="Z214" s="228">
        <v>-3.65</v>
      </c>
      <c r="AA214" s="228">
        <v>2.04</v>
      </c>
      <c r="AB214" s="229">
        <v>-8.0999999999999996E-3</v>
      </c>
      <c r="AC214" s="228">
        <v>-1.61</v>
      </c>
      <c r="AD214" s="228">
        <v>-3.65</v>
      </c>
      <c r="AE214" s="228">
        <v>2.04</v>
      </c>
      <c r="AF214" s="229">
        <v>-8.0999999999999996E-3</v>
      </c>
      <c r="AG214" s="228">
        <v>-7.64</v>
      </c>
      <c r="AH214" s="228">
        <v>-10.02</v>
      </c>
      <c r="AI214" s="228">
        <v>2.38</v>
      </c>
      <c r="AJ214" s="229">
        <v>-3.8399999999999997E-2</v>
      </c>
      <c r="AK214" s="228">
        <v>-10.51</v>
      </c>
      <c r="AL214" s="228">
        <v>-12.78</v>
      </c>
      <c r="AM214" s="228">
        <v>2.27</v>
      </c>
      <c r="AN214" s="229">
        <v>-5.28E-2</v>
      </c>
      <c r="AO214" s="228">
        <v>196.95</v>
      </c>
      <c r="AP214" s="228">
        <v>190.82</v>
      </c>
      <c r="AQ214" s="228">
        <v>0</v>
      </c>
      <c r="AR214" s="230">
        <v>20241000</v>
      </c>
      <c r="AS214" s="230">
        <v>16878000</v>
      </c>
      <c r="AT214" s="230">
        <v>3363000</v>
      </c>
      <c r="AU214" s="229">
        <v>0.1993</v>
      </c>
      <c r="AV214" s="230">
        <v>16080000</v>
      </c>
      <c r="AW214" s="230">
        <v>11553000</v>
      </c>
      <c r="AX214" s="230">
        <v>4527000</v>
      </c>
      <c r="AY214" s="229">
        <v>0.39179999999999998</v>
      </c>
      <c r="AZ214" s="230">
        <v>3312000</v>
      </c>
      <c r="BA214" s="230">
        <v>4260000</v>
      </c>
      <c r="BB214" s="230">
        <v>-948000</v>
      </c>
      <c r="BC214" s="229">
        <v>-0.2225</v>
      </c>
      <c r="BD214" s="230">
        <v>849000</v>
      </c>
      <c r="BE214" s="230">
        <v>1065000</v>
      </c>
      <c r="BF214" s="230">
        <v>-216000</v>
      </c>
      <c r="BG214" s="229">
        <v>-0.20280000000000001</v>
      </c>
      <c r="BH214" s="230">
        <v>74595000</v>
      </c>
      <c r="BI214" s="230">
        <v>51597000</v>
      </c>
      <c r="BJ214" s="230">
        <v>22998000</v>
      </c>
      <c r="BK214" s="229">
        <v>0.44569999999999999</v>
      </c>
      <c r="BL214" s="230">
        <v>35610000</v>
      </c>
      <c r="BM214" s="230">
        <v>21492000</v>
      </c>
      <c r="BN214" s="230">
        <v>14118000</v>
      </c>
      <c r="BO214" s="229">
        <v>0.65690000000000004</v>
      </c>
      <c r="BP214" s="230">
        <v>130446000</v>
      </c>
      <c r="BQ214" s="230">
        <v>89967000</v>
      </c>
      <c r="BR214" s="230">
        <v>40479000</v>
      </c>
      <c r="BS214" s="229">
        <v>0.44990000000000002</v>
      </c>
      <c r="BT214" s="230">
        <v>14063061</v>
      </c>
      <c r="BU214" s="230">
        <v>9506460</v>
      </c>
      <c r="BV214" s="230">
        <v>4556601</v>
      </c>
      <c r="BW214" s="229">
        <v>0.4793</v>
      </c>
      <c r="BX214" s="230">
        <v>303744000</v>
      </c>
      <c r="BY214" s="230">
        <v>302703000</v>
      </c>
      <c r="BZ214" s="230">
        <v>1041000</v>
      </c>
      <c r="CA214" s="229">
        <v>3.3999999999999998E-3</v>
      </c>
      <c r="CB214" s="230">
        <v>272712000</v>
      </c>
      <c r="CC214" s="230">
        <v>272286000</v>
      </c>
      <c r="CD214" s="230">
        <v>426000</v>
      </c>
      <c r="CE214" s="229">
        <v>1.6000000000000001E-3</v>
      </c>
      <c r="CF214" s="230">
        <v>28575000</v>
      </c>
      <c r="CG214" s="230">
        <v>28266000</v>
      </c>
      <c r="CH214" s="230">
        <v>309000</v>
      </c>
      <c r="CI214" s="229">
        <v>1.09E-2</v>
      </c>
      <c r="CJ214" s="230">
        <v>2457000</v>
      </c>
      <c r="CK214" s="230">
        <v>2151000</v>
      </c>
      <c r="CL214" s="230">
        <v>306000</v>
      </c>
      <c r="CM214" s="229">
        <v>0.14230000000000001</v>
      </c>
      <c r="CN214" s="230">
        <v>131769000</v>
      </c>
      <c r="CO214" s="230">
        <v>131340000</v>
      </c>
      <c r="CP214" s="230">
        <v>429000</v>
      </c>
      <c r="CQ214" s="229">
        <v>3.3E-3</v>
      </c>
      <c r="CR214" s="230">
        <v>69540000</v>
      </c>
      <c r="CS214" s="230">
        <v>70203000</v>
      </c>
      <c r="CT214" s="230">
        <v>-663000</v>
      </c>
      <c r="CU214" s="229">
        <v>-9.4000000000000004E-3</v>
      </c>
      <c r="CV214" s="230">
        <v>505053000</v>
      </c>
      <c r="CW214" s="230">
        <v>504246000</v>
      </c>
      <c r="CX214" s="230">
        <v>807000</v>
      </c>
      <c r="CY214" s="229">
        <v>1.6000000000000001E-3</v>
      </c>
      <c r="CZ214" s="228">
        <v>28.7</v>
      </c>
      <c r="DA214" s="228">
        <v>30.37</v>
      </c>
      <c r="DB214" s="228">
        <v>-1.67</v>
      </c>
      <c r="DC214" s="228">
        <v>-1.67</v>
      </c>
      <c r="DD214" s="228">
        <v>31.05</v>
      </c>
      <c r="DE214" s="228">
        <v>31.12</v>
      </c>
      <c r="DF214" s="228">
        <v>-2.35</v>
      </c>
      <c r="DG214" s="228">
        <v>-7.0000000000000007E-2</v>
      </c>
      <c r="DH214" s="228">
        <v>29.6</v>
      </c>
      <c r="DI214" s="228">
        <v>31.31</v>
      </c>
      <c r="DJ214" s="228">
        <v>-1.71</v>
      </c>
      <c r="DK214" s="228">
        <v>-1.71</v>
      </c>
      <c r="DL214" s="228">
        <v>26.81</v>
      </c>
      <c r="DM214" s="228">
        <v>28.13</v>
      </c>
      <c r="DN214" s="228">
        <v>-1.32</v>
      </c>
      <c r="DO214" s="228">
        <v>-1.32</v>
      </c>
      <c r="DP214" s="228">
        <v>0.53</v>
      </c>
      <c r="DQ214" s="228">
        <v>0.53</v>
      </c>
      <c r="DR214" s="228">
        <v>0</v>
      </c>
      <c r="DS214" s="229">
        <v>0</v>
      </c>
      <c r="DT214" s="228">
        <v>210</v>
      </c>
      <c r="DU214" s="228">
        <v>200</v>
      </c>
      <c r="DV214" s="228">
        <v>0.48</v>
      </c>
      <c r="DW214" s="228">
        <v>0.42</v>
      </c>
      <c r="DX214" s="228">
        <v>0.06</v>
      </c>
      <c r="DY214" s="229">
        <v>0.1429</v>
      </c>
      <c r="DZ214" s="229">
        <v>0.1022</v>
      </c>
      <c r="EA214" s="230">
        <v>30417000</v>
      </c>
      <c r="EB214" s="229">
        <v>-3.0499999999999999E-2</v>
      </c>
      <c r="EC214" s="229">
        <v>0.1022</v>
      </c>
      <c r="ED214" s="228">
        <v>-6.13</v>
      </c>
      <c r="EE214" s="229">
        <v>-3.1099999999999999E-2</v>
      </c>
      <c r="EF214" s="230">
        <v>8233719</v>
      </c>
      <c r="EG214" s="230">
        <v>5342779</v>
      </c>
      <c r="EH214" s="229">
        <v>0.54110000000000003</v>
      </c>
      <c r="EI214" s="229">
        <v>0.58550000000000002</v>
      </c>
      <c r="EJ214" s="231">
        <v>157922.45000000001</v>
      </c>
      <c r="EK214" s="231">
        <v>68961.27</v>
      </c>
      <c r="EL214" s="231">
        <v>39584.58</v>
      </c>
      <c r="EM214" s="231">
        <v>7955</v>
      </c>
      <c r="EN214" s="231">
        <v>266468.3</v>
      </c>
      <c r="EO214" s="231">
        <v>184918.32</v>
      </c>
      <c r="EP214" s="231">
        <v>81549.98</v>
      </c>
      <c r="EQ214" s="229">
        <v>0.441</v>
      </c>
      <c r="ER214" s="231">
        <v>279647</v>
      </c>
      <c r="ES214" s="231">
        <v>134622</v>
      </c>
      <c r="ET214" s="231">
        <v>597983</v>
      </c>
      <c r="EU214" s="231">
        <v>428710078</v>
      </c>
      <c r="EV214" s="231">
        <v>1012252</v>
      </c>
      <c r="EW214" s="231">
        <v>1005831</v>
      </c>
      <c r="EX214" s="231">
        <v>6421</v>
      </c>
      <c r="EY214" s="229">
        <v>6.4000000000000003E-3</v>
      </c>
      <c r="EZ214" s="229">
        <v>1.1780999999999999</v>
      </c>
      <c r="FA214" s="227" t="s">
        <v>555</v>
      </c>
      <c r="FB214" s="161">
        <f t="shared" si="5"/>
        <v>0</v>
      </c>
    </row>
    <row r="215" spans="1:158" ht="17.25" thickBot="1" x14ac:dyDescent="0.3">
      <c r="A215" s="226">
        <v>46148</v>
      </c>
      <c r="B215" s="227" t="s">
        <v>172</v>
      </c>
      <c r="C215" s="227" t="s">
        <v>589</v>
      </c>
      <c r="D215" s="228">
        <v>31100</v>
      </c>
      <c r="E215" s="228">
        <v>22.23</v>
      </c>
      <c r="F215" s="228">
        <v>20.61</v>
      </c>
      <c r="G215" s="228">
        <v>1.62</v>
      </c>
      <c r="H215" s="229">
        <v>7.8600000000000003E-2</v>
      </c>
      <c r="I215" s="228">
        <v>22.13</v>
      </c>
      <c r="J215" s="228">
        <v>20.48</v>
      </c>
      <c r="K215" s="228">
        <v>1.65</v>
      </c>
      <c r="L215" s="229">
        <v>8.0600000000000005E-2</v>
      </c>
      <c r="M215" s="228">
        <v>22.23</v>
      </c>
      <c r="N215" s="228">
        <v>20.61</v>
      </c>
      <c r="O215" s="228">
        <v>1.62</v>
      </c>
      <c r="P215" s="229">
        <v>7.8600000000000003E-2</v>
      </c>
      <c r="Q215" s="228">
        <v>22.37</v>
      </c>
      <c r="R215" s="228">
        <v>20.74</v>
      </c>
      <c r="S215" s="228">
        <v>1.63</v>
      </c>
      <c r="T215" s="229">
        <v>7.8600000000000003E-2</v>
      </c>
      <c r="U215" s="228">
        <v>22.49</v>
      </c>
      <c r="V215" s="228">
        <v>20.84</v>
      </c>
      <c r="W215" s="228">
        <v>1.65</v>
      </c>
      <c r="X215" s="229">
        <v>7.9200000000000007E-2</v>
      </c>
      <c r="Y215" s="228">
        <v>0.1</v>
      </c>
      <c r="Z215" s="228">
        <v>0.13</v>
      </c>
      <c r="AA215" s="228">
        <v>-0.03</v>
      </c>
      <c r="AB215" s="229">
        <v>4.4999999999999997E-3</v>
      </c>
      <c r="AC215" s="228">
        <v>0.1</v>
      </c>
      <c r="AD215" s="228">
        <v>0.13</v>
      </c>
      <c r="AE215" s="228">
        <v>-0.03</v>
      </c>
      <c r="AF215" s="229">
        <v>4.4999999999999997E-3</v>
      </c>
      <c r="AG215" s="228">
        <v>0.24</v>
      </c>
      <c r="AH215" s="228">
        <v>0.26</v>
      </c>
      <c r="AI215" s="228">
        <v>-0.02</v>
      </c>
      <c r="AJ215" s="229">
        <v>1.0800000000000001E-2</v>
      </c>
      <c r="AK215" s="228">
        <v>0.36</v>
      </c>
      <c r="AL215" s="228">
        <v>0.36</v>
      </c>
      <c r="AM215" s="228">
        <v>0</v>
      </c>
      <c r="AN215" s="229">
        <v>1.6299999999999999E-2</v>
      </c>
      <c r="AO215" s="228">
        <v>21.68</v>
      </c>
      <c r="AP215" s="228">
        <v>21.86</v>
      </c>
      <c r="AQ215" s="228">
        <v>0</v>
      </c>
      <c r="AR215" s="230">
        <v>569254400</v>
      </c>
      <c r="AS215" s="230">
        <v>315354000</v>
      </c>
      <c r="AT215" s="230">
        <v>253900400</v>
      </c>
      <c r="AU215" s="229">
        <v>0.80510000000000004</v>
      </c>
      <c r="AV215" s="230">
        <v>506494600</v>
      </c>
      <c r="AW215" s="230">
        <v>272902500</v>
      </c>
      <c r="AX215" s="230">
        <v>233592100</v>
      </c>
      <c r="AY215" s="229">
        <v>0.85599999999999998</v>
      </c>
      <c r="AZ215" s="230">
        <v>52030300</v>
      </c>
      <c r="BA215" s="230">
        <v>35982700</v>
      </c>
      <c r="BB215" s="230">
        <v>16047600</v>
      </c>
      <c r="BC215" s="229">
        <v>0.44600000000000001</v>
      </c>
      <c r="BD215" s="230">
        <v>10729500</v>
      </c>
      <c r="BE215" s="230">
        <v>6468800</v>
      </c>
      <c r="BF215" s="230">
        <v>4260700</v>
      </c>
      <c r="BG215" s="229">
        <v>0.65869999999999995</v>
      </c>
      <c r="BH215" s="230">
        <v>2052848800</v>
      </c>
      <c r="BI215" s="230">
        <v>1023905300</v>
      </c>
      <c r="BJ215" s="230">
        <v>1028943500</v>
      </c>
      <c r="BK215" s="229">
        <v>1.0048999999999999</v>
      </c>
      <c r="BL215" s="230">
        <v>636834700</v>
      </c>
      <c r="BM215" s="230">
        <v>318028600</v>
      </c>
      <c r="BN215" s="230">
        <v>318806100</v>
      </c>
      <c r="BO215" s="229">
        <v>1.0024</v>
      </c>
      <c r="BP215" s="230">
        <v>3258937900</v>
      </c>
      <c r="BQ215" s="230">
        <v>1657287900</v>
      </c>
      <c r="BR215" s="230">
        <v>1601650000</v>
      </c>
      <c r="BS215" s="229">
        <v>0.96640000000000004</v>
      </c>
      <c r="BT215" s="230">
        <v>427541493</v>
      </c>
      <c r="BU215" s="230">
        <v>173076391</v>
      </c>
      <c r="BV215" s="230">
        <v>254465102</v>
      </c>
      <c r="BW215" s="229">
        <v>1.4702</v>
      </c>
      <c r="BX215" s="230">
        <v>1287913200</v>
      </c>
      <c r="BY215" s="230">
        <v>1305453600</v>
      </c>
      <c r="BZ215" s="230">
        <v>-17540400</v>
      </c>
      <c r="CA215" s="229">
        <v>-1.34E-2</v>
      </c>
      <c r="CB215" s="230">
        <v>1179871800</v>
      </c>
      <c r="CC215" s="230">
        <v>1205467100</v>
      </c>
      <c r="CD215" s="230">
        <v>-25595300</v>
      </c>
      <c r="CE215" s="229">
        <v>-2.12E-2</v>
      </c>
      <c r="CF215" s="230">
        <v>97032000</v>
      </c>
      <c r="CG215" s="230">
        <v>90905300</v>
      </c>
      <c r="CH215" s="230">
        <v>6126700</v>
      </c>
      <c r="CI215" s="229">
        <v>6.7400000000000002E-2</v>
      </c>
      <c r="CJ215" s="230">
        <v>11009400</v>
      </c>
      <c r="CK215" s="230">
        <v>9081200</v>
      </c>
      <c r="CL215" s="230">
        <v>1928200</v>
      </c>
      <c r="CM215" s="229">
        <v>0.21229999999999999</v>
      </c>
      <c r="CN215" s="230">
        <v>404455500</v>
      </c>
      <c r="CO215" s="230">
        <v>341446900</v>
      </c>
      <c r="CP215" s="230">
        <v>63008600</v>
      </c>
      <c r="CQ215" s="229">
        <v>0.1845</v>
      </c>
      <c r="CR215" s="230">
        <v>246840700</v>
      </c>
      <c r="CS215" s="230">
        <v>195059200</v>
      </c>
      <c r="CT215" s="230">
        <v>51781500</v>
      </c>
      <c r="CU215" s="229">
        <v>0.26550000000000001</v>
      </c>
      <c r="CV215" s="230">
        <v>1939209400</v>
      </c>
      <c r="CW215" s="230">
        <v>1841959700</v>
      </c>
      <c r="CX215" s="230">
        <v>97249700</v>
      </c>
      <c r="CY215" s="229">
        <v>5.28E-2</v>
      </c>
      <c r="CZ215" s="228">
        <v>37.25</v>
      </c>
      <c r="DA215" s="228">
        <v>33.74</v>
      </c>
      <c r="DB215" s="228">
        <v>3.51</v>
      </c>
      <c r="DC215" s="228">
        <v>3.51</v>
      </c>
      <c r="DD215" s="228">
        <v>39.299999999999997</v>
      </c>
      <c r="DE215" s="228">
        <v>38.04</v>
      </c>
      <c r="DF215" s="228">
        <v>-2.0499999999999998</v>
      </c>
      <c r="DG215" s="228">
        <v>1.26</v>
      </c>
      <c r="DH215" s="228">
        <v>37.43</v>
      </c>
      <c r="DI215" s="228">
        <v>34.520000000000003</v>
      </c>
      <c r="DJ215" s="228">
        <v>2.91</v>
      </c>
      <c r="DK215" s="228">
        <v>2.91</v>
      </c>
      <c r="DL215" s="228">
        <v>36.69</v>
      </c>
      <c r="DM215" s="228">
        <v>31.2</v>
      </c>
      <c r="DN215" s="228">
        <v>5.49</v>
      </c>
      <c r="DO215" s="228">
        <v>5.49</v>
      </c>
      <c r="DP215" s="228">
        <v>0.61</v>
      </c>
      <c r="DQ215" s="228">
        <v>0.56999999999999995</v>
      </c>
      <c r="DR215" s="228">
        <v>0.04</v>
      </c>
      <c r="DS215" s="229">
        <v>7.0199999999999999E-2</v>
      </c>
      <c r="DT215" s="228">
        <v>24</v>
      </c>
      <c r="DU215" s="228">
        <v>20</v>
      </c>
      <c r="DV215" s="228">
        <v>0.31</v>
      </c>
      <c r="DW215" s="228">
        <v>0.31</v>
      </c>
      <c r="DX215" s="228">
        <v>0</v>
      </c>
      <c r="DY215" s="229">
        <v>0</v>
      </c>
      <c r="DZ215" s="229">
        <v>8.3900000000000002E-2</v>
      </c>
      <c r="EA215" s="230">
        <v>99986500</v>
      </c>
      <c r="EB215" s="229">
        <v>6.3E-3</v>
      </c>
      <c r="EC215" s="229">
        <v>8.3900000000000002E-2</v>
      </c>
      <c r="ED215" s="228">
        <v>0.18</v>
      </c>
      <c r="EE215" s="229">
        <v>8.3000000000000001E-3</v>
      </c>
      <c r="EF215" s="230">
        <v>184237877</v>
      </c>
      <c r="EG215" s="230">
        <v>59982888</v>
      </c>
      <c r="EH215" s="229">
        <v>2.0714999999999999</v>
      </c>
      <c r="EI215" s="229">
        <v>0.43090000000000001</v>
      </c>
      <c r="EJ215" s="231">
        <v>478263.68</v>
      </c>
      <c r="EK215" s="231">
        <v>132479.14000000001</v>
      </c>
      <c r="EL215" s="231">
        <v>123540.6</v>
      </c>
      <c r="EM215" s="231">
        <v>6078</v>
      </c>
      <c r="EN215" s="231">
        <v>734283.42</v>
      </c>
      <c r="EO215" s="231">
        <v>357799.74</v>
      </c>
      <c r="EP215" s="231">
        <v>376483.68</v>
      </c>
      <c r="EQ215" s="229">
        <v>1.0522</v>
      </c>
      <c r="ER215" s="231">
        <v>91281</v>
      </c>
      <c r="ES215" s="231">
        <v>49415</v>
      </c>
      <c r="ET215" s="231">
        <v>286468</v>
      </c>
      <c r="EU215" s="231">
        <v>3425130022</v>
      </c>
      <c r="EV215" s="231">
        <v>427164</v>
      </c>
      <c r="EW215" s="231">
        <v>381197</v>
      </c>
      <c r="EX215" s="231">
        <v>45967</v>
      </c>
      <c r="EY215" s="229">
        <v>0.1206</v>
      </c>
      <c r="EZ215" s="229">
        <v>0.56620000000000004</v>
      </c>
      <c r="FA215" s="227" t="s">
        <v>691</v>
      </c>
      <c r="FB215" s="161">
        <f t="shared" si="5"/>
        <v>0</v>
      </c>
    </row>
    <row r="216" spans="1:158" ht="17.25" thickBot="1" x14ac:dyDescent="0.3">
      <c r="A216" s="226">
        <v>46148</v>
      </c>
      <c r="B216" s="227" t="s">
        <v>170</v>
      </c>
      <c r="C216" s="227" t="s">
        <v>556</v>
      </c>
      <c r="D216" s="228">
        <v>900</v>
      </c>
      <c r="E216" s="228">
        <v>944.8</v>
      </c>
      <c r="F216" s="228">
        <v>918.7</v>
      </c>
      <c r="G216" s="228">
        <v>26.1</v>
      </c>
      <c r="H216" s="229">
        <v>2.8400000000000002E-2</v>
      </c>
      <c r="I216" s="228">
        <v>938.8</v>
      </c>
      <c r="J216" s="228">
        <v>912.25</v>
      </c>
      <c r="K216" s="228">
        <v>26.55</v>
      </c>
      <c r="L216" s="229">
        <v>2.9100000000000001E-2</v>
      </c>
      <c r="M216" s="228">
        <v>944.8</v>
      </c>
      <c r="N216" s="228">
        <v>918.7</v>
      </c>
      <c r="O216" s="228">
        <v>26.1</v>
      </c>
      <c r="P216" s="229">
        <v>2.8400000000000002E-2</v>
      </c>
      <c r="Q216" s="228">
        <v>951.35</v>
      </c>
      <c r="R216" s="228">
        <v>923.75</v>
      </c>
      <c r="S216" s="228">
        <v>27.6</v>
      </c>
      <c r="T216" s="229">
        <v>2.9899999999999999E-2</v>
      </c>
      <c r="U216" s="228">
        <v>949.05</v>
      </c>
      <c r="V216" s="228">
        <v>921.15</v>
      </c>
      <c r="W216" s="228">
        <v>27.9</v>
      </c>
      <c r="X216" s="229">
        <v>3.0300000000000001E-2</v>
      </c>
      <c r="Y216" s="228">
        <v>6</v>
      </c>
      <c r="Z216" s="228">
        <v>6.45</v>
      </c>
      <c r="AA216" s="228">
        <v>-0.45</v>
      </c>
      <c r="AB216" s="229">
        <v>6.4000000000000003E-3</v>
      </c>
      <c r="AC216" s="228">
        <v>6</v>
      </c>
      <c r="AD216" s="228">
        <v>6.45</v>
      </c>
      <c r="AE216" s="228">
        <v>-0.45</v>
      </c>
      <c r="AF216" s="229">
        <v>6.4000000000000003E-3</v>
      </c>
      <c r="AG216" s="228">
        <v>12.55</v>
      </c>
      <c r="AH216" s="228">
        <v>11.5</v>
      </c>
      <c r="AI216" s="228">
        <v>1.05</v>
      </c>
      <c r="AJ216" s="229">
        <v>1.34E-2</v>
      </c>
      <c r="AK216" s="228">
        <v>10.25</v>
      </c>
      <c r="AL216" s="228">
        <v>8.9</v>
      </c>
      <c r="AM216" s="228">
        <v>1.35</v>
      </c>
      <c r="AN216" s="229">
        <v>1.09E-2</v>
      </c>
      <c r="AO216" s="228">
        <v>938.53</v>
      </c>
      <c r="AP216" s="228">
        <v>944.84</v>
      </c>
      <c r="AQ216" s="228">
        <v>0</v>
      </c>
      <c r="AR216" s="230">
        <v>2377800</v>
      </c>
      <c r="AS216" s="230">
        <v>1180800</v>
      </c>
      <c r="AT216" s="230">
        <v>1197000</v>
      </c>
      <c r="AU216" s="229">
        <v>1.0137</v>
      </c>
      <c r="AV216" s="230">
        <v>2224800</v>
      </c>
      <c r="AW216" s="230">
        <v>1128600</v>
      </c>
      <c r="AX216" s="230">
        <v>1096200</v>
      </c>
      <c r="AY216" s="229">
        <v>0.97130000000000005</v>
      </c>
      <c r="AZ216" s="230">
        <v>135000</v>
      </c>
      <c r="BA216" s="230">
        <v>49500</v>
      </c>
      <c r="BB216" s="230">
        <v>85500</v>
      </c>
      <c r="BC216" s="229">
        <v>1.7273000000000001</v>
      </c>
      <c r="BD216" s="230">
        <v>18000</v>
      </c>
      <c r="BE216" s="230">
        <v>2700</v>
      </c>
      <c r="BF216" s="230">
        <v>15300</v>
      </c>
      <c r="BG216" s="229">
        <v>5.6666999999999996</v>
      </c>
      <c r="BH216" s="230">
        <v>9071100</v>
      </c>
      <c r="BI216" s="230">
        <v>2409300</v>
      </c>
      <c r="BJ216" s="230">
        <v>6661800</v>
      </c>
      <c r="BK216" s="229">
        <v>2.7650000000000001</v>
      </c>
      <c r="BL216" s="230">
        <v>2490300</v>
      </c>
      <c r="BM216" s="230">
        <v>831600</v>
      </c>
      <c r="BN216" s="230">
        <v>1658700</v>
      </c>
      <c r="BO216" s="229">
        <v>1.9945999999999999</v>
      </c>
      <c r="BP216" s="230">
        <v>13939200</v>
      </c>
      <c r="BQ216" s="230">
        <v>4421700</v>
      </c>
      <c r="BR216" s="230">
        <v>9517500</v>
      </c>
      <c r="BS216" s="229">
        <v>2.1524999999999999</v>
      </c>
      <c r="BT216" s="230">
        <v>1557796</v>
      </c>
      <c r="BU216" s="230">
        <v>414725</v>
      </c>
      <c r="BV216" s="230">
        <v>1143071</v>
      </c>
      <c r="BW216" s="229">
        <v>2.7562000000000002</v>
      </c>
      <c r="BX216" s="230">
        <v>9738900</v>
      </c>
      <c r="BY216" s="230">
        <v>9696600</v>
      </c>
      <c r="BZ216" s="230">
        <v>42300</v>
      </c>
      <c r="CA216" s="229">
        <v>4.4000000000000003E-3</v>
      </c>
      <c r="CB216" s="230">
        <v>9409500</v>
      </c>
      <c r="CC216" s="230">
        <v>9415800</v>
      </c>
      <c r="CD216" s="230">
        <v>-6300</v>
      </c>
      <c r="CE216" s="229">
        <v>-6.9999999999999999E-4</v>
      </c>
      <c r="CF216" s="230">
        <v>305100</v>
      </c>
      <c r="CG216" s="230">
        <v>266400</v>
      </c>
      <c r="CH216" s="230">
        <v>38700</v>
      </c>
      <c r="CI216" s="229">
        <v>0.14530000000000001</v>
      </c>
      <c r="CJ216" s="230">
        <v>24300</v>
      </c>
      <c r="CK216" s="230">
        <v>14400</v>
      </c>
      <c r="CL216" s="230">
        <v>9900</v>
      </c>
      <c r="CM216" s="229">
        <v>0.6875</v>
      </c>
      <c r="CN216" s="230">
        <v>3600000</v>
      </c>
      <c r="CO216" s="230">
        <v>3051000</v>
      </c>
      <c r="CP216" s="230">
        <v>549000</v>
      </c>
      <c r="CQ216" s="229">
        <v>0.1799</v>
      </c>
      <c r="CR216" s="230">
        <v>2247300</v>
      </c>
      <c r="CS216" s="230">
        <v>2149200</v>
      </c>
      <c r="CT216" s="230">
        <v>98100</v>
      </c>
      <c r="CU216" s="229">
        <v>4.5600000000000002E-2</v>
      </c>
      <c r="CV216" s="230">
        <v>15586200</v>
      </c>
      <c r="CW216" s="230">
        <v>14896800</v>
      </c>
      <c r="CX216" s="230">
        <v>689400</v>
      </c>
      <c r="CY216" s="229">
        <v>4.6300000000000001E-2</v>
      </c>
      <c r="CZ216" s="228">
        <v>29.58</v>
      </c>
      <c r="DA216" s="228">
        <v>29.21</v>
      </c>
      <c r="DB216" s="228">
        <v>0.37</v>
      </c>
      <c r="DC216" s="228">
        <v>0.37</v>
      </c>
      <c r="DD216" s="228">
        <v>28.27</v>
      </c>
      <c r="DE216" s="228">
        <v>28.08</v>
      </c>
      <c r="DF216" s="228">
        <v>1.31</v>
      </c>
      <c r="DG216" s="228">
        <v>0.19</v>
      </c>
      <c r="DH216" s="228">
        <v>29.55</v>
      </c>
      <c r="DI216" s="228">
        <v>28.71</v>
      </c>
      <c r="DJ216" s="228">
        <v>0.84</v>
      </c>
      <c r="DK216" s="228">
        <v>0.84</v>
      </c>
      <c r="DL216" s="228">
        <v>29.69</v>
      </c>
      <c r="DM216" s="228">
        <v>30.65</v>
      </c>
      <c r="DN216" s="228">
        <v>-0.96</v>
      </c>
      <c r="DO216" s="228">
        <v>-0.96</v>
      </c>
      <c r="DP216" s="228">
        <v>0.62</v>
      </c>
      <c r="DQ216" s="228">
        <v>0.7</v>
      </c>
      <c r="DR216" s="228">
        <v>-0.08</v>
      </c>
      <c r="DS216" s="229">
        <v>-0.1143</v>
      </c>
      <c r="DT216" s="231">
        <v>1000</v>
      </c>
      <c r="DU216" s="228">
        <v>900</v>
      </c>
      <c r="DV216" s="228">
        <v>0.27</v>
      </c>
      <c r="DW216" s="228">
        <v>0.35</v>
      </c>
      <c r="DX216" s="228">
        <v>-0.08</v>
      </c>
      <c r="DY216" s="229">
        <v>-0.2286</v>
      </c>
      <c r="DZ216" s="229">
        <v>3.3799999999999997E-2</v>
      </c>
      <c r="EA216" s="230">
        <v>280800</v>
      </c>
      <c r="EB216" s="229">
        <v>6.8999999999999999E-3</v>
      </c>
      <c r="EC216" s="229">
        <v>3.3799999999999997E-2</v>
      </c>
      <c r="ED216" s="228">
        <v>6.31</v>
      </c>
      <c r="EE216" s="229">
        <v>6.7000000000000002E-3</v>
      </c>
      <c r="EF216" s="230">
        <v>758151</v>
      </c>
      <c r="EG216" s="230">
        <v>168234</v>
      </c>
      <c r="EH216" s="229">
        <v>3.5065</v>
      </c>
      <c r="EI216" s="229">
        <v>0.48670000000000002</v>
      </c>
      <c r="EJ216" s="231">
        <v>89165</v>
      </c>
      <c r="EK216" s="231">
        <v>22710.45</v>
      </c>
      <c r="EL216" s="231">
        <v>22325.69</v>
      </c>
      <c r="EM216" s="231">
        <v>1260</v>
      </c>
      <c r="EN216" s="231">
        <v>134201.14000000001</v>
      </c>
      <c r="EO216" s="231">
        <v>41507.129999999997</v>
      </c>
      <c r="EP216" s="231">
        <v>92694.01</v>
      </c>
      <c r="EQ216" s="229">
        <v>2.2332000000000001</v>
      </c>
      <c r="ER216" s="231">
        <v>35122</v>
      </c>
      <c r="ES216" s="231">
        <v>20508</v>
      </c>
      <c r="ET216" s="231">
        <v>92034</v>
      </c>
      <c r="EU216" s="231">
        <v>25160867</v>
      </c>
      <c r="EV216" s="231">
        <v>147665</v>
      </c>
      <c r="EW216" s="231">
        <v>138293</v>
      </c>
      <c r="EX216" s="231">
        <v>9372</v>
      </c>
      <c r="EY216" s="229">
        <v>6.7799999999999999E-2</v>
      </c>
      <c r="EZ216" s="229">
        <v>0.61950000000000005</v>
      </c>
      <c r="FA216" s="227" t="s">
        <v>555</v>
      </c>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BX326-CB326</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I5" sqref="I5"/>
    </sheetView>
  </sheetViews>
  <sheetFormatPr defaultColWidth="13.7109375" defaultRowHeight="15" x14ac:dyDescent="0.25"/>
  <cols>
    <col min="1" max="1" width="23.85546875" customWidth="1"/>
    <col min="2" max="2" width="12.5703125" customWidth="1"/>
    <col min="3" max="3" width="12.7109375" customWidth="1"/>
    <col min="4" max="4" width="11.140625" customWidth="1"/>
    <col min="5" max="5" width="12.7109375" customWidth="1"/>
    <col min="6" max="6" width="11.140625" customWidth="1"/>
    <col min="7" max="7" width="8.710937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615</v>
      </c>
      <c r="B2" s="226">
        <v>46148</v>
      </c>
      <c r="C2" s="230">
        <v>11658598</v>
      </c>
      <c r="D2" s="230">
        <v>1765909</v>
      </c>
      <c r="E2" s="230">
        <v>11663066</v>
      </c>
      <c r="F2" s="230">
        <v>1766551</v>
      </c>
      <c r="G2" s="230">
        <v>-4468</v>
      </c>
      <c r="H2" s="228">
        <v>-642</v>
      </c>
      <c r="I2" s="230">
        <v>11928283</v>
      </c>
      <c r="J2" s="230">
        <v>1138116</v>
      </c>
      <c r="K2" s="230">
        <v>740760</v>
      </c>
      <c r="L2" s="230">
        <v>122136</v>
      </c>
      <c r="M2" s="230">
        <v>12669043</v>
      </c>
      <c r="N2" s="230">
        <v>1260253</v>
      </c>
      <c r="O2" s="61"/>
      <c r="P2" s="61"/>
      <c r="Q2" s="61"/>
      <c r="R2" s="61"/>
      <c r="S2" s="61"/>
      <c r="U2" t="s">
        <v>453</v>
      </c>
      <c r="V2">
        <f>SUM('Data Vlaue (Cr)'!CD:CD)</f>
        <v>537007</v>
      </c>
      <c r="W2" t="s">
        <v>454</v>
      </c>
    </row>
    <row r="3" spans="1:23" ht="17.25" thickBot="1" x14ac:dyDescent="0.3">
      <c r="A3" s="227" t="s">
        <v>616</v>
      </c>
      <c r="B3" s="226">
        <v>46148</v>
      </c>
      <c r="C3" s="230">
        <v>11637</v>
      </c>
      <c r="D3" s="230">
        <v>1946</v>
      </c>
      <c r="E3" s="230">
        <v>5533</v>
      </c>
      <c r="F3" s="228">
        <v>923</v>
      </c>
      <c r="G3" s="230">
        <v>6104</v>
      </c>
      <c r="H3" s="230">
        <v>1022</v>
      </c>
      <c r="I3" s="230">
        <v>49677</v>
      </c>
      <c r="J3" s="230">
        <v>8169</v>
      </c>
      <c r="K3" s="230">
        <v>3484</v>
      </c>
      <c r="L3" s="228">
        <v>819</v>
      </c>
      <c r="M3" s="230">
        <v>53161</v>
      </c>
      <c r="N3" s="230">
        <v>8988</v>
      </c>
      <c r="O3" s="61"/>
      <c r="P3" s="61"/>
      <c r="Q3" s="61"/>
      <c r="R3" s="61"/>
      <c r="S3" s="61"/>
      <c r="U3" t="s">
        <v>453</v>
      </c>
      <c r="V3">
        <f>SUM('Data shares'!CC:CC)</f>
        <v>16250411502</v>
      </c>
      <c r="W3" t="s">
        <v>455</v>
      </c>
    </row>
    <row r="4" spans="1:23" ht="17.25" thickBot="1" x14ac:dyDescent="0.3">
      <c r="A4" s="227" t="s">
        <v>617</v>
      </c>
      <c r="B4" s="226">
        <v>46148</v>
      </c>
      <c r="C4" s="230">
        <v>317689</v>
      </c>
      <c r="D4" s="230">
        <v>53298</v>
      </c>
      <c r="E4" s="230">
        <v>316997</v>
      </c>
      <c r="F4" s="230">
        <v>53172</v>
      </c>
      <c r="G4" s="228">
        <v>692</v>
      </c>
      <c r="H4" s="228">
        <v>127</v>
      </c>
      <c r="I4" s="230">
        <v>302196</v>
      </c>
      <c r="J4" s="230">
        <v>49452</v>
      </c>
      <c r="K4" s="230">
        <v>30186</v>
      </c>
      <c r="L4" s="230">
        <v>6370</v>
      </c>
      <c r="M4" s="230">
        <v>332382</v>
      </c>
      <c r="N4" s="230">
        <v>55821</v>
      </c>
      <c r="O4" s="61"/>
      <c r="P4" s="61"/>
      <c r="Q4" s="61"/>
      <c r="R4" s="61"/>
      <c r="S4" s="61"/>
    </row>
    <row r="5" spans="1:23" ht="17.25" thickBot="1" x14ac:dyDescent="0.3">
      <c r="A5" s="227" t="s">
        <v>618</v>
      </c>
      <c r="B5" s="226">
        <v>46148</v>
      </c>
      <c r="C5" s="228">
        <v>42</v>
      </c>
      <c r="D5" s="228">
        <v>7</v>
      </c>
      <c r="E5" s="228">
        <v>12</v>
      </c>
      <c r="F5" s="228">
        <v>2</v>
      </c>
      <c r="G5" s="228">
        <v>30</v>
      </c>
      <c r="H5" s="228">
        <v>5</v>
      </c>
      <c r="I5" s="228">
        <v>288</v>
      </c>
      <c r="J5" s="228">
        <v>45</v>
      </c>
      <c r="K5" s="228">
        <v>-10</v>
      </c>
      <c r="L5" s="228">
        <v>0</v>
      </c>
      <c r="M5" s="228">
        <v>278</v>
      </c>
      <c r="N5" s="228">
        <v>44</v>
      </c>
      <c r="O5" s="61"/>
      <c r="P5" s="61"/>
      <c r="Q5" s="61"/>
      <c r="R5" s="61"/>
      <c r="S5" s="61"/>
    </row>
    <row r="6" spans="1:23" ht="17.25" thickBot="1" x14ac:dyDescent="0.3">
      <c r="A6" s="227" t="s">
        <v>619</v>
      </c>
      <c r="B6" s="226">
        <v>46148</v>
      </c>
      <c r="C6" s="230">
        <v>3782</v>
      </c>
      <c r="D6" s="228">
        <v>595</v>
      </c>
      <c r="E6" s="230">
        <v>3722</v>
      </c>
      <c r="F6" s="228">
        <v>588</v>
      </c>
      <c r="G6" s="228">
        <v>60</v>
      </c>
      <c r="H6" s="228">
        <v>7</v>
      </c>
      <c r="I6" s="230">
        <v>2770</v>
      </c>
      <c r="J6" s="228">
        <v>427</v>
      </c>
      <c r="K6" s="228">
        <v>678</v>
      </c>
      <c r="L6" s="228">
        <v>119</v>
      </c>
      <c r="M6" s="230">
        <v>3448</v>
      </c>
      <c r="N6" s="228">
        <v>546</v>
      </c>
      <c r="O6" s="61"/>
      <c r="P6" s="61"/>
      <c r="Q6" s="61"/>
      <c r="R6" s="61"/>
      <c r="S6" s="61"/>
    </row>
    <row r="7" spans="1:23" ht="17.25" thickBot="1" x14ac:dyDescent="0.3">
      <c r="A7" s="227" t="s">
        <v>620</v>
      </c>
      <c r="B7" s="226">
        <v>46148</v>
      </c>
      <c r="C7" s="230">
        <v>23401</v>
      </c>
      <c r="D7" s="230">
        <v>3827</v>
      </c>
      <c r="E7" s="230">
        <v>19863</v>
      </c>
      <c r="F7" s="230">
        <v>3192</v>
      </c>
      <c r="G7" s="230">
        <v>3538</v>
      </c>
      <c r="H7" s="228">
        <v>635</v>
      </c>
      <c r="I7" s="230">
        <v>257331</v>
      </c>
      <c r="J7" s="230">
        <v>40984</v>
      </c>
      <c r="K7" s="230">
        <v>8764</v>
      </c>
      <c r="L7" s="230">
        <v>2180</v>
      </c>
      <c r="M7" s="230">
        <v>266095</v>
      </c>
      <c r="N7" s="230">
        <v>43164</v>
      </c>
    </row>
    <row r="8" spans="1:23" ht="17.25" thickBot="1" x14ac:dyDescent="0.3">
      <c r="A8" s="227" t="s">
        <v>621</v>
      </c>
      <c r="B8" s="226">
        <v>46148</v>
      </c>
      <c r="C8" s="230">
        <v>5394369</v>
      </c>
      <c r="D8" s="230">
        <v>852163</v>
      </c>
      <c r="E8" s="230">
        <v>5403192</v>
      </c>
      <c r="F8" s="230">
        <v>853473</v>
      </c>
      <c r="G8" s="230">
        <v>-8823</v>
      </c>
      <c r="H8" s="230">
        <v>-1310</v>
      </c>
      <c r="I8" s="230">
        <v>1785307</v>
      </c>
      <c r="J8" s="230">
        <v>281394</v>
      </c>
      <c r="K8" s="230">
        <v>289866</v>
      </c>
      <c r="L8" s="230">
        <v>50540</v>
      </c>
      <c r="M8" s="230">
        <v>2075173</v>
      </c>
      <c r="N8" s="230">
        <v>331934</v>
      </c>
    </row>
    <row r="9" spans="1:23" ht="17.25" thickBot="1" x14ac:dyDescent="0.3">
      <c r="A9" s="227" t="s">
        <v>622</v>
      </c>
      <c r="B9" s="226">
        <v>46148</v>
      </c>
      <c r="C9" s="230">
        <v>1457</v>
      </c>
      <c r="D9" s="228">
        <v>250</v>
      </c>
      <c r="E9" s="228">
        <v>542</v>
      </c>
      <c r="F9" s="228">
        <v>93</v>
      </c>
      <c r="G9" s="228">
        <v>915</v>
      </c>
      <c r="H9" s="228">
        <v>157</v>
      </c>
      <c r="I9" s="230">
        <v>22750</v>
      </c>
      <c r="J9" s="230">
        <v>3822</v>
      </c>
      <c r="K9" s="228">
        <v>177</v>
      </c>
      <c r="L9" s="228">
        <v>140</v>
      </c>
      <c r="M9" s="230">
        <v>22927</v>
      </c>
      <c r="N9" s="230">
        <v>3962</v>
      </c>
    </row>
    <row r="10" spans="1:23" ht="17.25" thickBot="1" x14ac:dyDescent="0.3">
      <c r="A10" s="227" t="s">
        <v>623</v>
      </c>
      <c r="B10" s="226">
        <v>46148</v>
      </c>
      <c r="C10" s="230">
        <v>42548</v>
      </c>
      <c r="D10" s="230">
        <v>7189</v>
      </c>
      <c r="E10" s="230">
        <v>42585</v>
      </c>
      <c r="F10" s="230">
        <v>7183</v>
      </c>
      <c r="G10" s="228">
        <v>-37</v>
      </c>
      <c r="H10" s="228">
        <v>6</v>
      </c>
      <c r="I10" s="230">
        <v>23677</v>
      </c>
      <c r="J10" s="230">
        <v>3964</v>
      </c>
      <c r="K10" s="230">
        <v>11937</v>
      </c>
      <c r="L10" s="230">
        <v>2153</v>
      </c>
      <c r="M10" s="230">
        <v>35614</v>
      </c>
      <c r="N10" s="230">
        <v>6117</v>
      </c>
    </row>
    <row r="11" spans="1:23" ht="17.25" thickBot="1" x14ac:dyDescent="0.3">
      <c r="A11" s="227" t="s">
        <v>624</v>
      </c>
      <c r="B11" s="226">
        <v>46148</v>
      </c>
      <c r="C11" s="230">
        <v>10229</v>
      </c>
      <c r="D11" s="230">
        <v>1618</v>
      </c>
      <c r="E11" s="230">
        <v>13732</v>
      </c>
      <c r="F11" s="230">
        <v>2166</v>
      </c>
      <c r="G11" s="230">
        <v>-3503</v>
      </c>
      <c r="H11" s="228">
        <v>-548</v>
      </c>
      <c r="I11" s="230">
        <v>184098</v>
      </c>
      <c r="J11" s="230">
        <v>28856</v>
      </c>
      <c r="K11" s="230">
        <v>5109</v>
      </c>
      <c r="L11" s="230">
        <v>1220</v>
      </c>
      <c r="M11" s="230">
        <v>189207</v>
      </c>
      <c r="N11" s="230">
        <v>30076</v>
      </c>
    </row>
    <row r="12" spans="1:23" ht="17.25" thickBot="1" x14ac:dyDescent="0.3">
      <c r="A12" s="227" t="s">
        <v>625</v>
      </c>
      <c r="B12" s="226">
        <v>46148</v>
      </c>
      <c r="C12" s="230">
        <v>5030272</v>
      </c>
      <c r="D12" s="230">
        <v>791066</v>
      </c>
      <c r="E12" s="230">
        <v>5039806</v>
      </c>
      <c r="F12" s="230">
        <v>792515</v>
      </c>
      <c r="G12" s="230">
        <v>-9534</v>
      </c>
      <c r="H12" s="230">
        <v>-1449</v>
      </c>
      <c r="I12" s="230">
        <v>1456603</v>
      </c>
      <c r="J12" s="230">
        <v>227541</v>
      </c>
      <c r="K12" s="230">
        <v>246985</v>
      </c>
      <c r="L12" s="230">
        <v>41884</v>
      </c>
      <c r="M12" s="230">
        <v>1703588</v>
      </c>
      <c r="N12" s="230">
        <v>269424</v>
      </c>
    </row>
    <row r="13" spans="1:23" ht="17.25" thickBot="1" x14ac:dyDescent="0.3">
      <c r="A13" s="227" t="s">
        <v>626</v>
      </c>
      <c r="B13" s="226">
        <v>46148</v>
      </c>
      <c r="C13" s="228">
        <v>36</v>
      </c>
      <c r="D13" s="228">
        <v>6</v>
      </c>
      <c r="E13" s="228">
        <v>44</v>
      </c>
      <c r="F13" s="228">
        <v>8</v>
      </c>
      <c r="G13" s="228">
        <v>-8</v>
      </c>
      <c r="H13" s="228">
        <v>-1</v>
      </c>
      <c r="I13" s="228">
        <v>518</v>
      </c>
      <c r="J13" s="228">
        <v>92</v>
      </c>
      <c r="K13" s="228">
        <v>4</v>
      </c>
      <c r="L13" s="228">
        <v>2</v>
      </c>
      <c r="M13" s="228">
        <v>522</v>
      </c>
      <c r="N13" s="228">
        <v>94</v>
      </c>
    </row>
    <row r="14" spans="1:23" ht="17.25" thickBot="1" x14ac:dyDescent="0.3">
      <c r="A14" s="227" t="s">
        <v>627</v>
      </c>
      <c r="B14" s="226">
        <v>46148</v>
      </c>
      <c r="C14" s="228">
        <v>78</v>
      </c>
      <c r="D14" s="228">
        <v>14</v>
      </c>
      <c r="E14" s="228">
        <v>82</v>
      </c>
      <c r="F14" s="228">
        <v>15</v>
      </c>
      <c r="G14" s="228">
        <v>-4</v>
      </c>
      <c r="H14" s="228">
        <v>-1</v>
      </c>
      <c r="I14" s="228">
        <v>61</v>
      </c>
      <c r="J14" s="228">
        <v>11</v>
      </c>
      <c r="K14" s="228">
        <v>80</v>
      </c>
      <c r="L14" s="228">
        <v>15</v>
      </c>
      <c r="M14" s="228">
        <v>141</v>
      </c>
      <c r="N14" s="228">
        <v>25</v>
      </c>
    </row>
    <row r="15" spans="1:23" ht="17.25" thickBot="1" x14ac:dyDescent="0.3">
      <c r="A15" s="227" t="s">
        <v>628</v>
      </c>
      <c r="B15" s="226">
        <v>46148</v>
      </c>
      <c r="C15" s="230">
        <v>399145</v>
      </c>
      <c r="D15" s="230">
        <v>26479</v>
      </c>
      <c r="E15" s="230">
        <v>391377</v>
      </c>
      <c r="F15" s="230">
        <v>25749</v>
      </c>
      <c r="G15" s="230">
        <v>7768</v>
      </c>
      <c r="H15" s="228">
        <v>730</v>
      </c>
      <c r="I15" s="230">
        <v>7327780</v>
      </c>
      <c r="J15" s="230">
        <v>460040</v>
      </c>
      <c r="K15" s="230">
        <v>45300</v>
      </c>
      <c r="L15" s="230">
        <v>9831</v>
      </c>
      <c r="M15" s="230">
        <v>7373080</v>
      </c>
      <c r="N15" s="230">
        <v>469871</v>
      </c>
    </row>
    <row r="16" spans="1:23" ht="17.25" thickBot="1" x14ac:dyDescent="0.3">
      <c r="A16" s="227" t="s">
        <v>629</v>
      </c>
      <c r="B16" s="226">
        <v>46148</v>
      </c>
      <c r="C16" s="230">
        <v>423913</v>
      </c>
      <c r="D16" s="230">
        <v>27451</v>
      </c>
      <c r="E16" s="230">
        <v>425579</v>
      </c>
      <c r="F16" s="230">
        <v>27473</v>
      </c>
      <c r="G16" s="230">
        <v>-1666</v>
      </c>
      <c r="H16" s="228">
        <v>-21</v>
      </c>
      <c r="I16" s="230">
        <v>515227</v>
      </c>
      <c r="J16" s="230">
        <v>33321</v>
      </c>
      <c r="K16" s="230">
        <v>98200</v>
      </c>
      <c r="L16" s="230">
        <v>6865</v>
      </c>
      <c r="M16" s="230">
        <v>613427</v>
      </c>
      <c r="N16" s="230">
        <v>40186</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7"/>
  <sheetViews>
    <sheetView zoomScale="85" zoomScaleNormal="85" workbookViewId="0">
      <pane ySplit="6" topLeftCell="A8" activePane="bottomLeft" state="frozen"/>
      <selection activeCell="E46" sqref="E46"/>
      <selection pane="bottomLeft" activeCell="A8" sqref="A7:A221"/>
    </sheetView>
  </sheetViews>
  <sheetFormatPr defaultRowHeight="15" x14ac:dyDescent="0.25"/>
  <cols>
    <col min="1" max="1" width="14.5703125" style="74" bestFit="1" customWidth="1"/>
    <col min="6" max="6" width="14.7109375" bestFit="1" customWidth="1"/>
    <col min="7" max="7" width="14.42578125" bestFit="1" customWidth="1"/>
    <col min="8" max="8" width="6.42578125" bestFit="1" customWidth="1"/>
    <col min="9" max="9" width="14.42578125" bestFit="1" customWidth="1"/>
    <col min="10" max="10" width="14.140625" bestFit="1" customWidth="1"/>
    <col min="11" max="11" width="6.42578125" bestFit="1" customWidth="1"/>
  </cols>
  <sheetData>
    <row r="1" spans="1:17" hidden="1" x14ac:dyDescent="0.25"/>
    <row r="2" spans="1:17" ht="15.75" thickBot="1" x14ac:dyDescent="0.3"/>
    <row r="3" spans="1:17" s="70" customFormat="1" ht="21" customHeight="1" thickBot="1" x14ac:dyDescent="0.3">
      <c r="A3" s="258" t="s">
        <v>325</v>
      </c>
      <c r="B3" s="259"/>
      <c r="C3" s="259"/>
      <c r="D3" s="259"/>
      <c r="E3" s="259"/>
      <c r="F3" s="259"/>
      <c r="G3" s="259"/>
      <c r="H3" s="259"/>
      <c r="I3" s="259"/>
      <c r="J3" s="259"/>
      <c r="K3" s="259"/>
      <c r="L3" s="259"/>
      <c r="M3" s="259"/>
      <c r="N3" s="259"/>
      <c r="O3" s="259"/>
      <c r="P3" s="259"/>
      <c r="Q3" s="260"/>
    </row>
    <row r="4" spans="1:17" s="64" customFormat="1" x14ac:dyDescent="0.25">
      <c r="A4" s="261"/>
      <c r="B4" s="261" t="s">
        <v>308</v>
      </c>
      <c r="C4" s="261"/>
      <c r="D4" s="263"/>
      <c r="E4" s="263"/>
      <c r="F4" s="261" t="s">
        <v>326</v>
      </c>
      <c r="G4" s="261"/>
      <c r="H4" s="261"/>
      <c r="I4" s="261" t="s">
        <v>327</v>
      </c>
      <c r="J4" s="261"/>
      <c r="K4" s="261"/>
      <c r="L4" s="261" t="s">
        <v>311</v>
      </c>
      <c r="M4" s="261"/>
      <c r="N4" s="261"/>
      <c r="O4" s="261"/>
      <c r="P4" s="261"/>
      <c r="Q4" s="261"/>
    </row>
    <row r="5" spans="1:17" s="64" customFormat="1" x14ac:dyDescent="0.25">
      <c r="A5" s="262"/>
      <c r="B5" s="73" t="s">
        <v>312</v>
      </c>
      <c r="C5" s="262" t="s">
        <v>313</v>
      </c>
      <c r="D5" s="265"/>
      <c r="E5" s="265"/>
      <c r="F5" s="262" t="s">
        <v>314</v>
      </c>
      <c r="G5" s="262"/>
      <c r="H5" s="262"/>
      <c r="I5" s="262" t="s">
        <v>315</v>
      </c>
      <c r="J5" s="262"/>
      <c r="K5" s="262"/>
      <c r="L5" s="262" t="s">
        <v>316</v>
      </c>
      <c r="M5" s="262"/>
      <c r="N5" s="262"/>
      <c r="O5" s="262" t="s">
        <v>317</v>
      </c>
      <c r="P5" s="262"/>
      <c r="Q5" s="262"/>
    </row>
    <row r="6" spans="1:17" s="72" customFormat="1" ht="33.75" x14ac:dyDescent="0.25">
      <c r="A6" s="71" t="s">
        <v>557</v>
      </c>
      <c r="B6" s="66">
        <f>'Snapshot (Value)'!C10</f>
        <v>46148</v>
      </c>
      <c r="C6" s="66">
        <f>'Snapshot (Value)'!D10</f>
        <v>46148</v>
      </c>
      <c r="D6" s="71" t="s">
        <v>322</v>
      </c>
      <c r="E6" s="71" t="s">
        <v>328</v>
      </c>
      <c r="F6" s="66">
        <f>C6</f>
        <v>46148</v>
      </c>
      <c r="G6" s="71" t="s">
        <v>322</v>
      </c>
      <c r="H6" s="71" t="s">
        <v>328</v>
      </c>
      <c r="I6" s="66">
        <f>C6</f>
        <v>46148</v>
      </c>
      <c r="J6" s="71" t="s">
        <v>322</v>
      </c>
      <c r="K6" s="71" t="s">
        <v>328</v>
      </c>
      <c r="L6" s="66">
        <f>C6</f>
        <v>46148</v>
      </c>
      <c r="M6" s="71" t="s">
        <v>322</v>
      </c>
      <c r="N6" s="71" t="s">
        <v>328</v>
      </c>
      <c r="O6" s="66">
        <f>C6</f>
        <v>46148</v>
      </c>
      <c r="P6" s="71" t="s">
        <v>322</v>
      </c>
      <c r="Q6" s="71" t="s">
        <v>328</v>
      </c>
    </row>
    <row r="7" spans="1:17" x14ac:dyDescent="0.25">
      <c r="A7" s="97" t="str">
        <f>'Data Vlaue (Cr)'!C2</f>
        <v>360ONE</v>
      </c>
      <c r="B7" s="140">
        <f>VLOOKUP($A7,'Data shares'!$C:$FB,7)</f>
        <v>1084.0999999999999</v>
      </c>
      <c r="C7" s="140">
        <f>VLOOKUP($A7,'Data shares'!$C:$FB,3)</f>
        <v>1091.8</v>
      </c>
      <c r="D7" s="140">
        <f>VLOOKUP($A7,'Data shares'!$C:$FB,4)</f>
        <v>1076.7</v>
      </c>
      <c r="E7" s="50">
        <f>(C7-D7)/D7*100</f>
        <v>1.4024333611962392</v>
      </c>
      <c r="F7" s="49">
        <f>VLOOKUP($A7,'Data shares'!$C:$FB,98)</f>
        <v>6704000</v>
      </c>
      <c r="G7" s="49">
        <f>VLOOKUP($A7,'Data shares'!$C:$FB,99)</f>
        <v>6333000</v>
      </c>
      <c r="H7" s="50">
        <f>(F7-G7)/G7*100</f>
        <v>5.858203063319122</v>
      </c>
      <c r="I7" s="49">
        <f>VLOOKUP($A7,'Data shares'!$C:$FB,66)</f>
        <v>2545500</v>
      </c>
      <c r="J7" s="49">
        <f>VLOOKUP($A7,'Data shares'!$C:$FB,67)</f>
        <v>2985500</v>
      </c>
      <c r="K7" s="50">
        <f>(I7-J7)/I7*100</f>
        <v>-17.285405617756826</v>
      </c>
      <c r="L7" s="50">
        <f>VLOOKUP($A7,'Data shares'!$C:$FB,118)</f>
        <v>0.57999999999999996</v>
      </c>
      <c r="M7" s="50">
        <f>VLOOKUP($A7,'Data shares'!$C:$FB,119)</f>
        <v>0.55000000000000004</v>
      </c>
      <c r="N7" s="50">
        <f>VLOOKUP($A7,'Data shares'!$C:$FB,121)*100</f>
        <v>5.45</v>
      </c>
      <c r="O7" s="50">
        <f>VLOOKUP($A7,'Data shares'!$C:$FB,124)</f>
        <v>0.24</v>
      </c>
      <c r="P7" s="50">
        <f>VLOOKUP($A7,'Data shares'!$C:$FB,125)</f>
        <v>0.41</v>
      </c>
      <c r="Q7" s="50">
        <f>VLOOKUP($A7,'Data shares'!$C:$FB,127)*100</f>
        <v>-41.46</v>
      </c>
    </row>
    <row r="8" spans="1:17" x14ac:dyDescent="0.25">
      <c r="A8" s="97" t="str">
        <f>'Data Vlaue (Cr)'!C3</f>
        <v>ABB</v>
      </c>
      <c r="B8" s="140">
        <f>VLOOKUP($A8,'Data shares'!$C:$FB,7)</f>
        <v>7182.5</v>
      </c>
      <c r="C8" s="140">
        <f>VLOOKUP($A8,'Data shares'!$C:$FB,3)</f>
        <v>7181</v>
      </c>
      <c r="D8" s="140">
        <f>VLOOKUP($A8,'Data shares'!$C:$FB,4)</f>
        <v>7327.5</v>
      </c>
      <c r="E8" s="50">
        <f t="shared" ref="E8:E71" si="0">(C8-D8)/D8*100</f>
        <v>-1.9993176390310472</v>
      </c>
      <c r="F8" s="49">
        <f>VLOOKUP($A8,'Data shares'!$C:$FB,98)</f>
        <v>3853625</v>
      </c>
      <c r="G8" s="49">
        <f>VLOOKUP($A8,'Data shares'!$C:$FB,99)</f>
        <v>3694500</v>
      </c>
      <c r="H8" s="50">
        <f t="shared" ref="H8:H71" si="1">(F8-G8)/G8*100</f>
        <v>4.3070780890512923</v>
      </c>
      <c r="I8" s="49">
        <f>VLOOKUP($A8,'Data shares'!$C:$FB,66)</f>
        <v>3203000</v>
      </c>
      <c r="J8" s="49">
        <f>VLOOKUP($A8,'Data shares'!$C:$FB,67)</f>
        <v>2187250</v>
      </c>
      <c r="K8" s="50">
        <f t="shared" ref="K8:K71" si="2">(I8-J8)/I8*100</f>
        <v>31.712457071495475</v>
      </c>
      <c r="L8" s="50">
        <f>VLOOKUP($A8,'Data shares'!$C:$FB,118)</f>
        <v>0.5</v>
      </c>
      <c r="M8" s="50">
        <f>VLOOKUP($A8,'Data shares'!$C:$FB,119)</f>
        <v>0.5</v>
      </c>
      <c r="N8" s="50">
        <f>VLOOKUP($A8,'Data shares'!$C:$FB,121)*100</f>
        <v>0</v>
      </c>
      <c r="O8" s="50">
        <f>VLOOKUP($A8,'Data shares'!$C:$FB,124)</f>
        <v>0.4</v>
      </c>
      <c r="P8" s="50">
        <f>VLOOKUP($A8,'Data shares'!$C:$FB,125)</f>
        <v>0.25</v>
      </c>
      <c r="Q8" s="50">
        <f>VLOOKUP($A8,'Data shares'!$C:$FB,127)*100</f>
        <v>60</v>
      </c>
    </row>
    <row r="9" spans="1:17" x14ac:dyDescent="0.25">
      <c r="A9" s="97" t="str">
        <f>'Data Vlaue (Cr)'!C4</f>
        <v>ABCAPITAL</v>
      </c>
      <c r="B9" s="140">
        <f>VLOOKUP($A9,'Data shares'!$C:$FB,7)</f>
        <v>369.3</v>
      </c>
      <c r="C9" s="140">
        <f>VLOOKUP($A9,'Data shares'!$C:$FB,3)</f>
        <v>371.3</v>
      </c>
      <c r="D9" s="140">
        <f>VLOOKUP($A9,'Data shares'!$C:$FB,4)</f>
        <v>361.65</v>
      </c>
      <c r="E9" s="50">
        <f t="shared" si="0"/>
        <v>2.6683257292962907</v>
      </c>
      <c r="F9" s="49">
        <f>VLOOKUP($A9,'Data shares'!$C:$FB,98)</f>
        <v>65422400</v>
      </c>
      <c r="G9" s="49">
        <f>VLOOKUP($A9,'Data shares'!$C:$FB,99)</f>
        <v>67074700</v>
      </c>
      <c r="H9" s="50">
        <f t="shared" si="1"/>
        <v>-2.4633729260063779</v>
      </c>
      <c r="I9" s="49">
        <f>VLOOKUP($A9,'Data shares'!$C:$FB,66)</f>
        <v>86149000</v>
      </c>
      <c r="J9" s="49">
        <f>VLOOKUP($A9,'Data shares'!$C:$FB,67)</f>
        <v>148158300</v>
      </c>
      <c r="K9" s="50">
        <f t="shared" si="2"/>
        <v>-71.979129183159401</v>
      </c>
      <c r="L9" s="50">
        <f>VLOOKUP($A9,'Data shares'!$C:$FB,118)</f>
        <v>0.87</v>
      </c>
      <c r="M9" s="50">
        <f>VLOOKUP($A9,'Data shares'!$C:$FB,119)</f>
        <v>0.78</v>
      </c>
      <c r="N9" s="50">
        <f>VLOOKUP($A9,'Data shares'!$C:$FB,121)*100</f>
        <v>11.540000000000001</v>
      </c>
      <c r="O9" s="50">
        <f>VLOOKUP($A9,'Data shares'!$C:$FB,124)</f>
        <v>0.56000000000000005</v>
      </c>
      <c r="P9" s="50">
        <f>VLOOKUP($A9,'Data shares'!$C:$FB,125)</f>
        <v>0.45</v>
      </c>
      <c r="Q9" s="50">
        <f>VLOOKUP($A9,'Data shares'!$C:$FB,127)*100</f>
        <v>24.44</v>
      </c>
    </row>
    <row r="10" spans="1:17" x14ac:dyDescent="0.25">
      <c r="A10" s="97" t="str">
        <f>'Data Vlaue (Cr)'!C5</f>
        <v>ADANIENSOL</v>
      </c>
      <c r="B10" s="140">
        <f>VLOOKUP($A10,'Data shares'!$C:$FB,7)</f>
        <v>1407.3</v>
      </c>
      <c r="C10" s="140">
        <f>VLOOKUP($A10,'Data shares'!$C:$FB,3)</f>
        <v>1416.8</v>
      </c>
      <c r="D10" s="140">
        <f>VLOOKUP($A10,'Data shares'!$C:$FB,4)</f>
        <v>1418.1</v>
      </c>
      <c r="E10" s="50">
        <f t="shared" si="0"/>
        <v>-9.1671955433323071E-2</v>
      </c>
      <c r="F10" s="49">
        <f>VLOOKUP($A10,'Data shares'!$C:$FB,98)</f>
        <v>30515400</v>
      </c>
      <c r="G10" s="49">
        <f>VLOOKUP($A10,'Data shares'!$C:$FB,99)</f>
        <v>29430675</v>
      </c>
      <c r="H10" s="50">
        <f t="shared" si="1"/>
        <v>3.685695282218298</v>
      </c>
      <c r="I10" s="49">
        <f>VLOOKUP($A10,'Data shares'!$C:$FB,66)</f>
        <v>15937425</v>
      </c>
      <c r="J10" s="49">
        <f>VLOOKUP($A10,'Data shares'!$C:$FB,67)</f>
        <v>16402500</v>
      </c>
      <c r="K10" s="50">
        <f t="shared" si="2"/>
        <v>-2.9181313794417854</v>
      </c>
      <c r="L10" s="50">
        <f>VLOOKUP($A10,'Data shares'!$C:$FB,118)</f>
        <v>0.78</v>
      </c>
      <c r="M10" s="50">
        <f>VLOOKUP($A10,'Data shares'!$C:$FB,119)</f>
        <v>0.78</v>
      </c>
      <c r="N10" s="50">
        <f>VLOOKUP($A10,'Data shares'!$C:$FB,121)*100</f>
        <v>0</v>
      </c>
      <c r="O10" s="50">
        <f>VLOOKUP($A10,'Data shares'!$C:$FB,124)</f>
        <v>0.44</v>
      </c>
      <c r="P10" s="50">
        <f>VLOOKUP($A10,'Data shares'!$C:$FB,125)</f>
        <v>0.51</v>
      </c>
      <c r="Q10" s="50">
        <f>VLOOKUP($A10,'Data shares'!$C:$FB,127)*100</f>
        <v>-13.73</v>
      </c>
    </row>
    <row r="11" spans="1:17" x14ac:dyDescent="0.25">
      <c r="A11" s="97" t="str">
        <f>'Data Vlaue (Cr)'!C6</f>
        <v>ADANIENT</v>
      </c>
      <c r="B11" s="140">
        <f>VLOOKUP($A11,'Data shares'!$C:$FB,7)</f>
        <v>2540.3000000000002</v>
      </c>
      <c r="C11" s="140">
        <f>VLOOKUP($A11,'Data shares'!$C:$FB,3)</f>
        <v>2553.3000000000002</v>
      </c>
      <c r="D11" s="140">
        <f>VLOOKUP($A11,'Data shares'!$C:$FB,4)</f>
        <v>2473.1999999999998</v>
      </c>
      <c r="E11" s="50">
        <f t="shared" si="0"/>
        <v>3.2387190684134066</v>
      </c>
      <c r="F11" s="49">
        <f>VLOOKUP($A11,'Data shares'!$C:$FB,98)</f>
        <v>33159408</v>
      </c>
      <c r="G11" s="49">
        <f>VLOOKUP($A11,'Data shares'!$C:$FB,99)</f>
        <v>33137160</v>
      </c>
      <c r="H11" s="50">
        <f t="shared" si="1"/>
        <v>6.7139127191346501E-2</v>
      </c>
      <c r="I11" s="49">
        <f>VLOOKUP($A11,'Data shares'!$C:$FB,66)</f>
        <v>28891191</v>
      </c>
      <c r="J11" s="49">
        <f>VLOOKUP($A11,'Data shares'!$C:$FB,67)</f>
        <v>14095653</v>
      </c>
      <c r="K11" s="50">
        <f t="shared" si="2"/>
        <v>51.211242900993589</v>
      </c>
      <c r="L11" s="50">
        <f>VLOOKUP($A11,'Data shares'!$C:$FB,118)</f>
        <v>0.84</v>
      </c>
      <c r="M11" s="50">
        <f>VLOOKUP($A11,'Data shares'!$C:$FB,119)</f>
        <v>0.74</v>
      </c>
      <c r="N11" s="50">
        <f>VLOOKUP($A11,'Data shares'!$C:$FB,121)*100</f>
        <v>13.51</v>
      </c>
      <c r="O11" s="50">
        <f>VLOOKUP($A11,'Data shares'!$C:$FB,124)</f>
        <v>0.56999999999999995</v>
      </c>
      <c r="P11" s="50">
        <f>VLOOKUP($A11,'Data shares'!$C:$FB,125)</f>
        <v>0.72</v>
      </c>
      <c r="Q11" s="50">
        <f>VLOOKUP($A11,'Data shares'!$C:$FB,127)*100</f>
        <v>-20.830000000000002</v>
      </c>
    </row>
    <row r="12" spans="1:17" x14ac:dyDescent="0.25">
      <c r="A12" s="97" t="str">
        <f>'Data Vlaue (Cr)'!C7</f>
        <v>ADANIGREEN</v>
      </c>
      <c r="B12" s="140">
        <f>VLOOKUP($A12,'Data shares'!$C:$FB,7)</f>
        <v>1353</v>
      </c>
      <c r="C12" s="140">
        <f>VLOOKUP($A12,'Data shares'!$C:$FB,3)</f>
        <v>1362.2</v>
      </c>
      <c r="D12" s="140">
        <f>VLOOKUP($A12,'Data shares'!$C:$FB,4)</f>
        <v>1336.9</v>
      </c>
      <c r="E12" s="50">
        <f t="shared" si="0"/>
        <v>1.8924377290747216</v>
      </c>
      <c r="F12" s="49">
        <f>VLOOKUP($A12,'Data shares'!$C:$FB,98)</f>
        <v>35393400</v>
      </c>
      <c r="G12" s="49">
        <f>VLOOKUP($A12,'Data shares'!$C:$FB,99)</f>
        <v>34104600</v>
      </c>
      <c r="H12" s="50">
        <f t="shared" si="1"/>
        <v>3.7789623687127252</v>
      </c>
      <c r="I12" s="49">
        <f>VLOOKUP($A12,'Data shares'!$C:$FB,66)</f>
        <v>25738200</v>
      </c>
      <c r="J12" s="49">
        <f>VLOOKUP($A12,'Data shares'!$C:$FB,67)</f>
        <v>27684600</v>
      </c>
      <c r="K12" s="50">
        <f t="shared" si="2"/>
        <v>-7.5623003939669449</v>
      </c>
      <c r="L12" s="50">
        <f>VLOOKUP($A12,'Data shares'!$C:$FB,118)</f>
        <v>0.72</v>
      </c>
      <c r="M12" s="50">
        <f>VLOOKUP($A12,'Data shares'!$C:$FB,119)</f>
        <v>0.72</v>
      </c>
      <c r="N12" s="50">
        <f>VLOOKUP($A12,'Data shares'!$C:$FB,121)*100</f>
        <v>0</v>
      </c>
      <c r="O12" s="50">
        <f>VLOOKUP($A12,'Data shares'!$C:$FB,124)</f>
        <v>0.42</v>
      </c>
      <c r="P12" s="50">
        <f>VLOOKUP($A12,'Data shares'!$C:$FB,125)</f>
        <v>0.43</v>
      </c>
      <c r="Q12" s="50">
        <f>VLOOKUP($A12,'Data shares'!$C:$FB,127)*100</f>
        <v>-2.33</v>
      </c>
    </row>
    <row r="13" spans="1:17" x14ac:dyDescent="0.25">
      <c r="A13" s="97" t="str">
        <f>'Data Vlaue (Cr)'!C8</f>
        <v>ADANIPORTS</v>
      </c>
      <c r="B13" s="140">
        <f>VLOOKUP($A13,'Data shares'!$C:$FB,7)</f>
        <v>1748.3</v>
      </c>
      <c r="C13" s="140">
        <f>VLOOKUP($A13,'Data shares'!$C:$FB,3)</f>
        <v>1758.1</v>
      </c>
      <c r="D13" s="140">
        <f>VLOOKUP($A13,'Data shares'!$C:$FB,4)</f>
        <v>1730.8</v>
      </c>
      <c r="E13" s="50">
        <f t="shared" si="0"/>
        <v>1.5773052923503557</v>
      </c>
      <c r="F13" s="49">
        <f>VLOOKUP($A13,'Data shares'!$C:$FB,98)</f>
        <v>37435225</v>
      </c>
      <c r="G13" s="49">
        <f>VLOOKUP($A13,'Data shares'!$C:$FB,99)</f>
        <v>37360650</v>
      </c>
      <c r="H13" s="50">
        <f t="shared" si="1"/>
        <v>0.19960841152388945</v>
      </c>
      <c r="I13" s="49">
        <f>VLOOKUP($A13,'Data shares'!$C:$FB,66)</f>
        <v>25326525</v>
      </c>
      <c r="J13" s="49">
        <f>VLOOKUP($A13,'Data shares'!$C:$FB,67)</f>
        <v>31528600</v>
      </c>
      <c r="K13" s="50">
        <f t="shared" si="2"/>
        <v>-24.488456272623267</v>
      </c>
      <c r="L13" s="50">
        <f>VLOOKUP($A13,'Data shares'!$C:$FB,118)</f>
        <v>0.79</v>
      </c>
      <c r="M13" s="50">
        <f>VLOOKUP($A13,'Data shares'!$C:$FB,119)</f>
        <v>0.76</v>
      </c>
      <c r="N13" s="50">
        <f>VLOOKUP($A13,'Data shares'!$C:$FB,121)*100</f>
        <v>3.95</v>
      </c>
      <c r="O13" s="50">
        <f>VLOOKUP($A13,'Data shares'!$C:$FB,124)</f>
        <v>0.57999999999999996</v>
      </c>
      <c r="P13" s="50">
        <f>VLOOKUP($A13,'Data shares'!$C:$FB,125)</f>
        <v>0.56000000000000005</v>
      </c>
      <c r="Q13" s="50">
        <f>VLOOKUP($A13,'Data shares'!$C:$FB,127)*100</f>
        <v>3.5700000000000003</v>
      </c>
    </row>
    <row r="14" spans="1:17" x14ac:dyDescent="0.25">
      <c r="A14" s="97" t="str">
        <f>'Data Vlaue (Cr)'!C9</f>
        <v>ADANIPOWER</v>
      </c>
      <c r="B14" s="140">
        <f>VLOOKUP($A14,'Data shares'!$C:$FB,7)</f>
        <v>229.12</v>
      </c>
      <c r="C14" s="140">
        <f>VLOOKUP($A14,'Data shares'!$C:$FB,3)</f>
        <v>230.63</v>
      </c>
      <c r="D14" s="140">
        <f>VLOOKUP($A14,'Data shares'!$C:$FB,4)</f>
        <v>230.57</v>
      </c>
      <c r="E14" s="50">
        <f>(C14-D14)/D14*100</f>
        <v>2.6022466062368167E-2</v>
      </c>
      <c r="F14" s="49">
        <f>VLOOKUP($A14,'Data shares'!$C:$FB,98)</f>
        <v>135176900</v>
      </c>
      <c r="G14" s="49">
        <f>VLOOKUP($A14,'Data shares'!$C:$FB,99)</f>
        <v>131747600</v>
      </c>
      <c r="H14" s="50">
        <f t="shared" si="1"/>
        <v>2.602931666307394</v>
      </c>
      <c r="I14" s="49">
        <f>VLOOKUP($A14,'Data shares'!$C:$FB,66)</f>
        <v>82746950</v>
      </c>
      <c r="J14" s="49">
        <f>VLOOKUP($A14,'Data shares'!$C:$FB,67)</f>
        <v>77784050</v>
      </c>
      <c r="K14" s="50">
        <f t="shared" si="2"/>
        <v>5.9976832982967947</v>
      </c>
      <c r="L14" s="50">
        <f>VLOOKUP($A14,'Data shares'!$C:$FB,118)</f>
        <v>0.7</v>
      </c>
      <c r="M14" s="50">
        <f>VLOOKUP($A14,'Data shares'!$C:$FB,119)</f>
        <v>0.68</v>
      </c>
      <c r="N14" s="50">
        <f>VLOOKUP($A14,'Data shares'!$C:$FB,121)*100</f>
        <v>2.94</v>
      </c>
      <c r="O14" s="50">
        <f>VLOOKUP($A14,'Data shares'!$C:$FB,124)</f>
        <v>0.43</v>
      </c>
      <c r="P14" s="50">
        <f>VLOOKUP($A14,'Data shares'!$C:$FB,125)</f>
        <v>0.34</v>
      </c>
      <c r="Q14" s="50">
        <f>VLOOKUP($A14,'Data shares'!$C:$FB,127)*100</f>
        <v>26.47</v>
      </c>
    </row>
    <row r="15" spans="1:17" x14ac:dyDescent="0.25">
      <c r="A15" s="97" t="str">
        <f>'Data Vlaue (Cr)'!C10</f>
        <v>ALKEM</v>
      </c>
      <c r="B15" s="140">
        <f>VLOOKUP($A15,'Data shares'!$C:$FB,7)</f>
        <v>5557</v>
      </c>
      <c r="C15" s="140">
        <f>VLOOKUP($A15,'Data shares'!$C:$FB,3)</f>
        <v>5549</v>
      </c>
      <c r="D15" s="140">
        <f>VLOOKUP($A15,'Data shares'!$C:$FB,4)</f>
        <v>5424.5</v>
      </c>
      <c r="E15" s="50">
        <f t="shared" si="0"/>
        <v>2.2951424094386579</v>
      </c>
      <c r="F15" s="49">
        <f>VLOOKUP($A15,'Data shares'!$C:$FB,98)</f>
        <v>1494875</v>
      </c>
      <c r="G15" s="49">
        <f>VLOOKUP($A15,'Data shares'!$C:$FB,99)</f>
        <v>1427125</v>
      </c>
      <c r="H15" s="50">
        <f t="shared" si="1"/>
        <v>4.7473066479810813</v>
      </c>
      <c r="I15" s="49">
        <f>VLOOKUP($A15,'Data shares'!$C:$FB,66)</f>
        <v>1492625</v>
      </c>
      <c r="J15" s="49">
        <f>VLOOKUP($A15,'Data shares'!$C:$FB,67)</f>
        <v>364500</v>
      </c>
      <c r="K15" s="50">
        <f t="shared" si="2"/>
        <v>75.579934678837617</v>
      </c>
      <c r="L15" s="50">
        <f>VLOOKUP($A15,'Data shares'!$C:$FB,118)</f>
        <v>0.65</v>
      </c>
      <c r="M15" s="50">
        <f>VLOOKUP($A15,'Data shares'!$C:$FB,119)</f>
        <v>0.7</v>
      </c>
      <c r="N15" s="50">
        <f>VLOOKUP($A15,'Data shares'!$C:$FB,121)*100</f>
        <v>-7.1400000000000006</v>
      </c>
      <c r="O15" s="50">
        <f>VLOOKUP($A15,'Data shares'!$C:$FB,124)</f>
        <v>0.28999999999999998</v>
      </c>
      <c r="P15" s="50">
        <f>VLOOKUP($A15,'Data shares'!$C:$FB,125)</f>
        <v>0.37</v>
      </c>
      <c r="Q15" s="50">
        <f>VLOOKUP($A15,'Data shares'!$C:$FB,127)*100</f>
        <v>-21.62</v>
      </c>
    </row>
    <row r="16" spans="1:17" x14ac:dyDescent="0.25">
      <c r="A16" s="97" t="str">
        <f>'Data Vlaue (Cr)'!C11</f>
        <v>AMBER</v>
      </c>
      <c r="B16" s="140">
        <f>VLOOKUP($A16,'Data shares'!$C:$FB,7)</f>
        <v>8661.5</v>
      </c>
      <c r="C16" s="140">
        <f>VLOOKUP($A16,'Data shares'!$C:$FB,3)</f>
        <v>8737.5</v>
      </c>
      <c r="D16" s="140">
        <f>VLOOKUP($A16,'Data shares'!$C:$FB,4)</f>
        <v>8248</v>
      </c>
      <c r="E16" s="50">
        <f t="shared" si="0"/>
        <v>5.9347720659553831</v>
      </c>
      <c r="F16" s="49">
        <f>VLOOKUP($A16,'Data shares'!$C:$FB,98)</f>
        <v>2639100</v>
      </c>
      <c r="G16" s="49">
        <f>VLOOKUP($A16,'Data shares'!$C:$FB,99)</f>
        <v>1905100</v>
      </c>
      <c r="H16" s="50">
        <f t="shared" si="1"/>
        <v>38.528161251377881</v>
      </c>
      <c r="I16" s="49">
        <f>VLOOKUP($A16,'Data shares'!$C:$FB,66)</f>
        <v>4825000</v>
      </c>
      <c r="J16" s="49">
        <f>VLOOKUP($A16,'Data shares'!$C:$FB,67)</f>
        <v>1382400</v>
      </c>
      <c r="K16" s="50">
        <f t="shared" si="2"/>
        <v>71.349222797927453</v>
      </c>
      <c r="L16" s="50">
        <f>VLOOKUP($A16,'Data shares'!$C:$FB,118)</f>
        <v>0.51</v>
      </c>
      <c r="M16" s="50">
        <f>VLOOKUP($A16,'Data shares'!$C:$FB,119)</f>
        <v>0.5</v>
      </c>
      <c r="N16" s="50">
        <f>VLOOKUP($A16,'Data shares'!$C:$FB,121)*100</f>
        <v>2</v>
      </c>
      <c r="O16" s="50">
        <f>VLOOKUP($A16,'Data shares'!$C:$FB,124)</f>
        <v>0.4</v>
      </c>
      <c r="P16" s="50">
        <f>VLOOKUP($A16,'Data shares'!$C:$FB,125)</f>
        <v>0.35</v>
      </c>
      <c r="Q16" s="50">
        <f>VLOOKUP($A16,'Data shares'!$C:$FB,127)*100</f>
        <v>14.29</v>
      </c>
    </row>
    <row r="17" spans="1:17" x14ac:dyDescent="0.25">
      <c r="A17" s="97" t="str">
        <f>'Data Vlaue (Cr)'!C12</f>
        <v>AMBUJACEM</v>
      </c>
      <c r="B17" s="140">
        <f>VLOOKUP($A17,'Data shares'!$C:$FB,7)</f>
        <v>446.9</v>
      </c>
      <c r="C17" s="140">
        <f>VLOOKUP($A17,'Data shares'!$C:$FB,3)</f>
        <v>448.95</v>
      </c>
      <c r="D17" s="140">
        <f>VLOOKUP($A17,'Data shares'!$C:$FB,4)</f>
        <v>435.3</v>
      </c>
      <c r="E17" s="50">
        <f t="shared" si="0"/>
        <v>3.1357684355616762</v>
      </c>
      <c r="F17" s="49">
        <f>VLOOKUP($A17,'Data shares'!$C:$FB,98)</f>
        <v>109802250</v>
      </c>
      <c r="G17" s="49">
        <f>VLOOKUP($A17,'Data shares'!$C:$FB,99)</f>
        <v>107169900</v>
      </c>
      <c r="H17" s="50">
        <f t="shared" si="1"/>
        <v>2.4562400450126387</v>
      </c>
      <c r="I17" s="49">
        <f>VLOOKUP($A17,'Data shares'!$C:$FB,66)</f>
        <v>72667350</v>
      </c>
      <c r="J17" s="49">
        <f>VLOOKUP($A17,'Data shares'!$C:$FB,67)</f>
        <v>71115450</v>
      </c>
      <c r="K17" s="50">
        <f t="shared" si="2"/>
        <v>2.1356221191497968</v>
      </c>
      <c r="L17" s="50">
        <f>VLOOKUP($A17,'Data shares'!$C:$FB,118)</f>
        <v>0.56999999999999995</v>
      </c>
      <c r="M17" s="50">
        <f>VLOOKUP($A17,'Data shares'!$C:$FB,119)</f>
        <v>0.54</v>
      </c>
      <c r="N17" s="50">
        <f>VLOOKUP($A17,'Data shares'!$C:$FB,121)*100</f>
        <v>5.56</v>
      </c>
      <c r="O17" s="50">
        <f>VLOOKUP($A17,'Data shares'!$C:$FB,124)</f>
        <v>0.33</v>
      </c>
      <c r="P17" s="50">
        <f>VLOOKUP($A17,'Data shares'!$C:$FB,125)</f>
        <v>0.45</v>
      </c>
      <c r="Q17" s="50">
        <f>VLOOKUP($A17,'Data shares'!$C:$FB,127)*100</f>
        <v>-26.669999999999998</v>
      </c>
    </row>
    <row r="18" spans="1:17" x14ac:dyDescent="0.25">
      <c r="A18" s="97" t="str">
        <f>'Data Vlaue (Cr)'!C13</f>
        <v>ANGELONE</v>
      </c>
      <c r="B18" s="140">
        <f>VLOOKUP($A18,'Data shares'!$C:$FB,7)</f>
        <v>316.85000000000002</v>
      </c>
      <c r="C18" s="140">
        <f>VLOOKUP($A18,'Data shares'!$C:$FB,3)</f>
        <v>318.5</v>
      </c>
      <c r="D18" s="140">
        <f>VLOOKUP($A18,'Data shares'!$C:$FB,4)</f>
        <v>315.89999999999998</v>
      </c>
      <c r="E18" s="50">
        <f t="shared" si="0"/>
        <v>0.82304526748971907</v>
      </c>
      <c r="F18" s="49">
        <f>VLOOKUP($A18,'Data shares'!$C:$FB,98)</f>
        <v>49205000</v>
      </c>
      <c r="G18" s="49">
        <f>VLOOKUP($A18,'Data shares'!$C:$FB,99)</f>
        <v>47750000</v>
      </c>
      <c r="H18" s="50">
        <f t="shared" si="1"/>
        <v>3.0471204188481678</v>
      </c>
      <c r="I18" s="49">
        <f>VLOOKUP($A18,'Data shares'!$C:$FB,66)</f>
        <v>49820000</v>
      </c>
      <c r="J18" s="49">
        <f>VLOOKUP($A18,'Data shares'!$C:$FB,67)</f>
        <v>48870000</v>
      </c>
      <c r="K18" s="50">
        <f t="shared" si="2"/>
        <v>1.90686471296668</v>
      </c>
      <c r="L18" s="50">
        <f>VLOOKUP($A18,'Data shares'!$C:$FB,118)</f>
        <v>0.49</v>
      </c>
      <c r="M18" s="50">
        <f>VLOOKUP($A18,'Data shares'!$C:$FB,119)</f>
        <v>0.52</v>
      </c>
      <c r="N18" s="50">
        <f>VLOOKUP($A18,'Data shares'!$C:$FB,121)*100</f>
        <v>-5.7700000000000005</v>
      </c>
      <c r="O18" s="50">
        <f>VLOOKUP($A18,'Data shares'!$C:$FB,124)</f>
        <v>0.32</v>
      </c>
      <c r="P18" s="50">
        <f>VLOOKUP($A18,'Data shares'!$C:$FB,125)</f>
        <v>0.42</v>
      </c>
      <c r="Q18" s="50">
        <f>VLOOKUP($A18,'Data shares'!$C:$FB,127)*100</f>
        <v>-23.810000000000002</v>
      </c>
    </row>
    <row r="19" spans="1:17" x14ac:dyDescent="0.25">
      <c r="A19" s="97" t="str">
        <f>'Data Vlaue (Cr)'!C14</f>
        <v>APLAPOLLO</v>
      </c>
      <c r="B19" s="140">
        <f>VLOOKUP($A19,'Data shares'!$C:$FB,7)</f>
        <v>1914.7</v>
      </c>
      <c r="C19" s="140">
        <f>VLOOKUP($A19,'Data shares'!$C:$FB,3)</f>
        <v>1927.3</v>
      </c>
      <c r="D19" s="140">
        <f>VLOOKUP($A19,'Data shares'!$C:$FB,4)</f>
        <v>1881.6</v>
      </c>
      <c r="E19" s="50">
        <f t="shared" si="0"/>
        <v>2.4287840136054446</v>
      </c>
      <c r="F19" s="49">
        <f>VLOOKUP($A19,'Data shares'!$C:$FB,98)</f>
        <v>8971900</v>
      </c>
      <c r="G19" s="49">
        <f>VLOOKUP($A19,'Data shares'!$C:$FB,99)</f>
        <v>8895250</v>
      </c>
      <c r="H19" s="50">
        <f t="shared" si="1"/>
        <v>0.86169584890812501</v>
      </c>
      <c r="I19" s="49">
        <f>VLOOKUP($A19,'Data shares'!$C:$FB,66)</f>
        <v>4158700</v>
      </c>
      <c r="J19" s="49">
        <f>VLOOKUP($A19,'Data shares'!$C:$FB,67)</f>
        <v>4244100</v>
      </c>
      <c r="K19" s="50">
        <f t="shared" si="2"/>
        <v>-2.053526342366605</v>
      </c>
      <c r="L19" s="50">
        <f>VLOOKUP($A19,'Data shares'!$C:$FB,118)</f>
        <v>0.53</v>
      </c>
      <c r="M19" s="50">
        <f>VLOOKUP($A19,'Data shares'!$C:$FB,119)</f>
        <v>0.55000000000000004</v>
      </c>
      <c r="N19" s="50">
        <f>VLOOKUP($A19,'Data shares'!$C:$FB,121)*100</f>
        <v>-3.64</v>
      </c>
      <c r="O19" s="50">
        <f>VLOOKUP($A19,'Data shares'!$C:$FB,124)</f>
        <v>0.26</v>
      </c>
      <c r="P19" s="50">
        <f>VLOOKUP($A19,'Data shares'!$C:$FB,125)</f>
        <v>0.52</v>
      </c>
      <c r="Q19" s="50">
        <f>VLOOKUP($A19,'Data shares'!$C:$FB,127)*100</f>
        <v>-50</v>
      </c>
    </row>
    <row r="20" spans="1:17" x14ac:dyDescent="0.25">
      <c r="A20" s="97" t="str">
        <f>'Data Vlaue (Cr)'!C15</f>
        <v>APOLLOHOSP</v>
      </c>
      <c r="B20" s="140">
        <f>VLOOKUP($A20,'Data shares'!$C:$FB,7)</f>
        <v>7760.5</v>
      </c>
      <c r="C20" s="140">
        <f>VLOOKUP($A20,'Data shares'!$C:$FB,3)</f>
        <v>7814.5</v>
      </c>
      <c r="D20" s="140">
        <f>VLOOKUP($A20,'Data shares'!$C:$FB,4)</f>
        <v>7789.5</v>
      </c>
      <c r="E20" s="50">
        <f t="shared" si="0"/>
        <v>0.32094486167276459</v>
      </c>
      <c r="F20" s="49">
        <f>VLOOKUP($A20,'Data shares'!$C:$FB,98)</f>
        <v>3246500</v>
      </c>
      <c r="G20" s="49">
        <f>VLOOKUP($A20,'Data shares'!$C:$FB,99)</f>
        <v>3167250</v>
      </c>
      <c r="H20" s="50">
        <f t="shared" si="1"/>
        <v>2.5021706527744891</v>
      </c>
      <c r="I20" s="49">
        <f>VLOOKUP($A20,'Data shares'!$C:$FB,66)</f>
        <v>1196250</v>
      </c>
      <c r="J20" s="49">
        <f>VLOOKUP($A20,'Data shares'!$C:$FB,67)</f>
        <v>1188750</v>
      </c>
      <c r="K20" s="50">
        <f t="shared" si="2"/>
        <v>0.62695924764890276</v>
      </c>
      <c r="L20" s="50">
        <f>VLOOKUP($A20,'Data shares'!$C:$FB,118)</f>
        <v>0.6</v>
      </c>
      <c r="M20" s="50">
        <f>VLOOKUP($A20,'Data shares'!$C:$FB,119)</f>
        <v>0.63</v>
      </c>
      <c r="N20" s="50">
        <f>VLOOKUP($A20,'Data shares'!$C:$FB,121)*100</f>
        <v>-4.7600000000000007</v>
      </c>
      <c r="O20" s="50">
        <f>VLOOKUP($A20,'Data shares'!$C:$FB,124)</f>
        <v>0.41</v>
      </c>
      <c r="P20" s="50">
        <f>VLOOKUP($A20,'Data shares'!$C:$FB,125)</f>
        <v>0.53</v>
      </c>
      <c r="Q20" s="50">
        <f>VLOOKUP($A20,'Data shares'!$C:$FB,127)*100</f>
        <v>-22.64</v>
      </c>
    </row>
    <row r="21" spans="1:17" x14ac:dyDescent="0.25">
      <c r="A21" s="97" t="str">
        <f>'Data Vlaue (Cr)'!C16</f>
        <v>ASHOKLEY</v>
      </c>
      <c r="B21" s="140">
        <f>VLOOKUP($A21,'Data shares'!$C:$FB,7)</f>
        <v>167.8</v>
      </c>
      <c r="C21" s="140">
        <f>VLOOKUP($A21,'Data shares'!$C:$FB,3)</f>
        <v>168.83</v>
      </c>
      <c r="D21" s="140">
        <f>VLOOKUP($A21,'Data shares'!$C:$FB,4)</f>
        <v>159.91</v>
      </c>
      <c r="E21" s="50">
        <f t="shared" si="0"/>
        <v>5.5781377024576422</v>
      </c>
      <c r="F21" s="49">
        <f>VLOOKUP($A21,'Data shares'!$C:$FB,98)</f>
        <v>283670000</v>
      </c>
      <c r="G21" s="49">
        <f>VLOOKUP($A21,'Data shares'!$C:$FB,99)</f>
        <v>280515000</v>
      </c>
      <c r="H21" s="50">
        <f t="shared" si="1"/>
        <v>1.1247170383045468</v>
      </c>
      <c r="I21" s="49">
        <f>VLOOKUP($A21,'Data shares'!$C:$FB,66)</f>
        <v>289055000</v>
      </c>
      <c r="J21" s="49">
        <f>VLOOKUP($A21,'Data shares'!$C:$FB,67)</f>
        <v>109265000</v>
      </c>
      <c r="K21" s="50">
        <f t="shared" si="2"/>
        <v>62.199235439622214</v>
      </c>
      <c r="L21" s="50">
        <f>VLOOKUP($A21,'Data shares'!$C:$FB,118)</f>
        <v>0.56000000000000005</v>
      </c>
      <c r="M21" s="50">
        <f>VLOOKUP($A21,'Data shares'!$C:$FB,119)</f>
        <v>0.56999999999999995</v>
      </c>
      <c r="N21" s="50">
        <f>VLOOKUP($A21,'Data shares'!$C:$FB,121)*100</f>
        <v>-1.7500000000000002</v>
      </c>
      <c r="O21" s="50">
        <f>VLOOKUP($A21,'Data shares'!$C:$FB,124)</f>
        <v>0.33</v>
      </c>
      <c r="P21" s="50">
        <f>VLOOKUP($A21,'Data shares'!$C:$FB,125)</f>
        <v>0.56999999999999995</v>
      </c>
      <c r="Q21" s="50">
        <f>VLOOKUP($A21,'Data shares'!$C:$FB,127)*100</f>
        <v>-42.11</v>
      </c>
    </row>
    <row r="22" spans="1:17" x14ac:dyDescent="0.25">
      <c r="A22" s="97" t="str">
        <f>'Data Vlaue (Cr)'!C17</f>
        <v>ASIANPAINT</v>
      </c>
      <c r="B22" s="140">
        <f>VLOOKUP($A22,'Data shares'!$C:$FB,7)</f>
        <v>2519</v>
      </c>
      <c r="C22" s="140">
        <f>VLOOKUP($A22,'Data shares'!$C:$FB,3)</f>
        <v>2530.5</v>
      </c>
      <c r="D22" s="140">
        <f>VLOOKUP($A22,'Data shares'!$C:$FB,4)</f>
        <v>2441.1</v>
      </c>
      <c r="E22" s="50">
        <f t="shared" si="0"/>
        <v>3.6622833968293023</v>
      </c>
      <c r="F22" s="49">
        <f>VLOOKUP($A22,'Data shares'!$C:$FB,98)</f>
        <v>21906000</v>
      </c>
      <c r="G22" s="49">
        <f>VLOOKUP($A22,'Data shares'!$C:$FB,99)</f>
        <v>21512750</v>
      </c>
      <c r="H22" s="50">
        <f t="shared" si="1"/>
        <v>1.8279857293930342</v>
      </c>
      <c r="I22" s="49">
        <f>VLOOKUP($A22,'Data shares'!$C:$FB,66)</f>
        <v>16770500</v>
      </c>
      <c r="J22" s="49">
        <f>VLOOKUP($A22,'Data shares'!$C:$FB,67)</f>
        <v>5923250</v>
      </c>
      <c r="K22" s="50">
        <f t="shared" si="2"/>
        <v>64.680540234340057</v>
      </c>
      <c r="L22" s="50">
        <f>VLOOKUP($A22,'Data shares'!$C:$FB,118)</f>
        <v>0.78</v>
      </c>
      <c r="M22" s="50">
        <f>VLOOKUP($A22,'Data shares'!$C:$FB,119)</f>
        <v>0.85</v>
      </c>
      <c r="N22" s="50">
        <f>VLOOKUP($A22,'Data shares'!$C:$FB,121)*100</f>
        <v>-8.24</v>
      </c>
      <c r="O22" s="50">
        <f>VLOOKUP($A22,'Data shares'!$C:$FB,124)</f>
        <v>0.6</v>
      </c>
      <c r="P22" s="50">
        <f>VLOOKUP($A22,'Data shares'!$C:$FB,125)</f>
        <v>0.72</v>
      </c>
      <c r="Q22" s="50">
        <f>VLOOKUP($A22,'Data shares'!$C:$FB,127)*100</f>
        <v>-16.669999999999998</v>
      </c>
    </row>
    <row r="23" spans="1:17" x14ac:dyDescent="0.25">
      <c r="A23" s="97" t="str">
        <f>'Data Vlaue (Cr)'!C18</f>
        <v>ASTRAL</v>
      </c>
      <c r="B23" s="140">
        <f>VLOOKUP($A23,'Data shares'!$C:$FB,7)</f>
        <v>1576.1</v>
      </c>
      <c r="C23" s="140">
        <f>VLOOKUP($A23,'Data shares'!$C:$FB,3)</f>
        <v>1583.4</v>
      </c>
      <c r="D23" s="140">
        <f>VLOOKUP($A23,'Data shares'!$C:$FB,4)</f>
        <v>1535.1</v>
      </c>
      <c r="E23" s="50">
        <f t="shared" si="0"/>
        <v>3.1463748290013798</v>
      </c>
      <c r="F23" s="49">
        <f>VLOOKUP($A23,'Data shares'!$C:$FB,98)</f>
        <v>11851975</v>
      </c>
      <c r="G23" s="49">
        <f>VLOOKUP($A23,'Data shares'!$C:$FB,99)</f>
        <v>11815000</v>
      </c>
      <c r="H23" s="50">
        <f t="shared" si="1"/>
        <v>0.31294964028776978</v>
      </c>
      <c r="I23" s="49">
        <f>VLOOKUP($A23,'Data shares'!$C:$FB,66)</f>
        <v>9404825</v>
      </c>
      <c r="J23" s="49">
        <f>VLOOKUP($A23,'Data shares'!$C:$FB,67)</f>
        <v>2407625</v>
      </c>
      <c r="K23" s="50">
        <f t="shared" si="2"/>
        <v>74.400108454968588</v>
      </c>
      <c r="L23" s="50">
        <f>VLOOKUP($A23,'Data shares'!$C:$FB,118)</f>
        <v>0.57999999999999996</v>
      </c>
      <c r="M23" s="50">
        <f>VLOOKUP($A23,'Data shares'!$C:$FB,119)</f>
        <v>0.6</v>
      </c>
      <c r="N23" s="50">
        <f>VLOOKUP($A23,'Data shares'!$C:$FB,121)*100</f>
        <v>-3.3300000000000005</v>
      </c>
      <c r="O23" s="50">
        <f>VLOOKUP($A23,'Data shares'!$C:$FB,124)</f>
        <v>0.31</v>
      </c>
      <c r="P23" s="50">
        <f>VLOOKUP($A23,'Data shares'!$C:$FB,125)</f>
        <v>0.35</v>
      </c>
      <c r="Q23" s="50">
        <f>VLOOKUP($A23,'Data shares'!$C:$FB,127)*100</f>
        <v>-11.43</v>
      </c>
    </row>
    <row r="24" spans="1:17" x14ac:dyDescent="0.25">
      <c r="A24" s="97" t="str">
        <f>'Data Vlaue (Cr)'!C19</f>
        <v>AUBANK</v>
      </c>
      <c r="B24" s="140">
        <f>VLOOKUP($A24,'Data shares'!$C:$FB,7)</f>
        <v>1024</v>
      </c>
      <c r="C24" s="140">
        <f>VLOOKUP($A24,'Data shares'!$C:$FB,3)</f>
        <v>1031.2</v>
      </c>
      <c r="D24" s="140">
        <f>VLOOKUP($A24,'Data shares'!$C:$FB,4)</f>
        <v>1012.9</v>
      </c>
      <c r="E24" s="50">
        <f t="shared" si="0"/>
        <v>1.806693651890618</v>
      </c>
      <c r="F24" s="49">
        <f>VLOOKUP($A24,'Data shares'!$C:$FB,98)</f>
        <v>40319000</v>
      </c>
      <c r="G24" s="49">
        <f>VLOOKUP($A24,'Data shares'!$C:$FB,99)</f>
        <v>39822000</v>
      </c>
      <c r="H24" s="50">
        <f t="shared" si="1"/>
        <v>1.2480538395861585</v>
      </c>
      <c r="I24" s="49">
        <f>VLOOKUP($A24,'Data shares'!$C:$FB,66)</f>
        <v>21153000</v>
      </c>
      <c r="J24" s="49">
        <f>VLOOKUP($A24,'Data shares'!$C:$FB,67)</f>
        <v>10360000</v>
      </c>
      <c r="K24" s="50">
        <f t="shared" si="2"/>
        <v>51.023495485273962</v>
      </c>
      <c r="L24" s="50">
        <f>VLOOKUP($A24,'Data shares'!$C:$FB,118)</f>
        <v>0.55000000000000004</v>
      </c>
      <c r="M24" s="50">
        <f>VLOOKUP($A24,'Data shares'!$C:$FB,119)</f>
        <v>0.52</v>
      </c>
      <c r="N24" s="50">
        <f>VLOOKUP($A24,'Data shares'!$C:$FB,121)*100</f>
        <v>5.7700000000000005</v>
      </c>
      <c r="O24" s="50">
        <f>VLOOKUP($A24,'Data shares'!$C:$FB,124)</f>
        <v>0.43</v>
      </c>
      <c r="P24" s="50">
        <f>VLOOKUP($A24,'Data shares'!$C:$FB,125)</f>
        <v>0.41</v>
      </c>
      <c r="Q24" s="50">
        <f>VLOOKUP($A24,'Data shares'!$C:$FB,127)*100</f>
        <v>4.88</v>
      </c>
    </row>
    <row r="25" spans="1:17" x14ac:dyDescent="0.25">
      <c r="A25" s="97" t="str">
        <f>'Data Vlaue (Cr)'!C20</f>
        <v>AUROPHARMA</v>
      </c>
      <c r="B25" s="140">
        <f>VLOOKUP($A25,'Data shares'!$C:$FB,7)</f>
        <v>1484</v>
      </c>
      <c r="C25" s="140">
        <f>VLOOKUP($A25,'Data shares'!$C:$FB,3)</f>
        <v>1491.4</v>
      </c>
      <c r="D25" s="140">
        <f>VLOOKUP($A25,'Data shares'!$C:$FB,4)</f>
        <v>1431.7</v>
      </c>
      <c r="E25" s="50">
        <f t="shared" si="0"/>
        <v>4.1698679891038655</v>
      </c>
      <c r="F25" s="49">
        <f>VLOOKUP($A25,'Data shares'!$C:$FB,98)</f>
        <v>24260500</v>
      </c>
      <c r="G25" s="49">
        <f>VLOOKUP($A25,'Data shares'!$C:$FB,99)</f>
        <v>23778700</v>
      </c>
      <c r="H25" s="50">
        <f t="shared" si="1"/>
        <v>2.0261830966369061</v>
      </c>
      <c r="I25" s="49">
        <f>VLOOKUP($A25,'Data shares'!$C:$FB,66)</f>
        <v>21782750</v>
      </c>
      <c r="J25" s="49">
        <f>VLOOKUP($A25,'Data shares'!$C:$FB,67)</f>
        <v>10254200</v>
      </c>
      <c r="K25" s="50">
        <f t="shared" si="2"/>
        <v>52.92513571518748</v>
      </c>
      <c r="L25" s="50">
        <f>VLOOKUP($A25,'Data shares'!$C:$FB,118)</f>
        <v>0.8</v>
      </c>
      <c r="M25" s="50">
        <f>VLOOKUP($A25,'Data shares'!$C:$FB,119)</f>
        <v>0.6</v>
      </c>
      <c r="N25" s="50">
        <f>VLOOKUP($A25,'Data shares'!$C:$FB,121)*100</f>
        <v>33.33</v>
      </c>
      <c r="O25" s="50">
        <f>VLOOKUP($A25,'Data shares'!$C:$FB,124)</f>
        <v>0.41</v>
      </c>
      <c r="P25" s="50">
        <f>VLOOKUP($A25,'Data shares'!$C:$FB,125)</f>
        <v>0.25</v>
      </c>
      <c r="Q25" s="50">
        <f>VLOOKUP($A25,'Data shares'!$C:$FB,127)*100</f>
        <v>64</v>
      </c>
    </row>
    <row r="26" spans="1:17" x14ac:dyDescent="0.25">
      <c r="A26" s="97" t="str">
        <f>'Data Vlaue (Cr)'!C21</f>
        <v>AXISBANK</v>
      </c>
      <c r="B26" s="140">
        <f>VLOOKUP($A26,'Data shares'!$C:$FB,7)</f>
        <v>1294.2</v>
      </c>
      <c r="C26" s="140">
        <f>VLOOKUP($A26,'Data shares'!$C:$FB,3)</f>
        <v>1304.0999999999999</v>
      </c>
      <c r="D26" s="140">
        <f>VLOOKUP($A26,'Data shares'!$C:$FB,4)</f>
        <v>1265.7</v>
      </c>
      <c r="E26" s="50">
        <f t="shared" si="0"/>
        <v>3.0338942877459005</v>
      </c>
      <c r="F26" s="49">
        <f>VLOOKUP($A26,'Data shares'!$C:$FB,98)</f>
        <v>96023125</v>
      </c>
      <c r="G26" s="49">
        <f>VLOOKUP($A26,'Data shares'!$C:$FB,99)</f>
        <v>95532500</v>
      </c>
      <c r="H26" s="50">
        <f t="shared" si="1"/>
        <v>0.51356868081542928</v>
      </c>
      <c r="I26" s="49">
        <f>VLOOKUP($A26,'Data shares'!$C:$FB,66)</f>
        <v>64322500</v>
      </c>
      <c r="J26" s="49">
        <f>VLOOKUP($A26,'Data shares'!$C:$FB,67)</f>
        <v>34265000</v>
      </c>
      <c r="K26" s="50">
        <f t="shared" si="2"/>
        <v>46.729371526293292</v>
      </c>
      <c r="L26" s="50">
        <f>VLOOKUP($A26,'Data shares'!$C:$FB,118)</f>
        <v>0.73</v>
      </c>
      <c r="M26" s="50">
        <f>VLOOKUP($A26,'Data shares'!$C:$FB,119)</f>
        <v>0.66</v>
      </c>
      <c r="N26" s="50">
        <f>VLOOKUP($A26,'Data shares'!$C:$FB,121)*100</f>
        <v>10.61</v>
      </c>
      <c r="O26" s="50">
        <f>VLOOKUP($A26,'Data shares'!$C:$FB,124)</f>
        <v>0.56000000000000005</v>
      </c>
      <c r="P26" s="50">
        <f>VLOOKUP($A26,'Data shares'!$C:$FB,125)</f>
        <v>0.48</v>
      </c>
      <c r="Q26" s="50">
        <f>VLOOKUP($A26,'Data shares'!$C:$FB,127)*100</f>
        <v>16.669999999999998</v>
      </c>
    </row>
    <row r="27" spans="1:17" x14ac:dyDescent="0.25">
      <c r="A27" s="97" t="str">
        <f>'Data Vlaue (Cr)'!C22</f>
        <v>BAJAJ-AUTO</v>
      </c>
      <c r="B27" s="140">
        <f>VLOOKUP($A27,'Data shares'!$C:$FB,7)</f>
        <v>10319</v>
      </c>
      <c r="C27" s="140">
        <f>VLOOKUP($A27,'Data shares'!$C:$FB,3)</f>
        <v>10361</v>
      </c>
      <c r="D27" s="140">
        <f>VLOOKUP($A27,'Data shares'!$C:$FB,4)</f>
        <v>10090</v>
      </c>
      <c r="E27" s="50">
        <f t="shared" si="0"/>
        <v>2.6858275520317143</v>
      </c>
      <c r="F27" s="49">
        <f>VLOOKUP($A27,'Data shares'!$C:$FB,98)</f>
        <v>5748000</v>
      </c>
      <c r="G27" s="49">
        <f>VLOOKUP($A27,'Data shares'!$C:$FB,99)</f>
        <v>5292900</v>
      </c>
      <c r="H27" s="50">
        <f t="shared" si="1"/>
        <v>8.598310944850649</v>
      </c>
      <c r="I27" s="49">
        <f>VLOOKUP($A27,'Data shares'!$C:$FB,66)</f>
        <v>9535800</v>
      </c>
      <c r="J27" s="49">
        <f>VLOOKUP($A27,'Data shares'!$C:$FB,67)</f>
        <v>2943225</v>
      </c>
      <c r="K27" s="50">
        <f t="shared" si="2"/>
        <v>69.134996539356948</v>
      </c>
      <c r="L27" s="50">
        <f>VLOOKUP($A27,'Data shares'!$C:$FB,118)</f>
        <v>0.77</v>
      </c>
      <c r="M27" s="50">
        <f>VLOOKUP($A27,'Data shares'!$C:$FB,119)</f>
        <v>0.79</v>
      </c>
      <c r="N27" s="50">
        <f>VLOOKUP($A27,'Data shares'!$C:$FB,121)*100</f>
        <v>-2.5299999999999998</v>
      </c>
      <c r="O27" s="50">
        <f>VLOOKUP($A27,'Data shares'!$C:$FB,124)</f>
        <v>0.43</v>
      </c>
      <c r="P27" s="50">
        <f>VLOOKUP($A27,'Data shares'!$C:$FB,125)</f>
        <v>0.69</v>
      </c>
      <c r="Q27" s="50">
        <f>VLOOKUP($A27,'Data shares'!$C:$FB,127)*100</f>
        <v>-37.68</v>
      </c>
    </row>
    <row r="28" spans="1:17" x14ac:dyDescent="0.25">
      <c r="A28" s="97" t="str">
        <f>'Data Vlaue (Cr)'!C23</f>
        <v>BAJAJFINSV</v>
      </c>
      <c r="B28" s="140">
        <f>VLOOKUP($A28,'Data shares'!$C:$FB,7)</f>
        <v>1836.1</v>
      </c>
      <c r="C28" s="140">
        <f>VLOOKUP($A28,'Data shares'!$C:$FB,3)</f>
        <v>1846.9</v>
      </c>
      <c r="D28" s="140">
        <f>VLOOKUP($A28,'Data shares'!$C:$FB,4)</f>
        <v>1800</v>
      </c>
      <c r="E28" s="50">
        <f t="shared" si="0"/>
        <v>2.6055555555555605</v>
      </c>
      <c r="F28" s="49">
        <f>VLOOKUP($A28,'Data shares'!$C:$FB,98)</f>
        <v>17361050</v>
      </c>
      <c r="G28" s="49">
        <f>VLOOKUP($A28,'Data shares'!$C:$FB,99)</f>
        <v>17490550</v>
      </c>
      <c r="H28" s="50">
        <f t="shared" si="1"/>
        <v>-0.74039981590058634</v>
      </c>
      <c r="I28" s="49">
        <f>VLOOKUP($A28,'Data shares'!$C:$FB,66)</f>
        <v>10062000</v>
      </c>
      <c r="J28" s="49">
        <f>VLOOKUP($A28,'Data shares'!$C:$FB,67)</f>
        <v>7153250</v>
      </c>
      <c r="K28" s="50">
        <f t="shared" si="2"/>
        <v>28.908268733850129</v>
      </c>
      <c r="L28" s="50">
        <f>VLOOKUP($A28,'Data shares'!$C:$FB,118)</f>
        <v>0.99</v>
      </c>
      <c r="M28" s="50">
        <f>VLOOKUP($A28,'Data shares'!$C:$FB,119)</f>
        <v>0.97</v>
      </c>
      <c r="N28" s="50">
        <f>VLOOKUP($A28,'Data shares'!$C:$FB,121)*100</f>
        <v>2.06</v>
      </c>
      <c r="O28" s="50">
        <f>VLOOKUP($A28,'Data shares'!$C:$FB,124)</f>
        <v>0.5</v>
      </c>
      <c r="P28" s="50">
        <f>VLOOKUP($A28,'Data shares'!$C:$FB,125)</f>
        <v>0.68</v>
      </c>
      <c r="Q28" s="50">
        <f>VLOOKUP($A28,'Data shares'!$C:$FB,127)*100</f>
        <v>-26.47</v>
      </c>
    </row>
    <row r="29" spans="1:17" x14ac:dyDescent="0.25">
      <c r="A29" s="97" t="str">
        <f>'Data Vlaue (Cr)'!C24</f>
        <v>BAJAJHLDNG</v>
      </c>
      <c r="B29" s="140">
        <f>VLOOKUP($A29,'Data shares'!$C:$FB,7)</f>
        <v>10612</v>
      </c>
      <c r="C29" s="140">
        <f>VLOOKUP($A29,'Data shares'!$C:$FB,3)</f>
        <v>10685</v>
      </c>
      <c r="D29" s="140">
        <f>VLOOKUP($A29,'Data shares'!$C:$FB,4)</f>
        <v>10531</v>
      </c>
      <c r="E29" s="50">
        <f t="shared" si="0"/>
        <v>1.4623492545817112</v>
      </c>
      <c r="F29" s="49">
        <f>VLOOKUP($A29,'Data shares'!$C:$FB,98)</f>
        <v>370050</v>
      </c>
      <c r="G29" s="49">
        <f>VLOOKUP($A29,'Data shares'!$C:$FB,99)</f>
        <v>347550</v>
      </c>
      <c r="H29" s="50">
        <f t="shared" si="1"/>
        <v>6.473888649115235</v>
      </c>
      <c r="I29" s="49">
        <f>VLOOKUP($A29,'Data shares'!$C:$FB,66)</f>
        <v>251300</v>
      </c>
      <c r="J29" s="49">
        <f>VLOOKUP($A29,'Data shares'!$C:$FB,67)</f>
        <v>119150</v>
      </c>
      <c r="K29" s="50">
        <f t="shared" si="2"/>
        <v>52.586549940310391</v>
      </c>
      <c r="L29" s="50">
        <f>VLOOKUP($A29,'Data shares'!$C:$FB,118)</f>
        <v>0.44</v>
      </c>
      <c r="M29" s="50">
        <f>VLOOKUP($A29,'Data shares'!$C:$FB,119)</f>
        <v>0.4</v>
      </c>
      <c r="N29" s="50">
        <f>VLOOKUP($A29,'Data shares'!$C:$FB,121)*100</f>
        <v>10</v>
      </c>
      <c r="O29" s="50">
        <f>VLOOKUP($A29,'Data shares'!$C:$FB,124)</f>
        <v>0.11</v>
      </c>
      <c r="P29" s="50">
        <f>VLOOKUP($A29,'Data shares'!$C:$FB,125)</f>
        <v>0.27</v>
      </c>
      <c r="Q29" s="50">
        <f>VLOOKUP($A29,'Data shares'!$C:$FB,127)*100</f>
        <v>-59.260000000000005</v>
      </c>
    </row>
    <row r="30" spans="1:17" x14ac:dyDescent="0.25">
      <c r="A30" s="97" t="str">
        <f>'Data Vlaue (Cr)'!C25</f>
        <v>BAJFINANCE</v>
      </c>
      <c r="B30" s="176">
        <f>VLOOKUP($A30,'Data shares'!$C:$FB,7)</f>
        <v>980.75</v>
      </c>
      <c r="C30" s="176">
        <f>VLOOKUP($A30,'Data shares'!$C:$FB,3)</f>
        <v>985.45</v>
      </c>
      <c r="D30" s="176">
        <f>VLOOKUP($A30,'Data shares'!$C:$FB,4)</f>
        <v>960.6</v>
      </c>
      <c r="E30" s="50">
        <f t="shared" si="0"/>
        <v>2.5869248386425174</v>
      </c>
      <c r="F30" s="49">
        <f>VLOOKUP($A30,'Data shares'!$C:$FB,98)</f>
        <v>99669000</v>
      </c>
      <c r="G30" s="49">
        <f>VLOOKUP($A30,'Data shares'!$C:$FB,99)</f>
        <v>100261500</v>
      </c>
      <c r="H30" s="50">
        <f t="shared" si="1"/>
        <v>-0.59095465358088595</v>
      </c>
      <c r="I30" s="49">
        <f>VLOOKUP($A30,'Data shares'!$C:$FB,66)</f>
        <v>68886750</v>
      </c>
      <c r="J30" s="49">
        <f>VLOOKUP($A30,'Data shares'!$C:$FB,67)</f>
        <v>42948000</v>
      </c>
      <c r="K30" s="50">
        <f t="shared" si="2"/>
        <v>37.654193295517643</v>
      </c>
      <c r="L30" s="50">
        <f>VLOOKUP($A30,'Data shares'!$C:$FB,118)</f>
        <v>0.86</v>
      </c>
      <c r="M30" s="50">
        <f>VLOOKUP($A30,'Data shares'!$C:$FB,119)</f>
        <v>0.78</v>
      </c>
      <c r="N30" s="50">
        <f>VLOOKUP($A30,'Data shares'!$C:$FB,121)*100</f>
        <v>10.26</v>
      </c>
      <c r="O30" s="50">
        <f>VLOOKUP($A30,'Data shares'!$C:$FB,124)</f>
        <v>0.51</v>
      </c>
      <c r="P30" s="50">
        <f>VLOOKUP($A30,'Data shares'!$C:$FB,125)</f>
        <v>0.74</v>
      </c>
      <c r="Q30" s="50">
        <f>VLOOKUP($A30,'Data shares'!$C:$FB,127)*100</f>
        <v>-31.080000000000002</v>
      </c>
    </row>
    <row r="31" spans="1:17" x14ac:dyDescent="0.25">
      <c r="A31" s="97" t="str">
        <f>'Data Vlaue (Cr)'!C26</f>
        <v>BANDHANBNK</v>
      </c>
      <c r="B31" s="140">
        <f>VLOOKUP($A31,'Data shares'!$C:$FB,7)</f>
        <v>208.88</v>
      </c>
      <c r="C31" s="140">
        <f>VLOOKUP($A31,'Data shares'!$C:$FB,3)</f>
        <v>210.34</v>
      </c>
      <c r="D31" s="140">
        <f>VLOOKUP($A31,'Data shares'!$C:$FB,4)</f>
        <v>207.7</v>
      </c>
      <c r="E31" s="50">
        <f t="shared" si="0"/>
        <v>1.2710640346653899</v>
      </c>
      <c r="F31" s="49">
        <f>VLOOKUP($A31,'Data shares'!$C:$FB,98)</f>
        <v>174394800</v>
      </c>
      <c r="G31" s="49">
        <f>VLOOKUP($A31,'Data shares'!$C:$FB,99)</f>
        <v>176202000</v>
      </c>
      <c r="H31" s="50">
        <f t="shared" si="1"/>
        <v>-1.0256410256410255</v>
      </c>
      <c r="I31" s="49">
        <f>VLOOKUP($A31,'Data shares'!$C:$FB,66)</f>
        <v>83340000</v>
      </c>
      <c r="J31" s="49">
        <f>VLOOKUP($A31,'Data shares'!$C:$FB,67)</f>
        <v>87631200</v>
      </c>
      <c r="K31" s="50">
        <f t="shared" si="2"/>
        <v>-5.1490280777537798</v>
      </c>
      <c r="L31" s="50">
        <f>VLOOKUP($A31,'Data shares'!$C:$FB,118)</f>
        <v>0.76</v>
      </c>
      <c r="M31" s="50">
        <f>VLOOKUP($A31,'Data shares'!$C:$FB,119)</f>
        <v>0.76</v>
      </c>
      <c r="N31" s="50">
        <f>VLOOKUP($A31,'Data shares'!$C:$FB,121)*100</f>
        <v>0</v>
      </c>
      <c r="O31" s="50">
        <f>VLOOKUP($A31,'Data shares'!$C:$FB,124)</f>
        <v>0.63</v>
      </c>
      <c r="P31" s="50">
        <f>VLOOKUP($A31,'Data shares'!$C:$FB,125)</f>
        <v>0.81</v>
      </c>
      <c r="Q31" s="50">
        <f>VLOOKUP($A31,'Data shares'!$C:$FB,127)*100</f>
        <v>-22.220000000000002</v>
      </c>
    </row>
    <row r="32" spans="1:17" x14ac:dyDescent="0.25">
      <c r="A32" s="97" t="str">
        <f>'Data Vlaue (Cr)'!C27</f>
        <v>BANKBARODA</v>
      </c>
      <c r="B32" s="140">
        <f>VLOOKUP($A32,'Data shares'!$C:$FB,7)</f>
        <v>270.3</v>
      </c>
      <c r="C32" s="140">
        <f>VLOOKUP($A32,'Data shares'!$C:$FB,3)</f>
        <v>272.39999999999998</v>
      </c>
      <c r="D32" s="140">
        <f>VLOOKUP($A32,'Data shares'!$C:$FB,4)</f>
        <v>264.75</v>
      </c>
      <c r="E32" s="50">
        <f t="shared" si="0"/>
        <v>2.8895184135977252</v>
      </c>
      <c r="F32" s="49">
        <f>VLOOKUP($A32,'Data shares'!$C:$FB,98)</f>
        <v>176330700</v>
      </c>
      <c r="G32" s="49">
        <f>VLOOKUP($A32,'Data shares'!$C:$FB,99)</f>
        <v>174836025</v>
      </c>
      <c r="H32" s="50">
        <f t="shared" si="1"/>
        <v>0.85490104227661323</v>
      </c>
      <c r="I32" s="49">
        <f>VLOOKUP($A32,'Data shares'!$C:$FB,66)</f>
        <v>89756550</v>
      </c>
      <c r="J32" s="49">
        <f>VLOOKUP($A32,'Data shares'!$C:$FB,67)</f>
        <v>33976800</v>
      </c>
      <c r="K32" s="50">
        <f t="shared" si="2"/>
        <v>62.14560385843707</v>
      </c>
      <c r="L32" s="50">
        <f>VLOOKUP($A32,'Data shares'!$C:$FB,118)</f>
        <v>0.79</v>
      </c>
      <c r="M32" s="50">
        <f>VLOOKUP($A32,'Data shares'!$C:$FB,119)</f>
        <v>0.78</v>
      </c>
      <c r="N32" s="50">
        <f>VLOOKUP($A32,'Data shares'!$C:$FB,121)*100</f>
        <v>1.28</v>
      </c>
      <c r="O32" s="50">
        <f>VLOOKUP($A32,'Data shares'!$C:$FB,124)</f>
        <v>0.35</v>
      </c>
      <c r="P32" s="50">
        <f>VLOOKUP($A32,'Data shares'!$C:$FB,125)</f>
        <v>0.38</v>
      </c>
      <c r="Q32" s="50">
        <f>VLOOKUP($A32,'Data shares'!$C:$FB,127)*100</f>
        <v>-7.89</v>
      </c>
    </row>
    <row r="33" spans="1:17" x14ac:dyDescent="0.25">
      <c r="A33" s="97" t="str">
        <f>'Data Vlaue (Cr)'!C28</f>
        <v>BANKINDIA</v>
      </c>
      <c r="B33" s="140">
        <f>VLOOKUP($A33,'Data shares'!$C:$FB,7)</f>
        <v>142.34</v>
      </c>
      <c r="C33" s="140">
        <f>VLOOKUP($A33,'Data shares'!$C:$FB,3)</f>
        <v>143.44</v>
      </c>
      <c r="D33" s="140">
        <f>VLOOKUP($A33,'Data shares'!$C:$FB,4)</f>
        <v>139.34</v>
      </c>
      <c r="E33" s="50">
        <f t="shared" si="0"/>
        <v>2.9424429453136174</v>
      </c>
      <c r="F33" s="49">
        <f>VLOOKUP($A33,'Data shares'!$C:$FB,98)</f>
        <v>96049200</v>
      </c>
      <c r="G33" s="49">
        <f>VLOOKUP($A33,'Data shares'!$C:$FB,99)</f>
        <v>90537200</v>
      </c>
      <c r="H33" s="50">
        <f t="shared" si="1"/>
        <v>6.0881052208374014</v>
      </c>
      <c r="I33" s="49">
        <f>VLOOKUP($A33,'Data shares'!$C:$FB,66)</f>
        <v>60756800</v>
      </c>
      <c r="J33" s="49">
        <f>VLOOKUP($A33,'Data shares'!$C:$FB,67)</f>
        <v>30019600</v>
      </c>
      <c r="K33" s="50">
        <f t="shared" si="2"/>
        <v>50.590551181102363</v>
      </c>
      <c r="L33" s="50">
        <f>VLOOKUP($A33,'Data shares'!$C:$FB,118)</f>
        <v>0.71</v>
      </c>
      <c r="M33" s="50">
        <f>VLOOKUP($A33,'Data shares'!$C:$FB,119)</f>
        <v>0.78</v>
      </c>
      <c r="N33" s="50">
        <f>VLOOKUP($A33,'Data shares'!$C:$FB,121)*100</f>
        <v>-8.9700000000000006</v>
      </c>
      <c r="O33" s="50">
        <f>VLOOKUP($A33,'Data shares'!$C:$FB,124)</f>
        <v>0.47</v>
      </c>
      <c r="P33" s="50">
        <f>VLOOKUP($A33,'Data shares'!$C:$FB,125)</f>
        <v>0.4</v>
      </c>
      <c r="Q33" s="50">
        <f>VLOOKUP($A33,'Data shares'!$C:$FB,127)*100</f>
        <v>17.5</v>
      </c>
    </row>
    <row r="34" spans="1:17" x14ac:dyDescent="0.25">
      <c r="A34" s="97" t="str">
        <f>'Data Vlaue (Cr)'!C29</f>
        <v>BANKNIFTY</v>
      </c>
      <c r="B34" s="140">
        <f>VLOOKUP($A34,'Data shares'!$C:$FB,7)</f>
        <v>55981.05</v>
      </c>
      <c r="C34" s="140">
        <f>VLOOKUP($A34,'Data shares'!$C:$FB,3)</f>
        <v>56348.6</v>
      </c>
      <c r="D34" s="140">
        <f>VLOOKUP($A34,'Data shares'!$C:$FB,4)</f>
        <v>54808</v>
      </c>
      <c r="E34" s="50">
        <f t="shared" si="0"/>
        <v>2.8109035177346349</v>
      </c>
      <c r="F34" s="49">
        <f>VLOOKUP($A34,'Data shares'!$C:$FB,98)</f>
        <v>29357460</v>
      </c>
      <c r="G34" s="49">
        <f>VLOOKUP($A34,'Data shares'!$C:$FB,99)</f>
        <v>29146020</v>
      </c>
      <c r="H34" s="50">
        <f t="shared" si="1"/>
        <v>0.72545067902924654</v>
      </c>
      <c r="I34" s="49">
        <f>VLOOKUP($A34,'Data shares'!$C:$FB,66)</f>
        <v>88906590</v>
      </c>
      <c r="J34" s="49">
        <f>VLOOKUP($A34,'Data shares'!$C:$FB,67)</f>
        <v>53183400</v>
      </c>
      <c r="K34" s="50">
        <f t="shared" si="2"/>
        <v>40.180587288298874</v>
      </c>
      <c r="L34" s="50">
        <f>VLOOKUP($A34,'Data shares'!$C:$FB,118)</f>
        <v>0.95</v>
      </c>
      <c r="M34" s="50">
        <f>VLOOKUP($A34,'Data shares'!$C:$FB,119)</f>
        <v>0.85</v>
      </c>
      <c r="N34" s="50">
        <f>VLOOKUP($A34,'Data shares'!$C:$FB,121)*100</f>
        <v>11.76</v>
      </c>
      <c r="O34" s="50">
        <f>VLOOKUP($A34,'Data shares'!$C:$FB,124)</f>
        <v>0.85</v>
      </c>
      <c r="P34" s="50">
        <f>VLOOKUP($A34,'Data shares'!$C:$FB,125)</f>
        <v>0.84</v>
      </c>
      <c r="Q34" s="50">
        <f>VLOOKUP($A34,'Data shares'!$C:$FB,127)*100</f>
        <v>1.1900000000000002</v>
      </c>
    </row>
    <row r="35" spans="1:17" x14ac:dyDescent="0.25">
      <c r="A35" s="97" t="str">
        <f>'Data Vlaue (Cr)'!C30</f>
        <v>BDL</v>
      </c>
      <c r="B35" s="140">
        <f>VLOOKUP($A35,'Data shares'!$C:$FB,7)</f>
        <v>1401.5</v>
      </c>
      <c r="C35" s="140">
        <f>VLOOKUP($A35,'Data shares'!$C:$FB,3)</f>
        <v>1402.2</v>
      </c>
      <c r="D35" s="140">
        <f>VLOOKUP($A35,'Data shares'!$C:$FB,4)</f>
        <v>1399.4</v>
      </c>
      <c r="E35" s="50">
        <f t="shared" si="0"/>
        <v>0.20008575103615509</v>
      </c>
      <c r="F35" s="49">
        <f>VLOOKUP($A35,'Data shares'!$C:$FB,98)</f>
        <v>7265650</v>
      </c>
      <c r="G35" s="49">
        <f>VLOOKUP($A35,'Data shares'!$C:$FB,99)</f>
        <v>6725100</v>
      </c>
      <c r="H35" s="50">
        <f t="shared" si="1"/>
        <v>8.0377986944432056</v>
      </c>
      <c r="I35" s="49">
        <f>VLOOKUP($A35,'Data shares'!$C:$FB,66)</f>
        <v>4702950</v>
      </c>
      <c r="J35" s="49">
        <f>VLOOKUP($A35,'Data shares'!$C:$FB,67)</f>
        <v>4366250</v>
      </c>
      <c r="K35" s="50">
        <f t="shared" si="2"/>
        <v>7.1593361613455375</v>
      </c>
      <c r="L35" s="50">
        <f>VLOOKUP($A35,'Data shares'!$C:$FB,118)</f>
        <v>0.53</v>
      </c>
      <c r="M35" s="50">
        <f>VLOOKUP($A35,'Data shares'!$C:$FB,119)</f>
        <v>0.59</v>
      </c>
      <c r="N35" s="50">
        <f>VLOOKUP($A35,'Data shares'!$C:$FB,121)*100</f>
        <v>-10.17</v>
      </c>
      <c r="O35" s="50">
        <f>VLOOKUP($A35,'Data shares'!$C:$FB,124)</f>
        <v>0.25</v>
      </c>
      <c r="P35" s="50">
        <f>VLOOKUP($A35,'Data shares'!$C:$FB,125)</f>
        <v>0.3</v>
      </c>
      <c r="Q35" s="50">
        <f>VLOOKUP($A35,'Data shares'!$C:$FB,127)*100</f>
        <v>-16.669999999999998</v>
      </c>
    </row>
    <row r="36" spans="1:17" x14ac:dyDescent="0.25">
      <c r="A36" s="97" t="str">
        <f>'Data Vlaue (Cr)'!C31</f>
        <v>BEL</v>
      </c>
      <c r="B36" s="140">
        <f>VLOOKUP($A36,'Data shares'!$C:$FB,7)</f>
        <v>438.2</v>
      </c>
      <c r="C36" s="140">
        <f>VLOOKUP($A36,'Data shares'!$C:$FB,3)</f>
        <v>439.95</v>
      </c>
      <c r="D36" s="140">
        <f>VLOOKUP($A36,'Data shares'!$C:$FB,4)</f>
        <v>436.6</v>
      </c>
      <c r="E36" s="50">
        <f t="shared" si="0"/>
        <v>0.76729271644525088</v>
      </c>
      <c r="F36" s="49">
        <f>VLOOKUP($A36,'Data shares'!$C:$FB,98)</f>
        <v>186898725</v>
      </c>
      <c r="G36" s="49">
        <f>VLOOKUP($A36,'Data shares'!$C:$FB,99)</f>
        <v>183216525</v>
      </c>
      <c r="H36" s="50">
        <f t="shared" si="1"/>
        <v>2.0097532141273828</v>
      </c>
      <c r="I36" s="49">
        <f>VLOOKUP($A36,'Data shares'!$C:$FB,66)</f>
        <v>68940075</v>
      </c>
      <c r="J36" s="49">
        <f>VLOOKUP($A36,'Data shares'!$C:$FB,67)</f>
        <v>55347000</v>
      </c>
      <c r="K36" s="50">
        <f t="shared" si="2"/>
        <v>19.71723268360239</v>
      </c>
      <c r="L36" s="50">
        <f>VLOOKUP($A36,'Data shares'!$C:$FB,118)</f>
        <v>0.57999999999999996</v>
      </c>
      <c r="M36" s="50">
        <f>VLOOKUP($A36,'Data shares'!$C:$FB,119)</f>
        <v>0.63</v>
      </c>
      <c r="N36" s="50">
        <f>VLOOKUP($A36,'Data shares'!$C:$FB,121)*100</f>
        <v>-7.9399999999999995</v>
      </c>
      <c r="O36" s="50">
        <f>VLOOKUP($A36,'Data shares'!$C:$FB,124)</f>
        <v>0.43</v>
      </c>
      <c r="P36" s="50">
        <f>VLOOKUP($A36,'Data shares'!$C:$FB,125)</f>
        <v>0.34</v>
      </c>
      <c r="Q36" s="50">
        <f>VLOOKUP($A36,'Data shares'!$C:$FB,127)*100</f>
        <v>26.47</v>
      </c>
    </row>
    <row r="37" spans="1:17" x14ac:dyDescent="0.25">
      <c r="A37" s="97" t="str">
        <f>'Data Vlaue (Cr)'!C32</f>
        <v>BHARATFORG</v>
      </c>
      <c r="B37" s="140">
        <f>VLOOKUP($A37,'Data shares'!$C:$FB,7)</f>
        <v>1873.8</v>
      </c>
      <c r="C37" s="140">
        <f>VLOOKUP($A37,'Data shares'!$C:$FB,3)</f>
        <v>1883.8</v>
      </c>
      <c r="D37" s="140">
        <f>VLOOKUP($A37,'Data shares'!$C:$FB,4)</f>
        <v>1876.3</v>
      </c>
      <c r="E37" s="50">
        <f t="shared" si="0"/>
        <v>0.39972285881788627</v>
      </c>
      <c r="F37" s="49">
        <f>VLOOKUP($A37,'Data shares'!$C:$FB,98)</f>
        <v>12563000</v>
      </c>
      <c r="G37" s="49">
        <f>VLOOKUP($A37,'Data shares'!$C:$FB,99)</f>
        <v>11694500</v>
      </c>
      <c r="H37" s="50">
        <f t="shared" si="1"/>
        <v>7.4265680448073885</v>
      </c>
      <c r="I37" s="49">
        <f>VLOOKUP($A37,'Data shares'!$C:$FB,66)</f>
        <v>14445000</v>
      </c>
      <c r="J37" s="49">
        <f>VLOOKUP($A37,'Data shares'!$C:$FB,67)</f>
        <v>9576500</v>
      </c>
      <c r="K37" s="50">
        <f t="shared" si="2"/>
        <v>33.703703703703702</v>
      </c>
      <c r="L37" s="50">
        <f>VLOOKUP($A37,'Data shares'!$C:$FB,118)</f>
        <v>0.55000000000000004</v>
      </c>
      <c r="M37" s="50">
        <f>VLOOKUP($A37,'Data shares'!$C:$FB,119)</f>
        <v>0.6</v>
      </c>
      <c r="N37" s="50">
        <f>VLOOKUP($A37,'Data shares'!$C:$FB,121)*100</f>
        <v>-8.33</v>
      </c>
      <c r="O37" s="50">
        <f>VLOOKUP($A37,'Data shares'!$C:$FB,124)</f>
        <v>0.61</v>
      </c>
      <c r="P37" s="50">
        <f>VLOOKUP($A37,'Data shares'!$C:$FB,125)</f>
        <v>0.61</v>
      </c>
      <c r="Q37" s="50">
        <f>VLOOKUP($A37,'Data shares'!$C:$FB,127)*100</f>
        <v>0</v>
      </c>
    </row>
    <row r="38" spans="1:17" x14ac:dyDescent="0.25">
      <c r="A38" s="97" t="str">
        <f>'Data Vlaue (Cr)'!C33</f>
        <v>BHARTIARTL</v>
      </c>
      <c r="B38" s="140">
        <f>VLOOKUP($A38,'Data shares'!$C:$FB,7)</f>
        <v>1833.7</v>
      </c>
      <c r="C38" s="140">
        <f>VLOOKUP($A38,'Data shares'!$C:$FB,3)</f>
        <v>1844</v>
      </c>
      <c r="D38" s="140">
        <f>VLOOKUP($A38,'Data shares'!$C:$FB,4)</f>
        <v>1816.4</v>
      </c>
      <c r="E38" s="50">
        <f t="shared" si="0"/>
        <v>1.519489099317326</v>
      </c>
      <c r="F38" s="49">
        <f>VLOOKUP($A38,'Data shares'!$C:$FB,98)</f>
        <v>81774100</v>
      </c>
      <c r="G38" s="49">
        <f>VLOOKUP($A38,'Data shares'!$C:$FB,99)</f>
        <v>81518075</v>
      </c>
      <c r="H38" s="50">
        <f t="shared" si="1"/>
        <v>0.31407144979809692</v>
      </c>
      <c r="I38" s="49">
        <f>VLOOKUP($A38,'Data shares'!$C:$FB,66)</f>
        <v>31787950</v>
      </c>
      <c r="J38" s="49">
        <f>VLOOKUP($A38,'Data shares'!$C:$FB,67)</f>
        <v>41216700</v>
      </c>
      <c r="K38" s="50">
        <f t="shared" si="2"/>
        <v>-29.661396850064254</v>
      </c>
      <c r="L38" s="50">
        <f>VLOOKUP($A38,'Data shares'!$C:$FB,118)</f>
        <v>0.56999999999999995</v>
      </c>
      <c r="M38" s="50">
        <f>VLOOKUP($A38,'Data shares'!$C:$FB,119)</f>
        <v>0.56000000000000005</v>
      </c>
      <c r="N38" s="50">
        <f>VLOOKUP($A38,'Data shares'!$C:$FB,121)*100</f>
        <v>1.79</v>
      </c>
      <c r="O38" s="50">
        <f>VLOOKUP($A38,'Data shares'!$C:$FB,124)</f>
        <v>0.53</v>
      </c>
      <c r="P38" s="50">
        <f>VLOOKUP($A38,'Data shares'!$C:$FB,125)</f>
        <v>0.43</v>
      </c>
      <c r="Q38" s="50">
        <f>VLOOKUP($A38,'Data shares'!$C:$FB,127)*100</f>
        <v>23.26</v>
      </c>
    </row>
    <row r="39" spans="1:17" x14ac:dyDescent="0.25">
      <c r="A39" s="97" t="str">
        <f>'Data Vlaue (Cr)'!C34</f>
        <v>BHEL</v>
      </c>
      <c r="B39" s="140">
        <f>VLOOKUP($A39,'Data shares'!$C:$FB,7)</f>
        <v>385.95</v>
      </c>
      <c r="C39" s="140">
        <f>VLOOKUP($A39,'Data shares'!$C:$FB,3)</f>
        <v>387.65</v>
      </c>
      <c r="D39" s="140">
        <f>VLOOKUP($A39,'Data shares'!$C:$FB,4)</f>
        <v>376.4</v>
      </c>
      <c r="E39" s="50">
        <f t="shared" si="0"/>
        <v>2.9888416578108394</v>
      </c>
      <c r="F39" s="49">
        <f>VLOOKUP($A39,'Data shares'!$C:$FB,98)</f>
        <v>233331000</v>
      </c>
      <c r="G39" s="49">
        <f>VLOOKUP($A39,'Data shares'!$C:$FB,99)</f>
        <v>230758500</v>
      </c>
      <c r="H39" s="50">
        <f t="shared" si="1"/>
        <v>1.1148018382854803</v>
      </c>
      <c r="I39" s="49">
        <f>VLOOKUP($A39,'Data shares'!$C:$FB,66)</f>
        <v>196683375</v>
      </c>
      <c r="J39" s="49">
        <f>VLOOKUP($A39,'Data shares'!$C:$FB,67)</f>
        <v>238959000</v>
      </c>
      <c r="K39" s="50">
        <f t="shared" si="2"/>
        <v>-21.494254407623419</v>
      </c>
      <c r="L39" s="50">
        <f>VLOOKUP($A39,'Data shares'!$C:$FB,118)</f>
        <v>0.9</v>
      </c>
      <c r="M39" s="50">
        <f>VLOOKUP($A39,'Data shares'!$C:$FB,119)</f>
        <v>0.75</v>
      </c>
      <c r="N39" s="50">
        <f>VLOOKUP($A39,'Data shares'!$C:$FB,121)*100</f>
        <v>20</v>
      </c>
      <c r="O39" s="50">
        <f>VLOOKUP($A39,'Data shares'!$C:$FB,124)</f>
        <v>0.63</v>
      </c>
      <c r="P39" s="50">
        <f>VLOOKUP($A39,'Data shares'!$C:$FB,125)</f>
        <v>0.56999999999999995</v>
      </c>
      <c r="Q39" s="50">
        <f>VLOOKUP($A39,'Data shares'!$C:$FB,127)*100</f>
        <v>10.530000000000001</v>
      </c>
    </row>
    <row r="40" spans="1:17" x14ac:dyDescent="0.25">
      <c r="A40" s="97" t="str">
        <f>'Data Vlaue (Cr)'!C35</f>
        <v>BIOCON</v>
      </c>
      <c r="B40" s="140">
        <f>VLOOKUP($A40,'Data shares'!$C:$FB,7)</f>
        <v>380.6</v>
      </c>
      <c r="C40" s="140">
        <f>VLOOKUP($A40,'Data shares'!$C:$FB,3)</f>
        <v>382.15</v>
      </c>
      <c r="D40" s="140">
        <f>VLOOKUP($A40,'Data shares'!$C:$FB,4)</f>
        <v>370.55</v>
      </c>
      <c r="E40" s="50">
        <f t="shared" si="0"/>
        <v>3.1304817163675525</v>
      </c>
      <c r="F40" s="49">
        <f>VLOOKUP($A40,'Data shares'!$C:$FB,98)</f>
        <v>58927500</v>
      </c>
      <c r="G40" s="49">
        <f>VLOOKUP($A40,'Data shares'!$C:$FB,99)</f>
        <v>65217500</v>
      </c>
      <c r="H40" s="50">
        <f t="shared" si="1"/>
        <v>-9.6446505922490129</v>
      </c>
      <c r="I40" s="49">
        <f>VLOOKUP($A40,'Data shares'!$C:$FB,66)</f>
        <v>92277500</v>
      </c>
      <c r="J40" s="49">
        <f>VLOOKUP($A40,'Data shares'!$C:$FB,67)</f>
        <v>42407500</v>
      </c>
      <c r="K40" s="50">
        <f t="shared" si="2"/>
        <v>54.043510064750343</v>
      </c>
      <c r="L40" s="50">
        <f>VLOOKUP($A40,'Data shares'!$C:$FB,118)</f>
        <v>0.67</v>
      </c>
      <c r="M40" s="50">
        <f>VLOOKUP($A40,'Data shares'!$C:$FB,119)</f>
        <v>0.5</v>
      </c>
      <c r="N40" s="50">
        <f>VLOOKUP($A40,'Data shares'!$C:$FB,121)*100</f>
        <v>34</v>
      </c>
      <c r="O40" s="50">
        <f>VLOOKUP($A40,'Data shares'!$C:$FB,124)</f>
        <v>0.39</v>
      </c>
      <c r="P40" s="50">
        <f>VLOOKUP($A40,'Data shares'!$C:$FB,125)</f>
        <v>0.37</v>
      </c>
      <c r="Q40" s="50">
        <f>VLOOKUP($A40,'Data shares'!$C:$FB,127)*100</f>
        <v>5.41</v>
      </c>
    </row>
    <row r="41" spans="1:17" x14ac:dyDescent="0.25">
      <c r="A41" s="97" t="str">
        <f>'Data Vlaue (Cr)'!C36</f>
        <v>BLUESTARCO</v>
      </c>
      <c r="B41" s="140">
        <f>VLOOKUP($A41,'Data shares'!$C:$FB,7)</f>
        <v>1806.6</v>
      </c>
      <c r="C41" s="140">
        <f>VLOOKUP($A41,'Data shares'!$C:$FB,3)</f>
        <v>1812.3</v>
      </c>
      <c r="D41" s="140">
        <f>VLOOKUP($A41,'Data shares'!$C:$FB,4)</f>
        <v>1805.4</v>
      </c>
      <c r="E41" s="50">
        <f t="shared" si="0"/>
        <v>0.38218677301428289</v>
      </c>
      <c r="F41" s="49">
        <f>VLOOKUP($A41,'Data shares'!$C:$FB,98)</f>
        <v>5529225</v>
      </c>
      <c r="G41" s="49">
        <f>VLOOKUP($A41,'Data shares'!$C:$FB,99)</f>
        <v>4617600</v>
      </c>
      <c r="H41" s="50">
        <f t="shared" si="1"/>
        <v>19.742398648648649</v>
      </c>
      <c r="I41" s="49">
        <f>VLOOKUP($A41,'Data shares'!$C:$FB,66)</f>
        <v>5066750</v>
      </c>
      <c r="J41" s="49">
        <f>VLOOKUP($A41,'Data shares'!$C:$FB,67)</f>
        <v>1982175</v>
      </c>
      <c r="K41" s="50">
        <f t="shared" si="2"/>
        <v>60.87876844130853</v>
      </c>
      <c r="L41" s="50">
        <f>VLOOKUP($A41,'Data shares'!$C:$FB,118)</f>
        <v>0.61</v>
      </c>
      <c r="M41" s="50">
        <f>VLOOKUP($A41,'Data shares'!$C:$FB,119)</f>
        <v>0.64</v>
      </c>
      <c r="N41" s="50">
        <f>VLOOKUP($A41,'Data shares'!$C:$FB,121)*100</f>
        <v>-4.6899999999999995</v>
      </c>
      <c r="O41" s="50">
        <f>VLOOKUP($A41,'Data shares'!$C:$FB,124)</f>
        <v>0.34</v>
      </c>
      <c r="P41" s="50">
        <f>VLOOKUP($A41,'Data shares'!$C:$FB,125)</f>
        <v>0.4</v>
      </c>
      <c r="Q41" s="50">
        <f>VLOOKUP($A41,'Data shares'!$C:$FB,127)*100</f>
        <v>-15</v>
      </c>
    </row>
    <row r="42" spans="1:17" x14ac:dyDescent="0.25">
      <c r="A42" s="97" t="str">
        <f>'Data Vlaue (Cr)'!C37</f>
        <v>BOSCHLTD</v>
      </c>
      <c r="B42" s="140">
        <f>VLOOKUP($A42,'Data shares'!$C:$FB,7)</f>
        <v>36645</v>
      </c>
      <c r="C42" s="140">
        <f>VLOOKUP($A42,'Data shares'!$C:$FB,3)</f>
        <v>36925</v>
      </c>
      <c r="D42" s="140">
        <f>VLOOKUP($A42,'Data shares'!$C:$FB,4)</f>
        <v>36080</v>
      </c>
      <c r="E42" s="50">
        <f t="shared" si="0"/>
        <v>2.3420177383592016</v>
      </c>
      <c r="F42" s="49">
        <f>VLOOKUP($A42,'Data shares'!$C:$FB,98)</f>
        <v>347450</v>
      </c>
      <c r="G42" s="49">
        <f>VLOOKUP($A42,'Data shares'!$C:$FB,99)</f>
        <v>337325</v>
      </c>
      <c r="H42" s="50">
        <f t="shared" si="1"/>
        <v>3.0015563625583637</v>
      </c>
      <c r="I42" s="49">
        <f>VLOOKUP($A42,'Data shares'!$C:$FB,66)</f>
        <v>91375</v>
      </c>
      <c r="J42" s="49">
        <f>VLOOKUP($A42,'Data shares'!$C:$FB,67)</f>
        <v>64025</v>
      </c>
      <c r="K42" s="50">
        <f t="shared" si="2"/>
        <v>29.931600547195625</v>
      </c>
      <c r="L42" s="50">
        <f>VLOOKUP($A42,'Data shares'!$C:$FB,118)</f>
        <v>0.72</v>
      </c>
      <c r="M42" s="50">
        <f>VLOOKUP($A42,'Data shares'!$C:$FB,119)</f>
        <v>0.79</v>
      </c>
      <c r="N42" s="50">
        <f>VLOOKUP($A42,'Data shares'!$C:$FB,121)*100</f>
        <v>-8.86</v>
      </c>
      <c r="O42" s="50">
        <f>VLOOKUP($A42,'Data shares'!$C:$FB,124)</f>
        <v>0.36</v>
      </c>
      <c r="P42" s="50">
        <f>VLOOKUP($A42,'Data shares'!$C:$FB,125)</f>
        <v>0.55000000000000004</v>
      </c>
      <c r="Q42" s="50">
        <f>VLOOKUP($A42,'Data shares'!$C:$FB,127)*100</f>
        <v>-34.549999999999997</v>
      </c>
    </row>
    <row r="43" spans="1:17" x14ac:dyDescent="0.25">
      <c r="A43" s="97" t="str">
        <f>'Data Vlaue (Cr)'!C38</f>
        <v>BPCL</v>
      </c>
      <c r="B43" s="140">
        <f>VLOOKUP($A43,'Data shares'!$C:$FB,7)</f>
        <v>314.05</v>
      </c>
      <c r="C43" s="140">
        <f>VLOOKUP($A43,'Data shares'!$C:$FB,3)</f>
        <v>316.14999999999998</v>
      </c>
      <c r="D43" s="140">
        <f>VLOOKUP($A43,'Data shares'!$C:$FB,4)</f>
        <v>300.25</v>
      </c>
      <c r="E43" s="50">
        <f t="shared" si="0"/>
        <v>5.2955870108243053</v>
      </c>
      <c r="F43" s="49">
        <f>VLOOKUP($A43,'Data shares'!$C:$FB,98)</f>
        <v>94900725</v>
      </c>
      <c r="G43" s="49">
        <f>VLOOKUP($A43,'Data shares'!$C:$FB,99)</f>
        <v>92491225</v>
      </c>
      <c r="H43" s="50">
        <f t="shared" si="1"/>
        <v>2.605111998462557</v>
      </c>
      <c r="I43" s="49">
        <f>VLOOKUP($A43,'Data shares'!$C:$FB,66)</f>
        <v>91422750</v>
      </c>
      <c r="J43" s="49">
        <f>VLOOKUP($A43,'Data shares'!$C:$FB,67)</f>
        <v>43657375</v>
      </c>
      <c r="K43" s="50">
        <f t="shared" si="2"/>
        <v>52.246705551955067</v>
      </c>
      <c r="L43" s="50">
        <f>VLOOKUP($A43,'Data shares'!$C:$FB,118)</f>
        <v>0.67</v>
      </c>
      <c r="M43" s="50">
        <f>VLOOKUP($A43,'Data shares'!$C:$FB,119)</f>
        <v>0.67</v>
      </c>
      <c r="N43" s="50">
        <f>VLOOKUP($A43,'Data shares'!$C:$FB,121)*100</f>
        <v>0</v>
      </c>
      <c r="O43" s="50">
        <f>VLOOKUP($A43,'Data shares'!$C:$FB,124)</f>
        <v>0.42</v>
      </c>
      <c r="P43" s="50">
        <f>VLOOKUP($A43,'Data shares'!$C:$FB,125)</f>
        <v>0.84</v>
      </c>
      <c r="Q43" s="50">
        <f>VLOOKUP($A43,'Data shares'!$C:$FB,127)*100</f>
        <v>-50</v>
      </c>
    </row>
    <row r="44" spans="1:17" x14ac:dyDescent="0.25">
      <c r="A44" s="97" t="str">
        <f>'Data Vlaue (Cr)'!C39</f>
        <v>BRITANNIA</v>
      </c>
      <c r="B44" s="140">
        <f>VLOOKUP($A44,'Data shares'!$C:$FB,7)</f>
        <v>5783</v>
      </c>
      <c r="C44" s="140">
        <f>VLOOKUP($A44,'Data shares'!$C:$FB,3)</f>
        <v>5795.5</v>
      </c>
      <c r="D44" s="140">
        <f>VLOOKUP($A44,'Data shares'!$C:$FB,4)</f>
        <v>5843</v>
      </c>
      <c r="E44" s="50">
        <f t="shared" si="0"/>
        <v>-0.81293855895943867</v>
      </c>
      <c r="F44" s="49">
        <f>VLOOKUP($A44,'Data shares'!$C:$FB,98)</f>
        <v>4236375</v>
      </c>
      <c r="G44" s="49">
        <f>VLOOKUP($A44,'Data shares'!$C:$FB,99)</f>
        <v>4021875</v>
      </c>
      <c r="H44" s="50">
        <f t="shared" si="1"/>
        <v>5.3333333333333339</v>
      </c>
      <c r="I44" s="49">
        <f>VLOOKUP($A44,'Data shares'!$C:$FB,66)</f>
        <v>2683250</v>
      </c>
      <c r="J44" s="49">
        <f>VLOOKUP($A44,'Data shares'!$C:$FB,67)</f>
        <v>2567000</v>
      </c>
      <c r="K44" s="50">
        <f t="shared" si="2"/>
        <v>4.3324326842448526</v>
      </c>
      <c r="L44" s="50">
        <f>VLOOKUP($A44,'Data shares'!$C:$FB,118)</f>
        <v>0.78</v>
      </c>
      <c r="M44" s="50">
        <f>VLOOKUP($A44,'Data shares'!$C:$FB,119)</f>
        <v>0.64</v>
      </c>
      <c r="N44" s="50">
        <f>VLOOKUP($A44,'Data shares'!$C:$FB,121)*100</f>
        <v>21.88</v>
      </c>
      <c r="O44" s="50">
        <f>VLOOKUP($A44,'Data shares'!$C:$FB,124)</f>
        <v>0.75</v>
      </c>
      <c r="P44" s="50">
        <f>VLOOKUP($A44,'Data shares'!$C:$FB,125)</f>
        <v>0.47</v>
      </c>
      <c r="Q44" s="50">
        <f>VLOOKUP($A44,'Data shares'!$C:$FB,127)*100</f>
        <v>59.57</v>
      </c>
    </row>
    <row r="45" spans="1:17" x14ac:dyDescent="0.25">
      <c r="A45" s="97" t="str">
        <f>'Data Vlaue (Cr)'!C40</f>
        <v>BSE</v>
      </c>
      <c r="B45" s="140">
        <f>VLOOKUP($A45,'Data shares'!$C:$FB,7)</f>
        <v>3852.1</v>
      </c>
      <c r="C45" s="140">
        <f>VLOOKUP($A45,'Data shares'!$C:$FB,3)</f>
        <v>3860.5</v>
      </c>
      <c r="D45" s="140">
        <f>VLOOKUP($A45,'Data shares'!$C:$FB,4)</f>
        <v>3744</v>
      </c>
      <c r="E45" s="50">
        <f t="shared" si="0"/>
        <v>3.111645299145299</v>
      </c>
      <c r="F45" s="49">
        <f>VLOOKUP($A45,'Data shares'!$C:$FB,98)</f>
        <v>18932525</v>
      </c>
      <c r="G45" s="49">
        <f>VLOOKUP($A45,'Data shares'!$C:$FB,99)</f>
        <v>17283300</v>
      </c>
      <c r="H45" s="50">
        <f t="shared" si="1"/>
        <v>9.542303842437498</v>
      </c>
      <c r="I45" s="49">
        <f>VLOOKUP($A45,'Data shares'!$C:$FB,66)</f>
        <v>23231250</v>
      </c>
      <c r="J45" s="49">
        <f>VLOOKUP($A45,'Data shares'!$C:$FB,67)</f>
        <v>15669750</v>
      </c>
      <c r="K45" s="50">
        <f t="shared" si="2"/>
        <v>32.548829701372071</v>
      </c>
      <c r="L45" s="50">
        <f>VLOOKUP($A45,'Data shares'!$C:$FB,118)</f>
        <v>0.93</v>
      </c>
      <c r="M45" s="50">
        <f>VLOOKUP($A45,'Data shares'!$C:$FB,119)</f>
        <v>0.85</v>
      </c>
      <c r="N45" s="50">
        <f>VLOOKUP($A45,'Data shares'!$C:$FB,121)*100</f>
        <v>9.41</v>
      </c>
      <c r="O45" s="50">
        <f>VLOOKUP($A45,'Data shares'!$C:$FB,124)</f>
        <v>0.65</v>
      </c>
      <c r="P45" s="50">
        <f>VLOOKUP($A45,'Data shares'!$C:$FB,125)</f>
        <v>0.65</v>
      </c>
      <c r="Q45" s="50">
        <f>VLOOKUP($A45,'Data shares'!$C:$FB,127)*100</f>
        <v>0</v>
      </c>
    </row>
    <row r="46" spans="1:17" x14ac:dyDescent="0.25">
      <c r="A46" s="97" t="str">
        <f>'Data Vlaue (Cr)'!C41</f>
        <v>CAMS</v>
      </c>
      <c r="B46" s="140">
        <f>VLOOKUP($A46,'Data shares'!$C:$FB,7)</f>
        <v>815.85</v>
      </c>
      <c r="C46" s="140">
        <f>VLOOKUP($A46,'Data shares'!$C:$FB,3)</f>
        <v>814.8</v>
      </c>
      <c r="D46" s="140">
        <f>VLOOKUP($A46,'Data shares'!$C:$FB,4)</f>
        <v>801</v>
      </c>
      <c r="E46" s="50">
        <f t="shared" si="0"/>
        <v>1.72284644194756</v>
      </c>
      <c r="F46" s="49">
        <f>VLOOKUP($A46,'Data shares'!$C:$FB,98)</f>
        <v>15984075</v>
      </c>
      <c r="G46" s="49">
        <f>VLOOKUP($A46,'Data shares'!$C:$FB,99)</f>
        <v>16048725</v>
      </c>
      <c r="H46" s="50">
        <f t="shared" si="1"/>
        <v>-0.40283573928770039</v>
      </c>
      <c r="I46" s="49">
        <f>VLOOKUP($A46,'Data shares'!$C:$FB,66)</f>
        <v>28164750</v>
      </c>
      <c r="J46" s="49">
        <f>VLOOKUP($A46,'Data shares'!$C:$FB,67)</f>
        <v>107517750</v>
      </c>
      <c r="K46" s="50">
        <f t="shared" si="2"/>
        <v>-281.74579927036456</v>
      </c>
      <c r="L46" s="50">
        <f>VLOOKUP($A46,'Data shares'!$C:$FB,118)</f>
        <v>0.95</v>
      </c>
      <c r="M46" s="50">
        <f>VLOOKUP($A46,'Data shares'!$C:$FB,119)</f>
        <v>1.04</v>
      </c>
      <c r="N46" s="50">
        <f>VLOOKUP($A46,'Data shares'!$C:$FB,121)*100</f>
        <v>-8.6499999999999986</v>
      </c>
      <c r="O46" s="50">
        <f>VLOOKUP($A46,'Data shares'!$C:$FB,124)</f>
        <v>0.56000000000000005</v>
      </c>
      <c r="P46" s="50">
        <f>VLOOKUP($A46,'Data shares'!$C:$FB,125)</f>
        <v>0.36</v>
      </c>
      <c r="Q46" s="50">
        <f>VLOOKUP($A46,'Data shares'!$C:$FB,127)*100</f>
        <v>55.559999999999995</v>
      </c>
    </row>
    <row r="47" spans="1:17" x14ac:dyDescent="0.25">
      <c r="A47" s="97" t="str">
        <f>'Data Vlaue (Cr)'!C42</f>
        <v>CANBK</v>
      </c>
      <c r="B47" s="140">
        <f>VLOOKUP($A47,'Data shares'!$C:$FB,7)</f>
        <v>138.04</v>
      </c>
      <c r="C47" s="140">
        <f>VLOOKUP($A47,'Data shares'!$C:$FB,3)</f>
        <v>139</v>
      </c>
      <c r="D47" s="140">
        <f>VLOOKUP($A47,'Data shares'!$C:$FB,4)</f>
        <v>134.71</v>
      </c>
      <c r="E47" s="50">
        <f t="shared" si="0"/>
        <v>3.1846188107787041</v>
      </c>
      <c r="F47" s="49">
        <f>VLOOKUP($A47,'Data shares'!$C:$FB,98)</f>
        <v>359336250</v>
      </c>
      <c r="G47" s="49">
        <f>VLOOKUP($A47,'Data shares'!$C:$FB,99)</f>
        <v>353470500</v>
      </c>
      <c r="H47" s="50">
        <f t="shared" si="1"/>
        <v>1.6594737043119583</v>
      </c>
      <c r="I47" s="49">
        <f>VLOOKUP($A47,'Data shares'!$C:$FB,66)</f>
        <v>174129750</v>
      </c>
      <c r="J47" s="49">
        <f>VLOOKUP($A47,'Data shares'!$C:$FB,67)</f>
        <v>86859000</v>
      </c>
      <c r="K47" s="50">
        <f t="shared" si="2"/>
        <v>50.118230802031249</v>
      </c>
      <c r="L47" s="50">
        <f>VLOOKUP($A47,'Data shares'!$C:$FB,118)</f>
        <v>0.95</v>
      </c>
      <c r="M47" s="50">
        <f>VLOOKUP($A47,'Data shares'!$C:$FB,119)</f>
        <v>0.94</v>
      </c>
      <c r="N47" s="50">
        <f>VLOOKUP($A47,'Data shares'!$C:$FB,121)*100</f>
        <v>1.06</v>
      </c>
      <c r="O47" s="50">
        <f>VLOOKUP($A47,'Data shares'!$C:$FB,124)</f>
        <v>0.44</v>
      </c>
      <c r="P47" s="50">
        <f>VLOOKUP($A47,'Data shares'!$C:$FB,125)</f>
        <v>0.63</v>
      </c>
      <c r="Q47" s="50">
        <f>VLOOKUP($A47,'Data shares'!$C:$FB,127)*100</f>
        <v>-30.159999999999997</v>
      </c>
    </row>
    <row r="48" spans="1:17" x14ac:dyDescent="0.25">
      <c r="A48" s="97" t="str">
        <f>'Data Vlaue (Cr)'!C43</f>
        <v>CDSL</v>
      </c>
      <c r="B48" s="140">
        <f>VLOOKUP($A48,'Data shares'!$C:$FB,7)</f>
        <v>1282.8</v>
      </c>
      <c r="C48" s="140">
        <f>VLOOKUP($A48,'Data shares'!$C:$FB,3)</f>
        <v>1288.5</v>
      </c>
      <c r="D48" s="140">
        <f>VLOOKUP($A48,'Data shares'!$C:$FB,4)</f>
        <v>1255.8</v>
      </c>
      <c r="E48" s="50">
        <f t="shared" si="0"/>
        <v>2.6039178213091296</v>
      </c>
      <c r="F48" s="49">
        <f>VLOOKUP($A48,'Data shares'!$C:$FB,98)</f>
        <v>23894400</v>
      </c>
      <c r="G48" s="49">
        <f>VLOOKUP($A48,'Data shares'!$C:$FB,99)</f>
        <v>23645500</v>
      </c>
      <c r="H48" s="50">
        <f t="shared" si="1"/>
        <v>1.0526315789473684</v>
      </c>
      <c r="I48" s="49">
        <f>VLOOKUP($A48,'Data shares'!$C:$FB,66)</f>
        <v>26475075</v>
      </c>
      <c r="J48" s="49">
        <f>VLOOKUP($A48,'Data shares'!$C:$FB,67)</f>
        <v>17308525</v>
      </c>
      <c r="K48" s="50">
        <f t="shared" si="2"/>
        <v>34.623320236108867</v>
      </c>
      <c r="L48" s="50">
        <f>VLOOKUP($A48,'Data shares'!$C:$FB,118)</f>
        <v>0.75</v>
      </c>
      <c r="M48" s="50">
        <f>VLOOKUP($A48,'Data shares'!$C:$FB,119)</f>
        <v>0.73</v>
      </c>
      <c r="N48" s="50">
        <f>VLOOKUP($A48,'Data shares'!$C:$FB,121)*100</f>
        <v>2.74</v>
      </c>
      <c r="O48" s="50">
        <f>VLOOKUP($A48,'Data shares'!$C:$FB,124)</f>
        <v>0.36</v>
      </c>
      <c r="P48" s="50">
        <f>VLOOKUP($A48,'Data shares'!$C:$FB,125)</f>
        <v>0.41</v>
      </c>
      <c r="Q48" s="50">
        <f>VLOOKUP($A48,'Data shares'!$C:$FB,127)*100</f>
        <v>-12.2</v>
      </c>
    </row>
    <row r="49" spans="1:17" x14ac:dyDescent="0.25">
      <c r="A49" s="97" t="str">
        <f>'Data Vlaue (Cr)'!C44</f>
        <v>CGPOWER</v>
      </c>
      <c r="B49" s="140">
        <f>VLOOKUP($A49,'Data shares'!$C:$FB,7)</f>
        <v>828.9</v>
      </c>
      <c r="C49" s="140">
        <f>VLOOKUP($A49,'Data shares'!$C:$FB,3)</f>
        <v>833.4</v>
      </c>
      <c r="D49" s="140">
        <f>VLOOKUP($A49,'Data shares'!$C:$FB,4)</f>
        <v>831.8</v>
      </c>
      <c r="E49" s="50">
        <f t="shared" si="0"/>
        <v>0.19235393123347233</v>
      </c>
      <c r="F49" s="49">
        <f>VLOOKUP($A49,'Data shares'!$C:$FB,98)</f>
        <v>37422950</v>
      </c>
      <c r="G49" s="49">
        <f>VLOOKUP($A49,'Data shares'!$C:$FB,99)</f>
        <v>30826950</v>
      </c>
      <c r="H49" s="50">
        <f t="shared" si="1"/>
        <v>21.396862161193372</v>
      </c>
      <c r="I49" s="49">
        <f>VLOOKUP($A49,'Data shares'!$C:$FB,66)</f>
        <v>72995450</v>
      </c>
      <c r="J49" s="49">
        <f>VLOOKUP($A49,'Data shares'!$C:$FB,67)</f>
        <v>26504700</v>
      </c>
      <c r="K49" s="50">
        <f t="shared" si="2"/>
        <v>63.689928618838579</v>
      </c>
      <c r="L49" s="50">
        <f>VLOOKUP($A49,'Data shares'!$C:$FB,118)</f>
        <v>0.61</v>
      </c>
      <c r="M49" s="50">
        <f>VLOOKUP($A49,'Data shares'!$C:$FB,119)</f>
        <v>0.53</v>
      </c>
      <c r="N49" s="50">
        <f>VLOOKUP($A49,'Data shares'!$C:$FB,121)*100</f>
        <v>15.09</v>
      </c>
      <c r="O49" s="50">
        <f>VLOOKUP($A49,'Data shares'!$C:$FB,124)</f>
        <v>0.38</v>
      </c>
      <c r="P49" s="50">
        <f>VLOOKUP($A49,'Data shares'!$C:$FB,125)</f>
        <v>0.3</v>
      </c>
      <c r="Q49" s="50">
        <f>VLOOKUP($A49,'Data shares'!$C:$FB,127)*100</f>
        <v>26.669999999999998</v>
      </c>
    </row>
    <row r="50" spans="1:17" x14ac:dyDescent="0.25">
      <c r="A50" s="97" t="str">
        <f>'Data Vlaue (Cr)'!C45</f>
        <v>CHOLAFIN</v>
      </c>
      <c r="B50" s="140">
        <f>VLOOKUP($A50,'Data shares'!$C:$FB,7)</f>
        <v>1711.9</v>
      </c>
      <c r="C50" s="140">
        <f>VLOOKUP($A50,'Data shares'!$C:$FB,3)</f>
        <v>1722.6</v>
      </c>
      <c r="D50" s="140">
        <f>VLOOKUP($A50,'Data shares'!$C:$FB,4)</f>
        <v>1661.8</v>
      </c>
      <c r="E50" s="50">
        <f t="shared" si="0"/>
        <v>3.6586833553977587</v>
      </c>
      <c r="F50" s="49">
        <f>VLOOKUP($A50,'Data shares'!$C:$FB,98)</f>
        <v>24124375</v>
      </c>
      <c r="G50" s="49">
        <f>VLOOKUP($A50,'Data shares'!$C:$FB,99)</f>
        <v>23853125</v>
      </c>
      <c r="H50" s="50">
        <f t="shared" si="1"/>
        <v>1.1371675619022663</v>
      </c>
      <c r="I50" s="49">
        <f>VLOOKUP($A50,'Data shares'!$C:$FB,66)</f>
        <v>10986250</v>
      </c>
      <c r="J50" s="49">
        <f>VLOOKUP($A50,'Data shares'!$C:$FB,67)</f>
        <v>10246250</v>
      </c>
      <c r="K50" s="50">
        <f t="shared" si="2"/>
        <v>6.7356923427011033</v>
      </c>
      <c r="L50" s="50">
        <f>VLOOKUP($A50,'Data shares'!$C:$FB,118)</f>
        <v>0.88</v>
      </c>
      <c r="M50" s="50">
        <f>VLOOKUP($A50,'Data shares'!$C:$FB,119)</f>
        <v>0.9</v>
      </c>
      <c r="N50" s="50">
        <f>VLOOKUP($A50,'Data shares'!$C:$FB,121)*100</f>
        <v>-2.2200000000000002</v>
      </c>
      <c r="O50" s="50">
        <f>VLOOKUP($A50,'Data shares'!$C:$FB,124)</f>
        <v>0.7</v>
      </c>
      <c r="P50" s="50">
        <f>VLOOKUP($A50,'Data shares'!$C:$FB,125)</f>
        <v>0.69</v>
      </c>
      <c r="Q50" s="50">
        <f>VLOOKUP($A50,'Data shares'!$C:$FB,127)*100</f>
        <v>1.4500000000000002</v>
      </c>
    </row>
    <row r="51" spans="1:17" x14ac:dyDescent="0.25">
      <c r="A51" s="97" t="str">
        <f>'Data Vlaue (Cr)'!C46</f>
        <v>CIPLA</v>
      </c>
      <c r="B51" s="140">
        <f>VLOOKUP($A51,'Data shares'!$C:$FB,7)</f>
        <v>1364.4</v>
      </c>
      <c r="C51" s="140">
        <f>VLOOKUP($A51,'Data shares'!$C:$FB,3)</f>
        <v>1370</v>
      </c>
      <c r="D51" s="140">
        <f>VLOOKUP($A51,'Data shares'!$C:$FB,4)</f>
        <v>1336.7</v>
      </c>
      <c r="E51" s="50">
        <f t="shared" si="0"/>
        <v>2.4912096955188114</v>
      </c>
      <c r="F51" s="49">
        <f>VLOOKUP($A51,'Data shares'!$C:$FB,98)</f>
        <v>21913875</v>
      </c>
      <c r="G51" s="49">
        <f>VLOOKUP($A51,'Data shares'!$C:$FB,99)</f>
        <v>21572050</v>
      </c>
      <c r="H51" s="50">
        <f t="shared" si="1"/>
        <v>1.5845735569869346</v>
      </c>
      <c r="I51" s="49">
        <f>VLOOKUP($A51,'Data shares'!$C:$FB,66)</f>
        <v>14708250</v>
      </c>
      <c r="J51" s="49">
        <f>VLOOKUP($A51,'Data shares'!$C:$FB,67)</f>
        <v>7026375</v>
      </c>
      <c r="K51" s="50">
        <f t="shared" si="2"/>
        <v>52.228341237060839</v>
      </c>
      <c r="L51" s="50">
        <f>VLOOKUP($A51,'Data shares'!$C:$FB,118)</f>
        <v>0.72</v>
      </c>
      <c r="M51" s="50">
        <f>VLOOKUP($A51,'Data shares'!$C:$FB,119)</f>
        <v>0.66</v>
      </c>
      <c r="N51" s="50">
        <f>VLOOKUP($A51,'Data shares'!$C:$FB,121)*100</f>
        <v>9.09</v>
      </c>
      <c r="O51" s="50">
        <f>VLOOKUP($A51,'Data shares'!$C:$FB,124)</f>
        <v>0.35</v>
      </c>
      <c r="P51" s="50">
        <f>VLOOKUP($A51,'Data shares'!$C:$FB,125)</f>
        <v>0.48</v>
      </c>
      <c r="Q51" s="50">
        <f>VLOOKUP($A51,'Data shares'!$C:$FB,127)*100</f>
        <v>-27.08</v>
      </c>
    </row>
    <row r="52" spans="1:17" x14ac:dyDescent="0.25">
      <c r="A52" s="97" t="str">
        <f>'Data Vlaue (Cr)'!C47</f>
        <v>COALINDIA</v>
      </c>
      <c r="B52" s="140">
        <f>VLOOKUP($A52,'Data shares'!$C:$FB,7)</f>
        <v>470.2</v>
      </c>
      <c r="C52" s="140">
        <f>VLOOKUP($A52,'Data shares'!$C:$FB,3)</f>
        <v>471.25</v>
      </c>
      <c r="D52" s="140">
        <f>VLOOKUP($A52,'Data shares'!$C:$FB,4)</f>
        <v>475.1</v>
      </c>
      <c r="E52" s="50">
        <f t="shared" si="0"/>
        <v>-0.81035571458640765</v>
      </c>
      <c r="F52" s="49">
        <f>VLOOKUP($A52,'Data shares'!$C:$FB,98)</f>
        <v>100703250</v>
      </c>
      <c r="G52" s="49">
        <f>VLOOKUP($A52,'Data shares'!$C:$FB,99)</f>
        <v>98594550</v>
      </c>
      <c r="H52" s="50">
        <f t="shared" si="1"/>
        <v>2.138759191050621</v>
      </c>
      <c r="I52" s="49">
        <f>VLOOKUP($A52,'Data shares'!$C:$FB,66)</f>
        <v>73199700</v>
      </c>
      <c r="J52" s="49">
        <f>VLOOKUP($A52,'Data shares'!$C:$FB,67)</f>
        <v>44595900</v>
      </c>
      <c r="K52" s="50">
        <f t="shared" si="2"/>
        <v>39.076389657334659</v>
      </c>
      <c r="L52" s="50">
        <f>VLOOKUP($A52,'Data shares'!$C:$FB,118)</f>
        <v>0.65</v>
      </c>
      <c r="M52" s="50">
        <f>VLOOKUP($A52,'Data shares'!$C:$FB,119)</f>
        <v>0.64</v>
      </c>
      <c r="N52" s="50">
        <f>VLOOKUP($A52,'Data shares'!$C:$FB,121)*100</f>
        <v>1.5599999999999998</v>
      </c>
      <c r="O52" s="50">
        <f>VLOOKUP($A52,'Data shares'!$C:$FB,124)</f>
        <v>0.62</v>
      </c>
      <c r="P52" s="50">
        <f>VLOOKUP($A52,'Data shares'!$C:$FB,125)</f>
        <v>0.59</v>
      </c>
      <c r="Q52" s="50">
        <f>VLOOKUP($A52,'Data shares'!$C:$FB,127)*100</f>
        <v>5.08</v>
      </c>
    </row>
    <row r="53" spans="1:17" x14ac:dyDescent="0.25">
      <c r="A53" s="97" t="str">
        <f>'Data Vlaue (Cr)'!C48</f>
        <v>COCHINSHIP</v>
      </c>
      <c r="B53" s="140">
        <f>VLOOKUP($A53,'Data shares'!$C:$FB,7)</f>
        <v>1753.1</v>
      </c>
      <c r="C53" s="140">
        <f>VLOOKUP($A53,'Data shares'!$C:$FB,3)</f>
        <v>1759.4</v>
      </c>
      <c r="D53" s="140">
        <f>VLOOKUP($A53,'Data shares'!$C:$FB,4)</f>
        <v>1721.8</v>
      </c>
      <c r="E53" s="50">
        <f t="shared" si="0"/>
        <v>2.1837611801603054</v>
      </c>
      <c r="F53" s="49">
        <f>VLOOKUP($A53,'Data shares'!$C:$FB,98)</f>
        <v>4730400</v>
      </c>
      <c r="G53" s="49">
        <f>VLOOKUP($A53,'Data shares'!$C:$FB,99)</f>
        <v>4578000</v>
      </c>
      <c r="H53" s="50">
        <f t="shared" si="1"/>
        <v>3.3289646133682829</v>
      </c>
      <c r="I53" s="49">
        <f>VLOOKUP($A53,'Data shares'!$C:$FB,66)</f>
        <v>3762000</v>
      </c>
      <c r="J53" s="49">
        <f>VLOOKUP($A53,'Data shares'!$C:$FB,67)</f>
        <v>1476800</v>
      </c>
      <c r="K53" s="50">
        <f t="shared" si="2"/>
        <v>60.74428495481127</v>
      </c>
      <c r="L53" s="50">
        <f>VLOOKUP($A53,'Data shares'!$C:$FB,118)</f>
        <v>0.68</v>
      </c>
      <c r="M53" s="50">
        <f>VLOOKUP($A53,'Data shares'!$C:$FB,119)</f>
        <v>0.69</v>
      </c>
      <c r="N53" s="50">
        <f>VLOOKUP($A53,'Data shares'!$C:$FB,121)*100</f>
        <v>-1.4500000000000002</v>
      </c>
      <c r="O53" s="50">
        <f>VLOOKUP($A53,'Data shares'!$C:$FB,124)</f>
        <v>0.22</v>
      </c>
      <c r="P53" s="50">
        <f>VLOOKUP($A53,'Data shares'!$C:$FB,125)</f>
        <v>0.37</v>
      </c>
      <c r="Q53" s="50">
        <f>VLOOKUP($A53,'Data shares'!$C:$FB,127)*100</f>
        <v>-40.54</v>
      </c>
    </row>
    <row r="54" spans="1:17" x14ac:dyDescent="0.25">
      <c r="A54" s="97" t="str">
        <f>'Data Vlaue (Cr)'!C49</f>
        <v>COFORGE</v>
      </c>
      <c r="B54" s="140">
        <f>VLOOKUP($A54,'Data shares'!$C:$FB,7)</f>
        <v>1280.4000000000001</v>
      </c>
      <c r="C54" s="140">
        <f>VLOOKUP($A54,'Data shares'!$C:$FB,3)</f>
        <v>1289.3</v>
      </c>
      <c r="D54" s="140">
        <f>VLOOKUP($A54,'Data shares'!$C:$FB,4)</f>
        <v>1168.5999999999999</v>
      </c>
      <c r="E54" s="50">
        <f t="shared" si="0"/>
        <v>10.328598322779399</v>
      </c>
      <c r="F54" s="49">
        <f>VLOOKUP($A54,'Data shares'!$C:$FB,98)</f>
        <v>38215250</v>
      </c>
      <c r="G54" s="49">
        <f>VLOOKUP($A54,'Data shares'!$C:$FB,99)</f>
        <v>30824300</v>
      </c>
      <c r="H54" s="50">
        <f t="shared" si="1"/>
        <v>23.977673458926883</v>
      </c>
      <c r="I54" s="49">
        <f>VLOOKUP($A54,'Data shares'!$C:$FB,66)</f>
        <v>134764125</v>
      </c>
      <c r="J54" s="49">
        <f>VLOOKUP($A54,'Data shares'!$C:$FB,67)</f>
        <v>18952125</v>
      </c>
      <c r="K54" s="50">
        <f t="shared" si="2"/>
        <v>85.936817383706526</v>
      </c>
      <c r="L54" s="50">
        <f>VLOOKUP($A54,'Data shares'!$C:$FB,118)</f>
        <v>0.75</v>
      </c>
      <c r="M54" s="50">
        <f>VLOOKUP($A54,'Data shares'!$C:$FB,119)</f>
        <v>0.59</v>
      </c>
      <c r="N54" s="50">
        <f>VLOOKUP($A54,'Data shares'!$C:$FB,121)*100</f>
        <v>27.12</v>
      </c>
      <c r="O54" s="50">
        <f>VLOOKUP($A54,'Data shares'!$C:$FB,124)</f>
        <v>0.53</v>
      </c>
      <c r="P54" s="50">
        <f>VLOOKUP($A54,'Data shares'!$C:$FB,125)</f>
        <v>0.54</v>
      </c>
      <c r="Q54" s="50">
        <f>VLOOKUP($A54,'Data shares'!$C:$FB,127)*100</f>
        <v>-1.8499999999999999</v>
      </c>
    </row>
    <row r="55" spans="1:17" x14ac:dyDescent="0.25">
      <c r="A55" s="97" t="str">
        <f>'Data Vlaue (Cr)'!C50</f>
        <v>COLPAL</v>
      </c>
      <c r="B55" s="140">
        <f>VLOOKUP($A55,'Data shares'!$C:$FB,7)</f>
        <v>2157.1</v>
      </c>
      <c r="C55" s="140">
        <f>VLOOKUP($A55,'Data shares'!$C:$FB,3)</f>
        <v>2164.6</v>
      </c>
      <c r="D55" s="140">
        <f>VLOOKUP($A55,'Data shares'!$C:$FB,4)</f>
        <v>2174.5</v>
      </c>
      <c r="E55" s="50">
        <f t="shared" si="0"/>
        <v>-0.45527707518970295</v>
      </c>
      <c r="F55" s="49">
        <f>VLOOKUP($A55,'Data shares'!$C:$FB,98)</f>
        <v>7244125</v>
      </c>
      <c r="G55" s="49">
        <f>VLOOKUP($A55,'Data shares'!$C:$FB,99)</f>
        <v>7160450</v>
      </c>
      <c r="H55" s="50">
        <f t="shared" si="1"/>
        <v>1.168571807637788</v>
      </c>
      <c r="I55" s="49">
        <f>VLOOKUP($A55,'Data shares'!$C:$FB,66)</f>
        <v>1910025</v>
      </c>
      <c r="J55" s="49">
        <f>VLOOKUP($A55,'Data shares'!$C:$FB,67)</f>
        <v>2190825</v>
      </c>
      <c r="K55" s="50">
        <f t="shared" si="2"/>
        <v>-14.701378254211333</v>
      </c>
      <c r="L55" s="50">
        <f>VLOOKUP($A55,'Data shares'!$C:$FB,118)</f>
        <v>0.68</v>
      </c>
      <c r="M55" s="50">
        <f>VLOOKUP($A55,'Data shares'!$C:$FB,119)</f>
        <v>0.69</v>
      </c>
      <c r="N55" s="50">
        <f>VLOOKUP($A55,'Data shares'!$C:$FB,121)*100</f>
        <v>-1.4500000000000002</v>
      </c>
      <c r="O55" s="50">
        <f>VLOOKUP($A55,'Data shares'!$C:$FB,124)</f>
        <v>0.36</v>
      </c>
      <c r="P55" s="50">
        <f>VLOOKUP($A55,'Data shares'!$C:$FB,125)</f>
        <v>0.3</v>
      </c>
      <c r="Q55" s="50">
        <f>VLOOKUP($A55,'Data shares'!$C:$FB,127)*100</f>
        <v>20</v>
      </c>
    </row>
    <row r="56" spans="1:17" x14ac:dyDescent="0.25">
      <c r="A56" s="97" t="str">
        <f>'Data Vlaue (Cr)'!C51</f>
        <v>CONCOR</v>
      </c>
      <c r="B56" s="140">
        <f>VLOOKUP($A56,'Data shares'!$C:$FB,7)</f>
        <v>524.20000000000005</v>
      </c>
      <c r="C56" s="140">
        <f>VLOOKUP($A56,'Data shares'!$C:$FB,3)</f>
        <v>527.6</v>
      </c>
      <c r="D56" s="140">
        <f>VLOOKUP($A56,'Data shares'!$C:$FB,4)</f>
        <v>520.15</v>
      </c>
      <c r="E56" s="50">
        <f t="shared" si="0"/>
        <v>1.4322791502451304</v>
      </c>
      <c r="F56" s="49">
        <f>VLOOKUP($A56,'Data shares'!$C:$FB,98)</f>
        <v>32832500</v>
      </c>
      <c r="G56" s="49">
        <f>VLOOKUP($A56,'Data shares'!$C:$FB,99)</f>
        <v>31667500</v>
      </c>
      <c r="H56" s="50">
        <f t="shared" si="1"/>
        <v>3.678850556564301</v>
      </c>
      <c r="I56" s="49">
        <f>VLOOKUP($A56,'Data shares'!$C:$FB,66)</f>
        <v>10140000</v>
      </c>
      <c r="J56" s="49">
        <f>VLOOKUP($A56,'Data shares'!$C:$FB,67)</f>
        <v>5158750</v>
      </c>
      <c r="K56" s="50">
        <f t="shared" si="2"/>
        <v>49.124753451676526</v>
      </c>
      <c r="L56" s="50">
        <f>VLOOKUP($A56,'Data shares'!$C:$FB,118)</f>
        <v>0.73</v>
      </c>
      <c r="M56" s="50">
        <f>VLOOKUP($A56,'Data shares'!$C:$FB,119)</f>
        <v>0.66</v>
      </c>
      <c r="N56" s="50">
        <f>VLOOKUP($A56,'Data shares'!$C:$FB,121)*100</f>
        <v>10.61</v>
      </c>
      <c r="O56" s="50">
        <f>VLOOKUP($A56,'Data shares'!$C:$FB,124)</f>
        <v>0.31</v>
      </c>
      <c r="P56" s="50">
        <f>VLOOKUP($A56,'Data shares'!$C:$FB,125)</f>
        <v>0.21</v>
      </c>
      <c r="Q56" s="50">
        <f>VLOOKUP($A56,'Data shares'!$C:$FB,127)*100</f>
        <v>47.620000000000005</v>
      </c>
    </row>
    <row r="57" spans="1:17" x14ac:dyDescent="0.25">
      <c r="A57" s="97" t="str">
        <f>'Data Vlaue (Cr)'!C52</f>
        <v>CROMPTON</v>
      </c>
      <c r="B57" s="140">
        <f>VLOOKUP($A57,'Data shares'!$C:$FB,7)</f>
        <v>284.05</v>
      </c>
      <c r="C57" s="140">
        <f>VLOOKUP($A57,'Data shares'!$C:$FB,3)</f>
        <v>285.05</v>
      </c>
      <c r="D57" s="140">
        <f>VLOOKUP($A57,'Data shares'!$C:$FB,4)</f>
        <v>276.64999999999998</v>
      </c>
      <c r="E57" s="50">
        <f t="shared" si="0"/>
        <v>3.0363274896078205</v>
      </c>
      <c r="F57" s="49">
        <f>VLOOKUP($A57,'Data shares'!$C:$FB,98)</f>
        <v>78033950</v>
      </c>
      <c r="G57" s="49">
        <f>VLOOKUP($A57,'Data shares'!$C:$FB,99)</f>
        <v>74693950</v>
      </c>
      <c r="H57" s="50">
        <f t="shared" si="1"/>
        <v>4.471580362264949</v>
      </c>
      <c r="I57" s="49">
        <f>VLOOKUP($A57,'Data shares'!$C:$FB,66)</f>
        <v>57204000</v>
      </c>
      <c r="J57" s="49">
        <f>VLOOKUP($A57,'Data shares'!$C:$FB,67)</f>
        <v>21112200</v>
      </c>
      <c r="K57" s="50">
        <f t="shared" si="2"/>
        <v>63.093140339836374</v>
      </c>
      <c r="L57" s="50">
        <f>VLOOKUP($A57,'Data shares'!$C:$FB,118)</f>
        <v>0.47</v>
      </c>
      <c r="M57" s="50">
        <f>VLOOKUP($A57,'Data shares'!$C:$FB,119)</f>
        <v>0.47</v>
      </c>
      <c r="N57" s="50">
        <f>VLOOKUP($A57,'Data shares'!$C:$FB,121)*100</f>
        <v>0</v>
      </c>
      <c r="O57" s="50">
        <f>VLOOKUP($A57,'Data shares'!$C:$FB,124)</f>
        <v>0.26</v>
      </c>
      <c r="P57" s="50">
        <f>VLOOKUP($A57,'Data shares'!$C:$FB,125)</f>
        <v>0.4</v>
      </c>
      <c r="Q57" s="50">
        <f>VLOOKUP($A57,'Data shares'!$C:$FB,127)*100</f>
        <v>-35</v>
      </c>
    </row>
    <row r="58" spans="1:17" x14ac:dyDescent="0.25">
      <c r="A58" s="97" t="str">
        <f>'Data Vlaue (Cr)'!C53</f>
        <v>CUMMINSIND</v>
      </c>
      <c r="B58" s="140">
        <f>VLOOKUP($A58,'Data shares'!$C:$FB,7)</f>
        <v>5324.5</v>
      </c>
      <c r="C58" s="140">
        <f>VLOOKUP($A58,'Data shares'!$C:$FB,3)</f>
        <v>5348.5</v>
      </c>
      <c r="D58" s="140">
        <f>VLOOKUP($A58,'Data shares'!$C:$FB,4)</f>
        <v>5290.5</v>
      </c>
      <c r="E58" s="50">
        <f t="shared" si="0"/>
        <v>1.096304697098573</v>
      </c>
      <c r="F58" s="49">
        <f>VLOOKUP($A58,'Data shares'!$C:$FB,98)</f>
        <v>5178000</v>
      </c>
      <c r="G58" s="49">
        <f>VLOOKUP($A58,'Data shares'!$C:$FB,99)</f>
        <v>5102800</v>
      </c>
      <c r="H58" s="50">
        <f t="shared" si="1"/>
        <v>1.473700713333856</v>
      </c>
      <c r="I58" s="49">
        <f>VLOOKUP($A58,'Data shares'!$C:$FB,66)</f>
        <v>2774200</v>
      </c>
      <c r="J58" s="49">
        <f>VLOOKUP($A58,'Data shares'!$C:$FB,67)</f>
        <v>1105400</v>
      </c>
      <c r="K58" s="50">
        <f t="shared" si="2"/>
        <v>60.154278710979746</v>
      </c>
      <c r="L58" s="50">
        <f>VLOOKUP($A58,'Data shares'!$C:$FB,118)</f>
        <v>0.71</v>
      </c>
      <c r="M58" s="50">
        <f>VLOOKUP($A58,'Data shares'!$C:$FB,119)</f>
        <v>0.7</v>
      </c>
      <c r="N58" s="50">
        <f>VLOOKUP($A58,'Data shares'!$C:$FB,121)*100</f>
        <v>1.43</v>
      </c>
      <c r="O58" s="50">
        <f>VLOOKUP($A58,'Data shares'!$C:$FB,124)</f>
        <v>0.53</v>
      </c>
      <c r="P58" s="50">
        <f>VLOOKUP($A58,'Data shares'!$C:$FB,125)</f>
        <v>0.57999999999999996</v>
      </c>
      <c r="Q58" s="50">
        <f>VLOOKUP($A58,'Data shares'!$C:$FB,127)*100</f>
        <v>-8.6199999999999992</v>
      </c>
    </row>
    <row r="59" spans="1:17" x14ac:dyDescent="0.25">
      <c r="A59" s="97" t="str">
        <f>'Data Vlaue (Cr)'!C54</f>
        <v>DABUR</v>
      </c>
      <c r="B59" s="140">
        <f>VLOOKUP($A59,'Data shares'!$C:$FB,7)</f>
        <v>466.25</v>
      </c>
      <c r="C59" s="140">
        <f>VLOOKUP($A59,'Data shares'!$C:$FB,3)</f>
        <v>468.35</v>
      </c>
      <c r="D59" s="140">
        <f>VLOOKUP($A59,'Data shares'!$C:$FB,4)</f>
        <v>462</v>
      </c>
      <c r="E59" s="50">
        <f t="shared" si="0"/>
        <v>1.3744588744588793</v>
      </c>
      <c r="F59" s="49">
        <f>VLOOKUP($A59,'Data shares'!$C:$FB,98)</f>
        <v>42540000</v>
      </c>
      <c r="G59" s="49">
        <f>VLOOKUP($A59,'Data shares'!$C:$FB,99)</f>
        <v>40540000</v>
      </c>
      <c r="H59" s="50">
        <f t="shared" si="1"/>
        <v>4.9333991119881597</v>
      </c>
      <c r="I59" s="49">
        <f>VLOOKUP($A59,'Data shares'!$C:$FB,66)</f>
        <v>30672500</v>
      </c>
      <c r="J59" s="49">
        <f>VLOOKUP($A59,'Data shares'!$C:$FB,67)</f>
        <v>30943750</v>
      </c>
      <c r="K59" s="50">
        <f t="shared" si="2"/>
        <v>-0.88434265221289421</v>
      </c>
      <c r="L59" s="50">
        <f>VLOOKUP($A59,'Data shares'!$C:$FB,118)</f>
        <v>0.56000000000000005</v>
      </c>
      <c r="M59" s="50">
        <f>VLOOKUP($A59,'Data shares'!$C:$FB,119)</f>
        <v>0.67</v>
      </c>
      <c r="N59" s="50">
        <f>VLOOKUP($A59,'Data shares'!$C:$FB,121)*100</f>
        <v>-16.420000000000002</v>
      </c>
      <c r="O59" s="50">
        <f>VLOOKUP($A59,'Data shares'!$C:$FB,124)</f>
        <v>0.25</v>
      </c>
      <c r="P59" s="50">
        <f>VLOOKUP($A59,'Data shares'!$C:$FB,125)</f>
        <v>0.25</v>
      </c>
      <c r="Q59" s="50">
        <f>VLOOKUP($A59,'Data shares'!$C:$FB,127)*100</f>
        <v>0</v>
      </c>
    </row>
    <row r="60" spans="1:17" x14ac:dyDescent="0.25">
      <c r="A60" s="97" t="str">
        <f>'Data Vlaue (Cr)'!C55</f>
        <v>DALBHARAT</v>
      </c>
      <c r="B60" s="140">
        <f>VLOOKUP($A60,'Data shares'!$C:$FB,7)</f>
        <v>1974.6</v>
      </c>
      <c r="C60" s="140">
        <f>VLOOKUP($A60,'Data shares'!$C:$FB,3)</f>
        <v>1986.8</v>
      </c>
      <c r="D60" s="140">
        <f>VLOOKUP($A60,'Data shares'!$C:$FB,4)</f>
        <v>1967.9</v>
      </c>
      <c r="E60" s="50">
        <f t="shared" si="0"/>
        <v>0.96041465521621328</v>
      </c>
      <c r="F60" s="49">
        <f>VLOOKUP($A60,'Data shares'!$C:$FB,98)</f>
        <v>4340050</v>
      </c>
      <c r="G60" s="49">
        <f>VLOOKUP($A60,'Data shares'!$C:$FB,99)</f>
        <v>4106375</v>
      </c>
      <c r="H60" s="50">
        <f t="shared" si="1"/>
        <v>5.6905421448357734</v>
      </c>
      <c r="I60" s="49">
        <f>VLOOKUP($A60,'Data shares'!$C:$FB,66)</f>
        <v>2241525</v>
      </c>
      <c r="J60" s="49">
        <f>VLOOKUP($A60,'Data shares'!$C:$FB,67)</f>
        <v>1677975</v>
      </c>
      <c r="K60" s="50">
        <f t="shared" si="2"/>
        <v>25.141365811222272</v>
      </c>
      <c r="L60" s="50">
        <f>VLOOKUP($A60,'Data shares'!$C:$FB,118)</f>
        <v>0.52</v>
      </c>
      <c r="M60" s="50">
        <f>VLOOKUP($A60,'Data shares'!$C:$FB,119)</f>
        <v>0.61</v>
      </c>
      <c r="N60" s="50">
        <f>VLOOKUP($A60,'Data shares'!$C:$FB,121)*100</f>
        <v>-14.75</v>
      </c>
      <c r="O60" s="50">
        <f>VLOOKUP($A60,'Data shares'!$C:$FB,124)</f>
        <v>0.22</v>
      </c>
      <c r="P60" s="50">
        <f>VLOOKUP($A60,'Data shares'!$C:$FB,125)</f>
        <v>0.37</v>
      </c>
      <c r="Q60" s="50">
        <f>VLOOKUP($A60,'Data shares'!$C:$FB,127)*100</f>
        <v>-40.54</v>
      </c>
    </row>
    <row r="61" spans="1:17" x14ac:dyDescent="0.25">
      <c r="A61" s="97" t="str">
        <f>'Data Vlaue (Cr)'!C56</f>
        <v>DELHIVERY</v>
      </c>
      <c r="B61" s="140">
        <f>VLOOKUP($A61,'Data shares'!$C:$FB,7)</f>
        <v>471</v>
      </c>
      <c r="C61" s="140">
        <f>VLOOKUP($A61,'Data shares'!$C:$FB,3)</f>
        <v>473.7</v>
      </c>
      <c r="D61" s="140">
        <f>VLOOKUP($A61,'Data shares'!$C:$FB,4)</f>
        <v>461.4</v>
      </c>
      <c r="E61" s="50">
        <f t="shared" si="0"/>
        <v>2.6657997399219791</v>
      </c>
      <c r="F61" s="49">
        <f>VLOOKUP($A61,'Data shares'!$C:$FB,98)</f>
        <v>40557950</v>
      </c>
      <c r="G61" s="49">
        <f>VLOOKUP($A61,'Data shares'!$C:$FB,99)</f>
        <v>41338150</v>
      </c>
      <c r="H61" s="50">
        <f t="shared" si="1"/>
        <v>-1.8873607067563496</v>
      </c>
      <c r="I61" s="49">
        <f>VLOOKUP($A61,'Data shares'!$C:$FB,66)</f>
        <v>17932150</v>
      </c>
      <c r="J61" s="49">
        <f>VLOOKUP($A61,'Data shares'!$C:$FB,67)</f>
        <v>41282125</v>
      </c>
      <c r="K61" s="50">
        <f t="shared" si="2"/>
        <v>-130.21291367738951</v>
      </c>
      <c r="L61" s="50">
        <f>VLOOKUP($A61,'Data shares'!$C:$FB,118)</f>
        <v>0.59</v>
      </c>
      <c r="M61" s="50">
        <f>VLOOKUP($A61,'Data shares'!$C:$FB,119)</f>
        <v>0.65</v>
      </c>
      <c r="N61" s="50">
        <f>VLOOKUP($A61,'Data shares'!$C:$FB,121)*100</f>
        <v>-9.2299999999999986</v>
      </c>
      <c r="O61" s="50">
        <f>VLOOKUP($A61,'Data shares'!$C:$FB,124)</f>
        <v>0.56000000000000005</v>
      </c>
      <c r="P61" s="50">
        <f>VLOOKUP($A61,'Data shares'!$C:$FB,125)</f>
        <v>1.32</v>
      </c>
      <c r="Q61" s="50">
        <f>VLOOKUP($A61,'Data shares'!$C:$FB,127)*100</f>
        <v>-57.58</v>
      </c>
    </row>
    <row r="62" spans="1:17" x14ac:dyDescent="0.25">
      <c r="A62" s="97" t="str">
        <f>'Data Vlaue (Cr)'!C57</f>
        <v>DIVISLAB</v>
      </c>
      <c r="B62" s="140">
        <f>VLOOKUP($A62,'Data shares'!$C:$FB,7)</f>
        <v>6702</v>
      </c>
      <c r="C62" s="140">
        <f>VLOOKUP($A62,'Data shares'!$C:$FB,3)</f>
        <v>6738.5</v>
      </c>
      <c r="D62" s="140">
        <f>VLOOKUP($A62,'Data shares'!$C:$FB,4)</f>
        <v>6667</v>
      </c>
      <c r="E62" s="50">
        <f t="shared" si="0"/>
        <v>1.0724463776811159</v>
      </c>
      <c r="F62" s="49">
        <f>VLOOKUP($A62,'Data shares'!$C:$FB,98)</f>
        <v>3598400</v>
      </c>
      <c r="G62" s="49">
        <f>VLOOKUP($A62,'Data shares'!$C:$FB,99)</f>
        <v>3494900</v>
      </c>
      <c r="H62" s="50">
        <f t="shared" si="1"/>
        <v>2.9614581246959855</v>
      </c>
      <c r="I62" s="49">
        <f>VLOOKUP($A62,'Data shares'!$C:$FB,66)</f>
        <v>1936500</v>
      </c>
      <c r="J62" s="49">
        <f>VLOOKUP($A62,'Data shares'!$C:$FB,67)</f>
        <v>1332200</v>
      </c>
      <c r="K62" s="50">
        <f t="shared" si="2"/>
        <v>31.205783630260779</v>
      </c>
      <c r="L62" s="50">
        <f>VLOOKUP($A62,'Data shares'!$C:$FB,118)</f>
        <v>0.67</v>
      </c>
      <c r="M62" s="50">
        <f>VLOOKUP($A62,'Data shares'!$C:$FB,119)</f>
        <v>0.65</v>
      </c>
      <c r="N62" s="50">
        <f>VLOOKUP($A62,'Data shares'!$C:$FB,121)*100</f>
        <v>3.08</v>
      </c>
      <c r="O62" s="50">
        <f>VLOOKUP($A62,'Data shares'!$C:$FB,124)</f>
        <v>0.45</v>
      </c>
      <c r="P62" s="50">
        <f>VLOOKUP($A62,'Data shares'!$C:$FB,125)</f>
        <v>0.44</v>
      </c>
      <c r="Q62" s="50">
        <f>VLOOKUP($A62,'Data shares'!$C:$FB,127)*100</f>
        <v>2.27</v>
      </c>
    </row>
    <row r="63" spans="1:17" x14ac:dyDescent="0.25">
      <c r="A63" s="97" t="str">
        <f>'Data Vlaue (Cr)'!C58</f>
        <v>DIXON</v>
      </c>
      <c r="B63" s="140">
        <f>VLOOKUP($A63,'Data shares'!$C:$FB,7)</f>
        <v>11299</v>
      </c>
      <c r="C63" s="140">
        <f>VLOOKUP($A63,'Data shares'!$C:$FB,3)</f>
        <v>11360</v>
      </c>
      <c r="D63" s="140">
        <f>VLOOKUP($A63,'Data shares'!$C:$FB,4)</f>
        <v>11277</v>
      </c>
      <c r="E63" s="50">
        <f t="shared" si="0"/>
        <v>0.73601135053649025</v>
      </c>
      <c r="F63" s="49">
        <f>VLOOKUP($A63,'Data shares'!$C:$FB,98)</f>
        <v>5347500</v>
      </c>
      <c r="G63" s="49">
        <f>VLOOKUP($A63,'Data shares'!$C:$FB,99)</f>
        <v>5155700</v>
      </c>
      <c r="H63" s="50">
        <f t="shared" si="1"/>
        <v>3.72015439222608</v>
      </c>
      <c r="I63" s="49">
        <f>VLOOKUP($A63,'Data shares'!$C:$FB,66)</f>
        <v>2038300</v>
      </c>
      <c r="J63" s="49">
        <f>VLOOKUP($A63,'Data shares'!$C:$FB,67)</f>
        <v>3002950</v>
      </c>
      <c r="K63" s="50">
        <f t="shared" si="2"/>
        <v>-47.326203208556151</v>
      </c>
      <c r="L63" s="50">
        <f>VLOOKUP($A63,'Data shares'!$C:$FB,118)</f>
        <v>0.86</v>
      </c>
      <c r="M63" s="50">
        <f>VLOOKUP($A63,'Data shares'!$C:$FB,119)</f>
        <v>0.92</v>
      </c>
      <c r="N63" s="50">
        <f>VLOOKUP($A63,'Data shares'!$C:$FB,121)*100</f>
        <v>-6.52</v>
      </c>
      <c r="O63" s="50">
        <f>VLOOKUP($A63,'Data shares'!$C:$FB,124)</f>
        <v>0.44</v>
      </c>
      <c r="P63" s="50">
        <f>VLOOKUP($A63,'Data shares'!$C:$FB,125)</f>
        <v>0.52</v>
      </c>
      <c r="Q63" s="50">
        <f>VLOOKUP($A63,'Data shares'!$C:$FB,127)*100</f>
        <v>-15.379999999999999</v>
      </c>
    </row>
    <row r="64" spans="1:17" x14ac:dyDescent="0.25">
      <c r="A64" s="97" t="str">
        <f>'Data Vlaue (Cr)'!C59</f>
        <v>DLF</v>
      </c>
      <c r="B64" s="140">
        <f>VLOOKUP($A64,'Data shares'!$C:$FB,7)</f>
        <v>609.6</v>
      </c>
      <c r="C64" s="140">
        <f>VLOOKUP($A64,'Data shares'!$C:$FB,3)</f>
        <v>614</v>
      </c>
      <c r="D64" s="140">
        <f>VLOOKUP($A64,'Data shares'!$C:$FB,4)</f>
        <v>599.1</v>
      </c>
      <c r="E64" s="50">
        <f t="shared" si="0"/>
        <v>2.4870639292271703</v>
      </c>
      <c r="F64" s="49">
        <f>VLOOKUP($A64,'Data shares'!$C:$FB,98)</f>
        <v>59838075</v>
      </c>
      <c r="G64" s="49">
        <f>VLOOKUP($A64,'Data shares'!$C:$FB,99)</f>
        <v>59710250</v>
      </c>
      <c r="H64" s="50">
        <f t="shared" si="1"/>
        <v>0.21407547280408307</v>
      </c>
      <c r="I64" s="49">
        <f>VLOOKUP($A64,'Data shares'!$C:$FB,66)</f>
        <v>20649750</v>
      </c>
      <c r="J64" s="49">
        <f>VLOOKUP($A64,'Data shares'!$C:$FB,67)</f>
        <v>19297575</v>
      </c>
      <c r="K64" s="50">
        <f t="shared" si="2"/>
        <v>6.5481422293248102</v>
      </c>
      <c r="L64" s="50">
        <f>VLOOKUP($A64,'Data shares'!$C:$FB,118)</f>
        <v>0.73</v>
      </c>
      <c r="M64" s="50">
        <f>VLOOKUP($A64,'Data shares'!$C:$FB,119)</f>
        <v>0.72</v>
      </c>
      <c r="N64" s="50">
        <f>VLOOKUP($A64,'Data shares'!$C:$FB,121)*100</f>
        <v>1.39</v>
      </c>
      <c r="O64" s="50">
        <f>VLOOKUP($A64,'Data shares'!$C:$FB,124)</f>
        <v>0.43</v>
      </c>
      <c r="P64" s="50">
        <f>VLOOKUP($A64,'Data shares'!$C:$FB,125)</f>
        <v>0.46</v>
      </c>
      <c r="Q64" s="50">
        <f>VLOOKUP($A64,'Data shares'!$C:$FB,127)*100</f>
        <v>-6.52</v>
      </c>
    </row>
    <row r="65" spans="1:17" x14ac:dyDescent="0.25">
      <c r="A65" s="97" t="str">
        <f>'Data Vlaue (Cr)'!C60</f>
        <v>DMART</v>
      </c>
      <c r="B65" s="140">
        <f>VLOOKUP($A65,'Data shares'!$C:$FB,7)</f>
        <v>4432.2</v>
      </c>
      <c r="C65" s="140">
        <f>VLOOKUP($A65,'Data shares'!$C:$FB,3)</f>
        <v>4432.6000000000004</v>
      </c>
      <c r="D65" s="140">
        <f>VLOOKUP($A65,'Data shares'!$C:$FB,4)</f>
        <v>4370</v>
      </c>
      <c r="E65" s="50">
        <f t="shared" si="0"/>
        <v>1.4324942791762096</v>
      </c>
      <c r="F65" s="49">
        <f>VLOOKUP($A65,'Data shares'!$C:$FB,98)</f>
        <v>6469200</v>
      </c>
      <c r="G65" s="49">
        <f>VLOOKUP($A65,'Data shares'!$C:$FB,99)</f>
        <v>6770700</v>
      </c>
      <c r="H65" s="50">
        <f t="shared" si="1"/>
        <v>-4.4530107669812571</v>
      </c>
      <c r="I65" s="49">
        <f>VLOOKUP($A65,'Data shares'!$C:$FB,66)</f>
        <v>4987650</v>
      </c>
      <c r="J65" s="49">
        <f>VLOOKUP($A65,'Data shares'!$C:$FB,67)</f>
        <v>5492100</v>
      </c>
      <c r="K65" s="50">
        <f t="shared" si="2"/>
        <v>-10.113981534389943</v>
      </c>
      <c r="L65" s="50">
        <f>VLOOKUP($A65,'Data shares'!$C:$FB,118)</f>
        <v>0.53</v>
      </c>
      <c r="M65" s="50">
        <f>VLOOKUP($A65,'Data shares'!$C:$FB,119)</f>
        <v>0.45</v>
      </c>
      <c r="N65" s="50">
        <f>VLOOKUP($A65,'Data shares'!$C:$FB,121)*100</f>
        <v>17.78</v>
      </c>
      <c r="O65" s="50">
        <f>VLOOKUP($A65,'Data shares'!$C:$FB,124)</f>
        <v>0.37</v>
      </c>
      <c r="P65" s="50">
        <f>VLOOKUP($A65,'Data shares'!$C:$FB,125)</f>
        <v>0.42</v>
      </c>
      <c r="Q65" s="50">
        <f>VLOOKUP($A65,'Data shares'!$C:$FB,127)*100</f>
        <v>-11.899999999999999</v>
      </c>
    </row>
    <row r="66" spans="1:17" x14ac:dyDescent="0.25">
      <c r="A66" s="97" t="str">
        <f>'Data Vlaue (Cr)'!C61</f>
        <v>DRREDDY</v>
      </c>
      <c r="B66" s="140">
        <f>VLOOKUP($A66,'Data shares'!$C:$FB,7)</f>
        <v>1311</v>
      </c>
      <c r="C66" s="140">
        <f>VLOOKUP($A66,'Data shares'!$C:$FB,3)</f>
        <v>1305.5</v>
      </c>
      <c r="D66" s="140">
        <f>VLOOKUP($A66,'Data shares'!$C:$FB,4)</f>
        <v>1268.5999999999999</v>
      </c>
      <c r="E66" s="50">
        <f t="shared" si="0"/>
        <v>2.9087182721109959</v>
      </c>
      <c r="F66" s="49">
        <f>VLOOKUP($A66,'Data shares'!$C:$FB,98)</f>
        <v>33488750</v>
      </c>
      <c r="G66" s="49">
        <f>VLOOKUP($A66,'Data shares'!$C:$FB,99)</f>
        <v>30996875</v>
      </c>
      <c r="H66" s="50">
        <f t="shared" si="1"/>
        <v>8.0391168464562952</v>
      </c>
      <c r="I66" s="49">
        <f>VLOOKUP($A66,'Data shares'!$C:$FB,66)</f>
        <v>38280625</v>
      </c>
      <c r="J66" s="49">
        <f>VLOOKUP($A66,'Data shares'!$C:$FB,67)</f>
        <v>14960000</v>
      </c>
      <c r="K66" s="50">
        <f t="shared" si="2"/>
        <v>60.920178288625117</v>
      </c>
      <c r="L66" s="50">
        <f>VLOOKUP($A66,'Data shares'!$C:$FB,118)</f>
        <v>0.52</v>
      </c>
      <c r="M66" s="50">
        <f>VLOOKUP($A66,'Data shares'!$C:$FB,119)</f>
        <v>0.46</v>
      </c>
      <c r="N66" s="50">
        <f>VLOOKUP($A66,'Data shares'!$C:$FB,121)*100</f>
        <v>13.04</v>
      </c>
      <c r="O66" s="50">
        <f>VLOOKUP($A66,'Data shares'!$C:$FB,124)</f>
        <v>0.4</v>
      </c>
      <c r="P66" s="50">
        <f>VLOOKUP($A66,'Data shares'!$C:$FB,125)</f>
        <v>0.45</v>
      </c>
      <c r="Q66" s="50">
        <f>VLOOKUP($A66,'Data shares'!$C:$FB,127)*100</f>
        <v>-11.110000000000001</v>
      </c>
    </row>
    <row r="67" spans="1:17" x14ac:dyDescent="0.25">
      <c r="A67" s="97" t="str">
        <f>'Data Vlaue (Cr)'!C62</f>
        <v>EICHERMOT</v>
      </c>
      <c r="B67" s="140">
        <f>VLOOKUP($A67,'Data shares'!$C:$FB,7)</f>
        <v>7310.5</v>
      </c>
      <c r="C67" s="140">
        <f>VLOOKUP($A67,'Data shares'!$C:$FB,3)</f>
        <v>7349.5</v>
      </c>
      <c r="D67" s="140">
        <f>VLOOKUP($A67,'Data shares'!$C:$FB,4)</f>
        <v>7317.5</v>
      </c>
      <c r="E67" s="50">
        <f t="shared" si="0"/>
        <v>0.43730782371028354</v>
      </c>
      <c r="F67" s="49">
        <f>VLOOKUP($A67,'Data shares'!$C:$FB,98)</f>
        <v>5374100</v>
      </c>
      <c r="G67" s="49">
        <f>VLOOKUP($A67,'Data shares'!$C:$FB,99)</f>
        <v>5466500</v>
      </c>
      <c r="H67" s="50">
        <f t="shared" si="1"/>
        <v>-1.6902954358364586</v>
      </c>
      <c r="I67" s="49">
        <f>VLOOKUP($A67,'Data shares'!$C:$FB,66)</f>
        <v>2771200</v>
      </c>
      <c r="J67" s="49">
        <f>VLOOKUP($A67,'Data shares'!$C:$FB,67)</f>
        <v>1992400</v>
      </c>
      <c r="K67" s="50">
        <f t="shared" si="2"/>
        <v>28.103348729792149</v>
      </c>
      <c r="L67" s="50">
        <f>VLOOKUP($A67,'Data shares'!$C:$FB,118)</f>
        <v>0.76</v>
      </c>
      <c r="M67" s="50">
        <f>VLOOKUP($A67,'Data shares'!$C:$FB,119)</f>
        <v>0.82</v>
      </c>
      <c r="N67" s="50">
        <f>VLOOKUP($A67,'Data shares'!$C:$FB,121)*100</f>
        <v>-7.32</v>
      </c>
      <c r="O67" s="50">
        <f>VLOOKUP($A67,'Data shares'!$C:$FB,124)</f>
        <v>0.51</v>
      </c>
      <c r="P67" s="50">
        <f>VLOOKUP($A67,'Data shares'!$C:$FB,125)</f>
        <v>0.56000000000000005</v>
      </c>
      <c r="Q67" s="50">
        <f>VLOOKUP($A67,'Data shares'!$C:$FB,127)*100</f>
        <v>-8.93</v>
      </c>
    </row>
    <row r="68" spans="1:17" x14ac:dyDescent="0.25">
      <c r="A68" s="97" t="str">
        <f>'Data Vlaue (Cr)'!C63</f>
        <v>ETERNAL</v>
      </c>
      <c r="B68" s="140">
        <f>VLOOKUP($A68,'Data shares'!$C:$FB,7)</f>
        <v>256.05</v>
      </c>
      <c r="C68" s="140">
        <f>VLOOKUP($A68,'Data shares'!$C:$FB,3)</f>
        <v>257.83</v>
      </c>
      <c r="D68" s="140">
        <f>VLOOKUP($A68,'Data shares'!$C:$FB,4)</f>
        <v>249.94</v>
      </c>
      <c r="E68" s="50">
        <f t="shared" si="0"/>
        <v>3.1567576218292337</v>
      </c>
      <c r="F68" s="49">
        <f>VLOOKUP($A68,'Data shares'!$C:$FB,98)</f>
        <v>351317025</v>
      </c>
      <c r="G68" s="49">
        <f>VLOOKUP($A68,'Data shares'!$C:$FB,99)</f>
        <v>355669900</v>
      </c>
      <c r="H68" s="50">
        <f t="shared" si="1"/>
        <v>-1.2238525104317233</v>
      </c>
      <c r="I68" s="49">
        <f>VLOOKUP($A68,'Data shares'!$C:$FB,66)</f>
        <v>169257725</v>
      </c>
      <c r="J68" s="49">
        <f>VLOOKUP($A68,'Data shares'!$C:$FB,67)</f>
        <v>115095350</v>
      </c>
      <c r="K68" s="50">
        <f t="shared" si="2"/>
        <v>31.999942690946604</v>
      </c>
      <c r="L68" s="50">
        <f>VLOOKUP($A68,'Data shares'!$C:$FB,118)</f>
        <v>0.56999999999999995</v>
      </c>
      <c r="M68" s="50">
        <f>VLOOKUP($A68,'Data shares'!$C:$FB,119)</f>
        <v>0.55000000000000004</v>
      </c>
      <c r="N68" s="50">
        <f>VLOOKUP($A68,'Data shares'!$C:$FB,121)*100</f>
        <v>3.64</v>
      </c>
      <c r="O68" s="50">
        <f>VLOOKUP($A68,'Data shares'!$C:$FB,124)</f>
        <v>0.59</v>
      </c>
      <c r="P68" s="50">
        <f>VLOOKUP($A68,'Data shares'!$C:$FB,125)</f>
        <v>0.59</v>
      </c>
      <c r="Q68" s="50">
        <f>VLOOKUP($A68,'Data shares'!$C:$FB,127)*100</f>
        <v>0</v>
      </c>
    </row>
    <row r="69" spans="1:17" x14ac:dyDescent="0.25">
      <c r="A69" s="97" t="str">
        <f>'Data Vlaue (Cr)'!C64</f>
        <v>EXIDEIND</v>
      </c>
      <c r="B69" s="140">
        <f>VLOOKUP($A69,'Data shares'!$C:$FB,7)</f>
        <v>351.7</v>
      </c>
      <c r="C69" s="140">
        <f>VLOOKUP($A69,'Data shares'!$C:$FB,3)</f>
        <v>353.3</v>
      </c>
      <c r="D69" s="140">
        <f>VLOOKUP($A69,'Data shares'!$C:$FB,4)</f>
        <v>362.6</v>
      </c>
      <c r="E69" s="50">
        <f t="shared" si="0"/>
        <v>-2.5648097076668535</v>
      </c>
      <c r="F69" s="49">
        <f>VLOOKUP($A69,'Data shares'!$C:$FB,98)</f>
        <v>55035000</v>
      </c>
      <c r="G69" s="49">
        <f>VLOOKUP($A69,'Data shares'!$C:$FB,99)</f>
        <v>52246800</v>
      </c>
      <c r="H69" s="50">
        <f t="shared" si="1"/>
        <v>5.336594777096396</v>
      </c>
      <c r="I69" s="49">
        <f>VLOOKUP($A69,'Data shares'!$C:$FB,66)</f>
        <v>96818400</v>
      </c>
      <c r="J69" s="49">
        <f>VLOOKUP($A69,'Data shares'!$C:$FB,67)</f>
        <v>46773000</v>
      </c>
      <c r="K69" s="50">
        <f t="shared" si="2"/>
        <v>51.689968022607268</v>
      </c>
      <c r="L69" s="50">
        <f>VLOOKUP($A69,'Data shares'!$C:$FB,118)</f>
        <v>0.61</v>
      </c>
      <c r="M69" s="50">
        <f>VLOOKUP($A69,'Data shares'!$C:$FB,119)</f>
        <v>0.57999999999999996</v>
      </c>
      <c r="N69" s="50">
        <f>VLOOKUP($A69,'Data shares'!$C:$FB,121)*100</f>
        <v>5.17</v>
      </c>
      <c r="O69" s="50">
        <f>VLOOKUP($A69,'Data shares'!$C:$FB,124)</f>
        <v>0.65</v>
      </c>
      <c r="P69" s="50">
        <f>VLOOKUP($A69,'Data shares'!$C:$FB,125)</f>
        <v>0.36</v>
      </c>
      <c r="Q69" s="50">
        <f>VLOOKUP($A69,'Data shares'!$C:$FB,127)*100</f>
        <v>80.56</v>
      </c>
    </row>
    <row r="70" spans="1:17" x14ac:dyDescent="0.25">
      <c r="A70" s="97" t="str">
        <f>'Data Vlaue (Cr)'!C65</f>
        <v>FEDERALBNK</v>
      </c>
      <c r="B70" s="140">
        <f>VLOOKUP($A70,'Data shares'!$C:$FB,7)</f>
        <v>293</v>
      </c>
      <c r="C70" s="140">
        <f>VLOOKUP($A70,'Data shares'!$C:$FB,3)</f>
        <v>295</v>
      </c>
      <c r="D70" s="140">
        <f>VLOOKUP($A70,'Data shares'!$C:$FB,4)</f>
        <v>293.7</v>
      </c>
      <c r="E70" s="50">
        <f t="shared" si="0"/>
        <v>0.44262853251617684</v>
      </c>
      <c r="F70" s="49">
        <f>VLOOKUP($A70,'Data shares'!$C:$FB,98)</f>
        <v>140620000</v>
      </c>
      <c r="G70" s="49">
        <f>VLOOKUP($A70,'Data shares'!$C:$FB,99)</f>
        <v>137990000</v>
      </c>
      <c r="H70" s="50">
        <f t="shared" si="1"/>
        <v>1.9059352126965721</v>
      </c>
      <c r="I70" s="49">
        <f>VLOOKUP($A70,'Data shares'!$C:$FB,66)</f>
        <v>77022500</v>
      </c>
      <c r="J70" s="49">
        <f>VLOOKUP($A70,'Data shares'!$C:$FB,67)</f>
        <v>80585000</v>
      </c>
      <c r="K70" s="50">
        <f t="shared" si="2"/>
        <v>-4.6252718361517742</v>
      </c>
      <c r="L70" s="50">
        <f>VLOOKUP($A70,'Data shares'!$C:$FB,118)</f>
        <v>0.56999999999999995</v>
      </c>
      <c r="M70" s="50">
        <f>VLOOKUP($A70,'Data shares'!$C:$FB,119)</f>
        <v>0.56999999999999995</v>
      </c>
      <c r="N70" s="50">
        <f>VLOOKUP($A70,'Data shares'!$C:$FB,121)*100</f>
        <v>0</v>
      </c>
      <c r="O70" s="50">
        <f>VLOOKUP($A70,'Data shares'!$C:$FB,124)</f>
        <v>0.47</v>
      </c>
      <c r="P70" s="50">
        <f>VLOOKUP($A70,'Data shares'!$C:$FB,125)</f>
        <v>0.43</v>
      </c>
      <c r="Q70" s="50">
        <f>VLOOKUP($A70,'Data shares'!$C:$FB,127)*100</f>
        <v>9.3000000000000007</v>
      </c>
    </row>
    <row r="71" spans="1:17" x14ac:dyDescent="0.25">
      <c r="A71" s="97" t="str">
        <f>'Data Vlaue (Cr)'!C66</f>
        <v>FINNIFTY</v>
      </c>
      <c r="B71" s="140">
        <f>VLOOKUP($A71,'Data shares'!$C:$FB,7)</f>
        <v>26392.75</v>
      </c>
      <c r="C71" s="140">
        <f>VLOOKUP($A71,'Data shares'!$C:$FB,3)</f>
        <v>26552.7</v>
      </c>
      <c r="D71" s="140">
        <f>VLOOKUP($A71,'Data shares'!$C:$FB,4)</f>
        <v>25824.3</v>
      </c>
      <c r="E71" s="50">
        <f t="shared" si="0"/>
        <v>2.8205992030761782</v>
      </c>
      <c r="F71" s="49">
        <f>VLOOKUP($A71,'Data shares'!$C:$FB,98)</f>
        <v>371460</v>
      </c>
      <c r="G71" s="49">
        <f>VLOOKUP($A71,'Data shares'!$C:$FB,99)</f>
        <v>311280</v>
      </c>
      <c r="H71" s="50">
        <f t="shared" si="1"/>
        <v>19.333076329992291</v>
      </c>
      <c r="I71" s="49">
        <f>VLOOKUP($A71,'Data shares'!$C:$FB,66)</f>
        <v>695220</v>
      </c>
      <c r="J71" s="49">
        <f>VLOOKUP($A71,'Data shares'!$C:$FB,67)</f>
        <v>396240</v>
      </c>
      <c r="K71" s="50">
        <f t="shared" si="2"/>
        <v>43.005091913351166</v>
      </c>
      <c r="L71" s="50">
        <f>VLOOKUP($A71,'Data shares'!$C:$FB,118)</f>
        <v>0.79</v>
      </c>
      <c r="M71" s="50">
        <f>VLOOKUP($A71,'Data shares'!$C:$FB,119)</f>
        <v>0.7</v>
      </c>
      <c r="N71" s="50">
        <f>VLOOKUP($A71,'Data shares'!$C:$FB,121)*100</f>
        <v>12.86</v>
      </c>
      <c r="O71" s="50">
        <f>VLOOKUP($A71,'Data shares'!$C:$FB,124)</f>
        <v>0.83</v>
      </c>
      <c r="P71" s="50">
        <f>VLOOKUP($A71,'Data shares'!$C:$FB,125)</f>
        <v>0.59</v>
      </c>
      <c r="Q71" s="50">
        <f>VLOOKUP($A71,'Data shares'!$C:$FB,127)*100</f>
        <v>40.68</v>
      </c>
    </row>
    <row r="72" spans="1:17" x14ac:dyDescent="0.25">
      <c r="A72" s="97" t="str">
        <f>'Data Vlaue (Cr)'!C67</f>
        <v>FORCEMOT</v>
      </c>
      <c r="B72" s="140">
        <f>VLOOKUP($A72,'Data shares'!$C:$FB,7)</f>
        <v>20173</v>
      </c>
      <c r="C72" s="140">
        <f>VLOOKUP($A72,'Data shares'!$C:$FB,3)</f>
        <v>20183</v>
      </c>
      <c r="D72" s="140">
        <f>VLOOKUP($A72,'Data shares'!$C:$FB,4)</f>
        <v>18966</v>
      </c>
      <c r="E72" s="50">
        <f t="shared" ref="E72:E135" si="3">(C72-D72)/D72*100</f>
        <v>6.4167457555625864</v>
      </c>
      <c r="F72" s="49">
        <f>VLOOKUP($A72,'Data shares'!$C:$FB,98)</f>
        <v>519850</v>
      </c>
      <c r="G72" s="49">
        <f>VLOOKUP($A72,'Data shares'!$C:$FB,99)</f>
        <v>506875</v>
      </c>
      <c r="H72" s="50">
        <f t="shared" ref="H72:H135" si="4">(F72-G72)/G72*100</f>
        <v>2.5598027127003697</v>
      </c>
      <c r="I72" s="49">
        <f>VLOOKUP($A72,'Data shares'!$C:$FB,66)</f>
        <v>954875</v>
      </c>
      <c r="J72" s="49">
        <f>VLOOKUP($A72,'Data shares'!$C:$FB,67)</f>
        <v>262750</v>
      </c>
      <c r="K72" s="50">
        <f t="shared" ref="K72:K135" si="5">(I72-J72)/I72*100</f>
        <v>72.483309333682428</v>
      </c>
      <c r="L72" s="50">
        <f>VLOOKUP($A72,'Data shares'!$C:$FB,118)</f>
        <v>0.45</v>
      </c>
      <c r="M72" s="50">
        <f>VLOOKUP($A72,'Data shares'!$C:$FB,119)</f>
        <v>0.34</v>
      </c>
      <c r="N72" s="50">
        <f>VLOOKUP($A72,'Data shares'!$C:$FB,121)*100</f>
        <v>32.35</v>
      </c>
      <c r="O72" s="50">
        <f>VLOOKUP($A72,'Data shares'!$C:$FB,124)</f>
        <v>0.31</v>
      </c>
      <c r="P72" s="50">
        <f>VLOOKUP($A72,'Data shares'!$C:$FB,125)</f>
        <v>0.44</v>
      </c>
      <c r="Q72" s="50">
        <f>VLOOKUP($A72,'Data shares'!$C:$FB,127)*100</f>
        <v>-29.549999999999997</v>
      </c>
    </row>
    <row r="73" spans="1:17" x14ac:dyDescent="0.25">
      <c r="A73" s="97" t="str">
        <f>'Data Vlaue (Cr)'!C68</f>
        <v>FORTIS</v>
      </c>
      <c r="B73" s="140">
        <f>VLOOKUP($A73,'Data shares'!$C:$FB,7)</f>
        <v>956.9</v>
      </c>
      <c r="C73" s="140">
        <f>VLOOKUP($A73,'Data shares'!$C:$FB,3)</f>
        <v>964.25</v>
      </c>
      <c r="D73" s="140">
        <f>VLOOKUP($A73,'Data shares'!$C:$FB,4)</f>
        <v>952.05</v>
      </c>
      <c r="E73" s="50">
        <f t="shared" si="3"/>
        <v>1.2814453022425341</v>
      </c>
      <c r="F73" s="49">
        <f>VLOOKUP($A73,'Data shares'!$C:$FB,98)</f>
        <v>12113250</v>
      </c>
      <c r="G73" s="49">
        <f>VLOOKUP($A73,'Data shares'!$C:$FB,99)</f>
        <v>11905550</v>
      </c>
      <c r="H73" s="50">
        <f t="shared" si="4"/>
        <v>1.7445645098294493</v>
      </c>
      <c r="I73" s="49">
        <f>VLOOKUP($A73,'Data shares'!$C:$FB,66)</f>
        <v>3003900</v>
      </c>
      <c r="J73" s="49">
        <f>VLOOKUP($A73,'Data shares'!$C:$FB,67)</f>
        <v>2311050</v>
      </c>
      <c r="K73" s="50">
        <f t="shared" si="5"/>
        <v>23.065015479876159</v>
      </c>
      <c r="L73" s="50">
        <f>VLOOKUP($A73,'Data shares'!$C:$FB,118)</f>
        <v>0.4</v>
      </c>
      <c r="M73" s="50">
        <f>VLOOKUP($A73,'Data shares'!$C:$FB,119)</f>
        <v>0.5</v>
      </c>
      <c r="N73" s="50">
        <f>VLOOKUP($A73,'Data shares'!$C:$FB,121)*100</f>
        <v>-20</v>
      </c>
      <c r="O73" s="50">
        <f>VLOOKUP($A73,'Data shares'!$C:$FB,124)</f>
        <v>0.31</v>
      </c>
      <c r="P73" s="50">
        <f>VLOOKUP($A73,'Data shares'!$C:$FB,125)</f>
        <v>0.34</v>
      </c>
      <c r="Q73" s="50">
        <f>VLOOKUP($A73,'Data shares'!$C:$FB,127)*100</f>
        <v>-8.82</v>
      </c>
    </row>
    <row r="74" spans="1:17" x14ac:dyDescent="0.25">
      <c r="A74" s="97" t="str">
        <f>'Data Vlaue (Cr)'!C69</f>
        <v>GAIL</v>
      </c>
      <c r="B74" s="140">
        <f>VLOOKUP($A74,'Data shares'!$C:$FB,7)</f>
        <v>165.68</v>
      </c>
      <c r="C74" s="140">
        <f>VLOOKUP($A74,'Data shares'!$C:$FB,3)</f>
        <v>166.36</v>
      </c>
      <c r="D74" s="140">
        <f>VLOOKUP($A74,'Data shares'!$C:$FB,4)</f>
        <v>164.58</v>
      </c>
      <c r="E74" s="50">
        <f t="shared" si="3"/>
        <v>1.0815408919674327</v>
      </c>
      <c r="F74" s="49">
        <f>VLOOKUP($A74,'Data shares'!$C:$FB,98)</f>
        <v>113460850</v>
      </c>
      <c r="G74" s="49">
        <f>VLOOKUP($A74,'Data shares'!$C:$FB,99)</f>
        <v>110150100</v>
      </c>
      <c r="H74" s="50">
        <f t="shared" si="4"/>
        <v>3.0056713520913734</v>
      </c>
      <c r="I74" s="49">
        <f>VLOOKUP($A74,'Data shares'!$C:$FB,66)</f>
        <v>24428250</v>
      </c>
      <c r="J74" s="49">
        <f>VLOOKUP($A74,'Data shares'!$C:$FB,67)</f>
        <v>27527850</v>
      </c>
      <c r="K74" s="50">
        <f t="shared" si="5"/>
        <v>-12.688588007736945</v>
      </c>
      <c r="L74" s="50">
        <f>VLOOKUP($A74,'Data shares'!$C:$FB,118)</f>
        <v>0.95</v>
      </c>
      <c r="M74" s="50">
        <f>VLOOKUP($A74,'Data shares'!$C:$FB,119)</f>
        <v>1.03</v>
      </c>
      <c r="N74" s="50">
        <f>VLOOKUP($A74,'Data shares'!$C:$FB,121)*100</f>
        <v>-7.7700000000000005</v>
      </c>
      <c r="O74" s="50">
        <f>VLOOKUP($A74,'Data shares'!$C:$FB,124)</f>
        <v>0.48</v>
      </c>
      <c r="P74" s="50">
        <f>VLOOKUP($A74,'Data shares'!$C:$FB,125)</f>
        <v>0.57999999999999996</v>
      </c>
      <c r="Q74" s="50">
        <f>VLOOKUP($A74,'Data shares'!$C:$FB,127)*100</f>
        <v>-17.239999999999998</v>
      </c>
    </row>
    <row r="75" spans="1:17" x14ac:dyDescent="0.25">
      <c r="A75" s="97" t="str">
        <f>'Data Vlaue (Cr)'!C70</f>
        <v>GLENMARK</v>
      </c>
      <c r="B75" s="140">
        <f>VLOOKUP($A75,'Data shares'!$C:$FB,7)</f>
        <v>2377.6</v>
      </c>
      <c r="C75" s="140">
        <f>VLOOKUP($A75,'Data shares'!$C:$FB,3)</f>
        <v>2390.6</v>
      </c>
      <c r="D75" s="140">
        <f>VLOOKUP($A75,'Data shares'!$C:$FB,4)</f>
        <v>2433.1999999999998</v>
      </c>
      <c r="E75" s="50">
        <f t="shared" si="3"/>
        <v>-1.7507808647049119</v>
      </c>
      <c r="F75" s="49">
        <f>VLOOKUP($A75,'Data shares'!$C:$FB,98)</f>
        <v>14232000</v>
      </c>
      <c r="G75" s="49">
        <f>VLOOKUP($A75,'Data shares'!$C:$FB,99)</f>
        <v>13952625</v>
      </c>
      <c r="H75" s="50">
        <f t="shared" si="4"/>
        <v>2.0023113930174428</v>
      </c>
      <c r="I75" s="49">
        <f>VLOOKUP($A75,'Data shares'!$C:$FB,66)</f>
        <v>8385000</v>
      </c>
      <c r="J75" s="49">
        <f>VLOOKUP($A75,'Data shares'!$C:$FB,67)</f>
        <v>4078500</v>
      </c>
      <c r="K75" s="50">
        <f t="shared" si="5"/>
        <v>51.35957066189625</v>
      </c>
      <c r="L75" s="50">
        <f>VLOOKUP($A75,'Data shares'!$C:$FB,118)</f>
        <v>0.48</v>
      </c>
      <c r="M75" s="50">
        <f>VLOOKUP($A75,'Data shares'!$C:$FB,119)</f>
        <v>0.56999999999999995</v>
      </c>
      <c r="N75" s="50">
        <f>VLOOKUP($A75,'Data shares'!$C:$FB,121)*100</f>
        <v>-15.790000000000001</v>
      </c>
      <c r="O75" s="50">
        <f>VLOOKUP($A75,'Data shares'!$C:$FB,124)</f>
        <v>0.45</v>
      </c>
      <c r="P75" s="50">
        <f>VLOOKUP($A75,'Data shares'!$C:$FB,125)</f>
        <v>0.39</v>
      </c>
      <c r="Q75" s="50">
        <f>VLOOKUP($A75,'Data shares'!$C:$FB,127)*100</f>
        <v>15.379999999999999</v>
      </c>
    </row>
    <row r="76" spans="1:17" x14ac:dyDescent="0.25">
      <c r="A76" s="97" t="str">
        <f>'Data Vlaue (Cr)'!C71</f>
        <v>GMRAIRPORT</v>
      </c>
      <c r="B76" s="140">
        <f>VLOOKUP($A76,'Data shares'!$C:$FB,7)</f>
        <v>99.23</v>
      </c>
      <c r="C76" s="140">
        <f>VLOOKUP($A76,'Data shares'!$C:$FB,3)</f>
        <v>99.97</v>
      </c>
      <c r="D76" s="140">
        <f>VLOOKUP($A76,'Data shares'!$C:$FB,4)</f>
        <v>97.34</v>
      </c>
      <c r="E76" s="50">
        <f t="shared" si="3"/>
        <v>2.7018697349496561</v>
      </c>
      <c r="F76" s="49">
        <f>VLOOKUP($A76,'Data shares'!$C:$FB,98)</f>
        <v>241565175</v>
      </c>
      <c r="G76" s="49">
        <f>VLOOKUP($A76,'Data shares'!$C:$FB,99)</f>
        <v>231751350</v>
      </c>
      <c r="H76" s="50">
        <f t="shared" si="4"/>
        <v>4.2346355263949924</v>
      </c>
      <c r="I76" s="49">
        <f>VLOOKUP($A76,'Data shares'!$C:$FB,66)</f>
        <v>129211875</v>
      </c>
      <c r="J76" s="49">
        <f>VLOOKUP($A76,'Data shares'!$C:$FB,67)</f>
        <v>85918050</v>
      </c>
      <c r="K76" s="50">
        <f t="shared" si="5"/>
        <v>33.506072874493924</v>
      </c>
      <c r="L76" s="50">
        <f>VLOOKUP($A76,'Data shares'!$C:$FB,118)</f>
        <v>0.61</v>
      </c>
      <c r="M76" s="50">
        <f>VLOOKUP($A76,'Data shares'!$C:$FB,119)</f>
        <v>0.57999999999999996</v>
      </c>
      <c r="N76" s="50">
        <f>VLOOKUP($A76,'Data shares'!$C:$FB,121)*100</f>
        <v>5.17</v>
      </c>
      <c r="O76" s="50">
        <f>VLOOKUP($A76,'Data shares'!$C:$FB,124)</f>
        <v>0.34</v>
      </c>
      <c r="P76" s="50">
        <f>VLOOKUP($A76,'Data shares'!$C:$FB,125)</f>
        <v>0.51</v>
      </c>
      <c r="Q76" s="50">
        <f>VLOOKUP($A76,'Data shares'!$C:$FB,127)*100</f>
        <v>-33.33</v>
      </c>
    </row>
    <row r="77" spans="1:17" x14ac:dyDescent="0.25">
      <c r="A77" s="97" t="str">
        <f>'Data Vlaue (Cr)'!C72</f>
        <v>GODFRYPHLP</v>
      </c>
      <c r="B77" s="140">
        <f>VLOOKUP($A77,'Data shares'!$C:$FB,7)</f>
        <v>2308</v>
      </c>
      <c r="C77" s="140">
        <f>VLOOKUP($A77,'Data shares'!$C:$FB,3)</f>
        <v>2322.6</v>
      </c>
      <c r="D77" s="140">
        <f>VLOOKUP($A77,'Data shares'!$C:$FB,4)</f>
        <v>2246.1</v>
      </c>
      <c r="E77" s="50">
        <f t="shared" si="3"/>
        <v>3.4059035661813812</v>
      </c>
      <c r="F77" s="49">
        <f>VLOOKUP($A77,'Data shares'!$C:$FB,98)</f>
        <v>2909775</v>
      </c>
      <c r="G77" s="49">
        <f>VLOOKUP($A77,'Data shares'!$C:$FB,99)</f>
        <v>2523675</v>
      </c>
      <c r="H77" s="50">
        <f t="shared" si="4"/>
        <v>15.299117358613925</v>
      </c>
      <c r="I77" s="49">
        <f>VLOOKUP($A77,'Data shares'!$C:$FB,66)</f>
        <v>3007675</v>
      </c>
      <c r="J77" s="49">
        <f>VLOOKUP($A77,'Data shares'!$C:$FB,67)</f>
        <v>909700</v>
      </c>
      <c r="K77" s="50">
        <f t="shared" si="5"/>
        <v>69.754045899241106</v>
      </c>
      <c r="L77" s="50">
        <f>VLOOKUP($A77,'Data shares'!$C:$FB,118)</f>
        <v>0.59</v>
      </c>
      <c r="M77" s="50">
        <f>VLOOKUP($A77,'Data shares'!$C:$FB,119)</f>
        <v>0.4</v>
      </c>
      <c r="N77" s="50">
        <f>VLOOKUP($A77,'Data shares'!$C:$FB,121)*100</f>
        <v>47.5</v>
      </c>
      <c r="O77" s="50">
        <f>VLOOKUP($A77,'Data shares'!$C:$FB,124)</f>
        <v>0.34</v>
      </c>
      <c r="P77" s="50">
        <f>VLOOKUP($A77,'Data shares'!$C:$FB,125)</f>
        <v>0.26</v>
      </c>
      <c r="Q77" s="50">
        <f>VLOOKUP($A77,'Data shares'!$C:$FB,127)*100</f>
        <v>30.769999999999996</v>
      </c>
    </row>
    <row r="78" spans="1:17" x14ac:dyDescent="0.25">
      <c r="A78" s="97" t="str">
        <f>'Data Vlaue (Cr)'!C73</f>
        <v>GODREJCP</v>
      </c>
      <c r="B78" s="140">
        <f>VLOOKUP($A78,'Data shares'!$C:$FB,7)</f>
        <v>1094.0999999999999</v>
      </c>
      <c r="C78" s="140">
        <f>VLOOKUP($A78,'Data shares'!$C:$FB,3)</f>
        <v>1098.2</v>
      </c>
      <c r="D78" s="140">
        <f>VLOOKUP($A78,'Data shares'!$C:$FB,4)</f>
        <v>1098.5999999999999</v>
      </c>
      <c r="E78" s="50">
        <f t="shared" si="3"/>
        <v>-3.6409976333502965E-2</v>
      </c>
      <c r="F78" s="49">
        <f>VLOOKUP($A78,'Data shares'!$C:$FB,98)</f>
        <v>17814000</v>
      </c>
      <c r="G78" s="49">
        <f>VLOOKUP($A78,'Data shares'!$C:$FB,99)</f>
        <v>15198000</v>
      </c>
      <c r="H78" s="50">
        <f t="shared" si="4"/>
        <v>17.21279115673115</v>
      </c>
      <c r="I78" s="49">
        <f>VLOOKUP($A78,'Data shares'!$C:$FB,66)</f>
        <v>11738500</v>
      </c>
      <c r="J78" s="49">
        <f>VLOOKUP($A78,'Data shares'!$C:$FB,67)</f>
        <v>5420500</v>
      </c>
      <c r="K78" s="50">
        <f t="shared" si="5"/>
        <v>53.822890488563282</v>
      </c>
      <c r="L78" s="50">
        <f>VLOOKUP($A78,'Data shares'!$C:$FB,118)</f>
        <v>0.52</v>
      </c>
      <c r="M78" s="50">
        <f>VLOOKUP($A78,'Data shares'!$C:$FB,119)</f>
        <v>0.72</v>
      </c>
      <c r="N78" s="50">
        <f>VLOOKUP($A78,'Data shares'!$C:$FB,121)*100</f>
        <v>-27.779999999999998</v>
      </c>
      <c r="O78" s="50">
        <f>VLOOKUP($A78,'Data shares'!$C:$FB,124)</f>
        <v>0.4</v>
      </c>
      <c r="P78" s="50">
        <f>VLOOKUP($A78,'Data shares'!$C:$FB,125)</f>
        <v>0.43</v>
      </c>
      <c r="Q78" s="50">
        <f>VLOOKUP($A78,'Data shares'!$C:$FB,127)*100</f>
        <v>-6.98</v>
      </c>
    </row>
    <row r="79" spans="1:17" x14ac:dyDescent="0.25">
      <c r="A79" s="97" t="str">
        <f>'Data Vlaue (Cr)'!C74</f>
        <v>GODREJPROP</v>
      </c>
      <c r="B79" s="140">
        <f>VLOOKUP($A79,'Data shares'!$C:$FB,7)</f>
        <v>1867.2</v>
      </c>
      <c r="C79" s="140">
        <f>VLOOKUP($A79,'Data shares'!$C:$FB,3)</f>
        <v>1878.2</v>
      </c>
      <c r="D79" s="140">
        <f>VLOOKUP($A79,'Data shares'!$C:$FB,4)</f>
        <v>1819.8</v>
      </c>
      <c r="E79" s="50">
        <f t="shared" si="3"/>
        <v>3.2091438619628585</v>
      </c>
      <c r="F79" s="49">
        <f>VLOOKUP($A79,'Data shares'!$C:$FB,98)</f>
        <v>12541275</v>
      </c>
      <c r="G79" s="49">
        <f>VLOOKUP($A79,'Data shares'!$C:$FB,99)</f>
        <v>13346250</v>
      </c>
      <c r="H79" s="50">
        <f t="shared" si="4"/>
        <v>-6.0314695139084007</v>
      </c>
      <c r="I79" s="49">
        <f>VLOOKUP($A79,'Data shares'!$C:$FB,66)</f>
        <v>7759400</v>
      </c>
      <c r="J79" s="49">
        <f>VLOOKUP($A79,'Data shares'!$C:$FB,67)</f>
        <v>19368800</v>
      </c>
      <c r="K79" s="50">
        <f t="shared" si="5"/>
        <v>-149.61723844627161</v>
      </c>
      <c r="L79" s="50">
        <f>VLOOKUP($A79,'Data shares'!$C:$FB,118)</f>
        <v>0.59</v>
      </c>
      <c r="M79" s="50">
        <f>VLOOKUP($A79,'Data shares'!$C:$FB,119)</f>
        <v>0.53</v>
      </c>
      <c r="N79" s="50">
        <f>VLOOKUP($A79,'Data shares'!$C:$FB,121)*100</f>
        <v>11.32</v>
      </c>
      <c r="O79" s="50">
        <f>VLOOKUP($A79,'Data shares'!$C:$FB,124)</f>
        <v>0.38</v>
      </c>
      <c r="P79" s="50">
        <f>VLOOKUP($A79,'Data shares'!$C:$FB,125)</f>
        <v>0.57999999999999996</v>
      </c>
      <c r="Q79" s="50">
        <f>VLOOKUP($A79,'Data shares'!$C:$FB,127)*100</f>
        <v>-34.479999999999997</v>
      </c>
    </row>
    <row r="80" spans="1:17" x14ac:dyDescent="0.25">
      <c r="A80" s="97" t="str">
        <f>'Data Vlaue (Cr)'!C75</f>
        <v>GRASIM</v>
      </c>
      <c r="B80" s="140">
        <f>VLOOKUP($A80,'Data shares'!$C:$FB,7)</f>
        <v>2914.8</v>
      </c>
      <c r="C80" s="140">
        <f>VLOOKUP($A80,'Data shares'!$C:$FB,3)</f>
        <v>2935.4</v>
      </c>
      <c r="D80" s="140">
        <f>VLOOKUP($A80,'Data shares'!$C:$FB,4)</f>
        <v>2879</v>
      </c>
      <c r="E80" s="50">
        <f t="shared" si="3"/>
        <v>1.9590135463702707</v>
      </c>
      <c r="F80" s="49">
        <f>VLOOKUP($A80,'Data shares'!$C:$FB,98)</f>
        <v>16986000</v>
      </c>
      <c r="G80" s="49">
        <f>VLOOKUP($A80,'Data shares'!$C:$FB,99)</f>
        <v>16718000</v>
      </c>
      <c r="H80" s="50">
        <f t="shared" si="4"/>
        <v>1.6030625672927383</v>
      </c>
      <c r="I80" s="49">
        <f>VLOOKUP($A80,'Data shares'!$C:$FB,66)</f>
        <v>3255000</v>
      </c>
      <c r="J80" s="49">
        <f>VLOOKUP($A80,'Data shares'!$C:$FB,67)</f>
        <v>2301500</v>
      </c>
      <c r="K80" s="50">
        <f t="shared" si="5"/>
        <v>29.293394777265746</v>
      </c>
      <c r="L80" s="50">
        <f>VLOOKUP($A80,'Data shares'!$C:$FB,118)</f>
        <v>0.69</v>
      </c>
      <c r="M80" s="50">
        <f>VLOOKUP($A80,'Data shares'!$C:$FB,119)</f>
        <v>0.67</v>
      </c>
      <c r="N80" s="50">
        <f>VLOOKUP($A80,'Data shares'!$C:$FB,121)*100</f>
        <v>2.9899999999999998</v>
      </c>
      <c r="O80" s="50">
        <f>VLOOKUP($A80,'Data shares'!$C:$FB,124)</f>
        <v>0.92</v>
      </c>
      <c r="P80" s="50">
        <f>VLOOKUP($A80,'Data shares'!$C:$FB,125)</f>
        <v>0.43</v>
      </c>
      <c r="Q80" s="50">
        <f>VLOOKUP($A80,'Data shares'!$C:$FB,127)*100</f>
        <v>113.94999999999999</v>
      </c>
    </row>
    <row r="81" spans="1:17" x14ac:dyDescent="0.25">
      <c r="A81" s="97" t="str">
        <f>'Data Vlaue (Cr)'!C76</f>
        <v>HAL</v>
      </c>
      <c r="B81" s="140">
        <f>VLOOKUP($A81,'Data shares'!$C:$FB,7)</f>
        <v>4626.8999999999996</v>
      </c>
      <c r="C81" s="140">
        <f>VLOOKUP($A81,'Data shares'!$C:$FB,3)</f>
        <v>4646.2</v>
      </c>
      <c r="D81" s="140">
        <f>VLOOKUP($A81,'Data shares'!$C:$FB,4)</f>
        <v>4622.1000000000004</v>
      </c>
      <c r="E81" s="50">
        <f t="shared" si="3"/>
        <v>0.52140801800046421</v>
      </c>
      <c r="F81" s="49">
        <f>VLOOKUP($A81,'Data shares'!$C:$FB,98)</f>
        <v>11207550</v>
      </c>
      <c r="G81" s="49">
        <f>VLOOKUP($A81,'Data shares'!$C:$FB,99)</f>
        <v>11306400</v>
      </c>
      <c r="H81" s="50">
        <f t="shared" si="4"/>
        <v>-0.87428359159414137</v>
      </c>
      <c r="I81" s="49">
        <f>VLOOKUP($A81,'Data shares'!$C:$FB,66)</f>
        <v>5676150</v>
      </c>
      <c r="J81" s="49">
        <f>VLOOKUP($A81,'Data shares'!$C:$FB,67)</f>
        <v>12163350</v>
      </c>
      <c r="K81" s="50">
        <f t="shared" si="5"/>
        <v>-114.28873444147882</v>
      </c>
      <c r="L81" s="50">
        <f>VLOOKUP($A81,'Data shares'!$C:$FB,118)</f>
        <v>0.76</v>
      </c>
      <c r="M81" s="50">
        <f>VLOOKUP($A81,'Data shares'!$C:$FB,119)</f>
        <v>0.81</v>
      </c>
      <c r="N81" s="50">
        <f>VLOOKUP($A81,'Data shares'!$C:$FB,121)*100</f>
        <v>-6.17</v>
      </c>
      <c r="O81" s="50">
        <f>VLOOKUP($A81,'Data shares'!$C:$FB,124)</f>
        <v>0.55000000000000004</v>
      </c>
      <c r="P81" s="50">
        <f>VLOOKUP($A81,'Data shares'!$C:$FB,125)</f>
        <v>0.39</v>
      </c>
      <c r="Q81" s="50">
        <f>VLOOKUP($A81,'Data shares'!$C:$FB,127)*100</f>
        <v>41.03</v>
      </c>
    </row>
    <row r="82" spans="1:17" x14ac:dyDescent="0.25">
      <c r="A82" s="97" t="str">
        <f>'Data Vlaue (Cr)'!C77</f>
        <v>HAVELLS</v>
      </c>
      <c r="B82" s="140">
        <f>VLOOKUP($A82,'Data shares'!$C:$FB,7)</f>
        <v>1257.3</v>
      </c>
      <c r="C82" s="140">
        <f>VLOOKUP($A82,'Data shares'!$C:$FB,3)</f>
        <v>1260.0999999999999</v>
      </c>
      <c r="D82" s="140">
        <f>VLOOKUP($A82,'Data shares'!$C:$FB,4)</f>
        <v>1240.2</v>
      </c>
      <c r="E82" s="50">
        <f t="shared" si="3"/>
        <v>1.6045799064666879</v>
      </c>
      <c r="F82" s="49">
        <f>VLOOKUP($A82,'Data shares'!$C:$FB,98)</f>
        <v>18218000</v>
      </c>
      <c r="G82" s="49">
        <f>VLOOKUP($A82,'Data shares'!$C:$FB,99)</f>
        <v>18294500</v>
      </c>
      <c r="H82" s="50">
        <f t="shared" si="4"/>
        <v>-0.41815846292601599</v>
      </c>
      <c r="I82" s="49">
        <f>VLOOKUP($A82,'Data shares'!$C:$FB,66)</f>
        <v>6257000</v>
      </c>
      <c r="J82" s="49">
        <f>VLOOKUP($A82,'Data shares'!$C:$FB,67)</f>
        <v>7618000</v>
      </c>
      <c r="K82" s="50">
        <f t="shared" si="5"/>
        <v>-21.751638165254914</v>
      </c>
      <c r="L82" s="50">
        <f>VLOOKUP($A82,'Data shares'!$C:$FB,118)</f>
        <v>0.42</v>
      </c>
      <c r="M82" s="50">
        <f>VLOOKUP($A82,'Data shares'!$C:$FB,119)</f>
        <v>0.44</v>
      </c>
      <c r="N82" s="50">
        <f>VLOOKUP($A82,'Data shares'!$C:$FB,121)*100</f>
        <v>-4.55</v>
      </c>
      <c r="O82" s="50">
        <f>VLOOKUP($A82,'Data shares'!$C:$FB,124)</f>
        <v>0.4</v>
      </c>
      <c r="P82" s="50">
        <f>VLOOKUP($A82,'Data shares'!$C:$FB,125)</f>
        <v>0.39</v>
      </c>
      <c r="Q82" s="50">
        <f>VLOOKUP($A82,'Data shares'!$C:$FB,127)*100</f>
        <v>2.56</v>
      </c>
    </row>
    <row r="83" spans="1:17" x14ac:dyDescent="0.25">
      <c r="A83" s="97" t="str">
        <f>'Data Vlaue (Cr)'!C78</f>
        <v>HCLTECH</v>
      </c>
      <c r="B83" s="140">
        <f>VLOOKUP($A83,'Data shares'!$C:$FB,7)</f>
        <v>1189.0999999999999</v>
      </c>
      <c r="C83" s="140">
        <f>VLOOKUP($A83,'Data shares'!$C:$FB,3)</f>
        <v>1191.9000000000001</v>
      </c>
      <c r="D83" s="140">
        <f>VLOOKUP($A83,'Data shares'!$C:$FB,4)</f>
        <v>1201.4000000000001</v>
      </c>
      <c r="E83" s="50">
        <f t="shared" si="3"/>
        <v>-0.79074413184617942</v>
      </c>
      <c r="F83" s="49">
        <f>VLOOKUP($A83,'Data shares'!$C:$FB,98)</f>
        <v>81157850</v>
      </c>
      <c r="G83" s="49">
        <f>VLOOKUP($A83,'Data shares'!$C:$FB,99)</f>
        <v>77742150</v>
      </c>
      <c r="H83" s="50">
        <f t="shared" si="4"/>
        <v>4.3936268806561181</v>
      </c>
      <c r="I83" s="49">
        <f>VLOOKUP($A83,'Data shares'!$C:$FB,66)</f>
        <v>28787850</v>
      </c>
      <c r="J83" s="49">
        <f>VLOOKUP($A83,'Data shares'!$C:$FB,67)</f>
        <v>14850500</v>
      </c>
      <c r="K83" s="50">
        <f t="shared" si="5"/>
        <v>48.414001045579994</v>
      </c>
      <c r="L83" s="50">
        <f>VLOOKUP($A83,'Data shares'!$C:$FB,118)</f>
        <v>0.49</v>
      </c>
      <c r="M83" s="50">
        <f>VLOOKUP($A83,'Data shares'!$C:$FB,119)</f>
        <v>0.53</v>
      </c>
      <c r="N83" s="50">
        <f>VLOOKUP($A83,'Data shares'!$C:$FB,121)*100</f>
        <v>-7.55</v>
      </c>
      <c r="O83" s="50">
        <f>VLOOKUP($A83,'Data shares'!$C:$FB,124)</f>
        <v>0.41</v>
      </c>
      <c r="P83" s="50">
        <f>VLOOKUP($A83,'Data shares'!$C:$FB,125)</f>
        <v>0.52</v>
      </c>
      <c r="Q83" s="50">
        <f>VLOOKUP($A83,'Data shares'!$C:$FB,127)*100</f>
        <v>-21.15</v>
      </c>
    </row>
    <row r="84" spans="1:17" x14ac:dyDescent="0.25">
      <c r="A84" s="97" t="str">
        <f>'Data Vlaue (Cr)'!C79</f>
        <v>HDFCAMC</v>
      </c>
      <c r="B84" s="140">
        <f>VLOOKUP($A84,'Data shares'!$C:$FB,7)</f>
        <v>2815.9</v>
      </c>
      <c r="C84" s="140">
        <f>VLOOKUP($A84,'Data shares'!$C:$FB,3)</f>
        <v>2836.1</v>
      </c>
      <c r="D84" s="140">
        <f>VLOOKUP($A84,'Data shares'!$C:$FB,4)</f>
        <v>2821.8</v>
      </c>
      <c r="E84" s="50">
        <f t="shared" si="3"/>
        <v>0.50676872917994631</v>
      </c>
      <c r="F84" s="49">
        <f>VLOOKUP($A84,'Data shares'!$C:$FB,98)</f>
        <v>8079000</v>
      </c>
      <c r="G84" s="49">
        <f>VLOOKUP($A84,'Data shares'!$C:$FB,99)</f>
        <v>7829400</v>
      </c>
      <c r="H84" s="50">
        <f t="shared" si="4"/>
        <v>3.1879837535443332</v>
      </c>
      <c r="I84" s="49">
        <f>VLOOKUP($A84,'Data shares'!$C:$FB,66)</f>
        <v>3755700</v>
      </c>
      <c r="J84" s="49">
        <f>VLOOKUP($A84,'Data shares'!$C:$FB,67)</f>
        <v>6280800</v>
      </c>
      <c r="K84" s="50">
        <f t="shared" si="5"/>
        <v>-67.233804616982184</v>
      </c>
      <c r="L84" s="50">
        <f>VLOOKUP($A84,'Data shares'!$C:$FB,118)</f>
        <v>0.61</v>
      </c>
      <c r="M84" s="50">
        <f>VLOOKUP($A84,'Data shares'!$C:$FB,119)</f>
        <v>0.56000000000000005</v>
      </c>
      <c r="N84" s="50">
        <f>VLOOKUP($A84,'Data shares'!$C:$FB,121)*100</f>
        <v>8.93</v>
      </c>
      <c r="O84" s="50">
        <f>VLOOKUP($A84,'Data shares'!$C:$FB,124)</f>
        <v>0.43</v>
      </c>
      <c r="P84" s="50">
        <f>VLOOKUP($A84,'Data shares'!$C:$FB,125)</f>
        <v>0.25</v>
      </c>
      <c r="Q84" s="50">
        <f>VLOOKUP($A84,'Data shares'!$C:$FB,127)*100</f>
        <v>72</v>
      </c>
    </row>
    <row r="85" spans="1:17" x14ac:dyDescent="0.25">
      <c r="A85" s="97" t="str">
        <f>'Data Vlaue (Cr)'!C80</f>
        <v>HDFCBANK</v>
      </c>
      <c r="B85" s="140">
        <f>VLOOKUP($A85,'Data shares'!$C:$FB,7)</f>
        <v>796.55</v>
      </c>
      <c r="C85" s="140">
        <f>VLOOKUP($A85,'Data shares'!$C:$FB,3)</f>
        <v>801.85</v>
      </c>
      <c r="D85" s="140">
        <f>VLOOKUP($A85,'Data shares'!$C:$FB,4)</f>
        <v>775.45</v>
      </c>
      <c r="E85" s="50">
        <f t="shared" si="3"/>
        <v>3.4044748210716325</v>
      </c>
      <c r="F85" s="49">
        <f>VLOOKUP($A85,'Data shares'!$C:$FB,98)</f>
        <v>454610550</v>
      </c>
      <c r="G85" s="49">
        <f>VLOOKUP($A85,'Data shares'!$C:$FB,99)</f>
        <v>446716400</v>
      </c>
      <c r="H85" s="50">
        <f t="shared" si="4"/>
        <v>1.7671502546134414</v>
      </c>
      <c r="I85" s="49">
        <f>VLOOKUP($A85,'Data shares'!$C:$FB,66)</f>
        <v>237721000</v>
      </c>
      <c r="J85" s="49">
        <f>VLOOKUP($A85,'Data shares'!$C:$FB,67)</f>
        <v>126233800</v>
      </c>
      <c r="K85" s="50">
        <f t="shared" si="5"/>
        <v>46.89833880893989</v>
      </c>
      <c r="L85" s="50">
        <f>VLOOKUP($A85,'Data shares'!$C:$FB,118)</f>
        <v>0.6</v>
      </c>
      <c r="M85" s="50">
        <f>VLOOKUP($A85,'Data shares'!$C:$FB,119)</f>
        <v>0.55000000000000004</v>
      </c>
      <c r="N85" s="50">
        <f>VLOOKUP($A85,'Data shares'!$C:$FB,121)*100</f>
        <v>9.09</v>
      </c>
      <c r="O85" s="50">
        <f>VLOOKUP($A85,'Data shares'!$C:$FB,124)</f>
        <v>0.53</v>
      </c>
      <c r="P85" s="50">
        <f>VLOOKUP($A85,'Data shares'!$C:$FB,125)</f>
        <v>0.44</v>
      </c>
      <c r="Q85" s="50">
        <f>VLOOKUP($A85,'Data shares'!$C:$FB,127)*100</f>
        <v>20.45</v>
      </c>
    </row>
    <row r="86" spans="1:17" x14ac:dyDescent="0.25">
      <c r="A86" s="97" t="str">
        <f>'Data Vlaue (Cr)'!C81</f>
        <v>HDFCLIFE</v>
      </c>
      <c r="B86" s="140">
        <f>VLOOKUP($A86,'Data shares'!$C:$FB,7)</f>
        <v>606.35</v>
      </c>
      <c r="C86" s="140">
        <f>VLOOKUP($A86,'Data shares'!$C:$FB,3)</f>
        <v>610.5</v>
      </c>
      <c r="D86" s="140">
        <f>VLOOKUP($A86,'Data shares'!$C:$FB,4)</f>
        <v>597.45000000000005</v>
      </c>
      <c r="E86" s="50">
        <f t="shared" si="3"/>
        <v>2.1842832036153577</v>
      </c>
      <c r="F86" s="49">
        <f>VLOOKUP($A86,'Data shares'!$C:$FB,98)</f>
        <v>78835900</v>
      </c>
      <c r="G86" s="49">
        <f>VLOOKUP($A86,'Data shares'!$C:$FB,99)</f>
        <v>69405600</v>
      </c>
      <c r="H86" s="50">
        <f t="shared" si="4"/>
        <v>13.587232154177761</v>
      </c>
      <c r="I86" s="49">
        <f>VLOOKUP($A86,'Data shares'!$C:$FB,66)</f>
        <v>89230900</v>
      </c>
      <c r="J86" s="49">
        <f>VLOOKUP($A86,'Data shares'!$C:$FB,67)</f>
        <v>38805800</v>
      </c>
      <c r="K86" s="50">
        <f t="shared" si="5"/>
        <v>56.510805113475257</v>
      </c>
      <c r="L86" s="50">
        <f>VLOOKUP($A86,'Data shares'!$C:$FB,118)</f>
        <v>0.56000000000000005</v>
      </c>
      <c r="M86" s="50">
        <f>VLOOKUP($A86,'Data shares'!$C:$FB,119)</f>
        <v>0.55000000000000004</v>
      </c>
      <c r="N86" s="50">
        <f>VLOOKUP($A86,'Data shares'!$C:$FB,121)*100</f>
        <v>1.82</v>
      </c>
      <c r="O86" s="50">
        <f>VLOOKUP($A86,'Data shares'!$C:$FB,124)</f>
        <v>0.36</v>
      </c>
      <c r="P86" s="50">
        <f>VLOOKUP($A86,'Data shares'!$C:$FB,125)</f>
        <v>0.4</v>
      </c>
      <c r="Q86" s="50">
        <f>VLOOKUP($A86,'Data shares'!$C:$FB,127)*100</f>
        <v>-10</v>
      </c>
    </row>
    <row r="87" spans="1:17" x14ac:dyDescent="0.25">
      <c r="A87" s="97" t="str">
        <f>'Data Vlaue (Cr)'!C82</f>
        <v>HEROMOTOCO</v>
      </c>
      <c r="B87" s="140">
        <f>VLOOKUP($A87,'Data shares'!$C:$FB,7)</f>
        <v>5170</v>
      </c>
      <c r="C87" s="140">
        <f>VLOOKUP($A87,'Data shares'!$C:$FB,3)</f>
        <v>5198</v>
      </c>
      <c r="D87" s="140">
        <f>VLOOKUP($A87,'Data shares'!$C:$FB,4)</f>
        <v>5124</v>
      </c>
      <c r="E87" s="50">
        <f t="shared" si="3"/>
        <v>1.444184231069477</v>
      </c>
      <c r="F87" s="49">
        <f>VLOOKUP($A87,'Data shares'!$C:$FB,98)</f>
        <v>8602050</v>
      </c>
      <c r="G87" s="49">
        <f>VLOOKUP($A87,'Data shares'!$C:$FB,99)</f>
        <v>8089350</v>
      </c>
      <c r="H87" s="50">
        <f t="shared" si="4"/>
        <v>6.3379628771162082</v>
      </c>
      <c r="I87" s="49">
        <f>VLOOKUP($A87,'Data shares'!$C:$FB,66)</f>
        <v>39724050</v>
      </c>
      <c r="J87" s="49">
        <f>VLOOKUP($A87,'Data shares'!$C:$FB,67)</f>
        <v>5914050</v>
      </c>
      <c r="K87" s="50">
        <f t="shared" si="5"/>
        <v>85.112167565995918</v>
      </c>
      <c r="L87" s="50">
        <f>VLOOKUP($A87,'Data shares'!$C:$FB,118)</f>
        <v>0.55000000000000004</v>
      </c>
      <c r="M87" s="50">
        <f>VLOOKUP($A87,'Data shares'!$C:$FB,119)</f>
        <v>0.54</v>
      </c>
      <c r="N87" s="50">
        <f>VLOOKUP($A87,'Data shares'!$C:$FB,121)*100</f>
        <v>1.8499999999999999</v>
      </c>
      <c r="O87" s="50">
        <f>VLOOKUP($A87,'Data shares'!$C:$FB,124)</f>
        <v>0.47</v>
      </c>
      <c r="P87" s="50">
        <f>VLOOKUP($A87,'Data shares'!$C:$FB,125)</f>
        <v>0.35</v>
      </c>
      <c r="Q87" s="50">
        <f>VLOOKUP($A87,'Data shares'!$C:$FB,127)*100</f>
        <v>34.29</v>
      </c>
    </row>
    <row r="88" spans="1:17" x14ac:dyDescent="0.25">
      <c r="A88" s="97" t="str">
        <f>'Data Vlaue (Cr)'!C83</f>
        <v>HINDALCO</v>
      </c>
      <c r="B88" s="140">
        <f>VLOOKUP($A88,'Data shares'!$C:$FB,7)</f>
        <v>1045.8</v>
      </c>
      <c r="C88" s="140">
        <f>VLOOKUP($A88,'Data shares'!$C:$FB,3)</f>
        <v>1052</v>
      </c>
      <c r="D88" s="140">
        <f>VLOOKUP($A88,'Data shares'!$C:$FB,4)</f>
        <v>1057.5</v>
      </c>
      <c r="E88" s="50">
        <f t="shared" si="3"/>
        <v>-0.52009456264775411</v>
      </c>
      <c r="F88" s="140">
        <f>VLOOKUP($A88,'Data shares'!$C:$FB,98)</f>
        <v>46334400</v>
      </c>
      <c r="G88" s="140">
        <f>VLOOKUP($A88,'Data shares'!$C:$FB,99)</f>
        <v>45880800</v>
      </c>
      <c r="H88" s="50">
        <f t="shared" si="4"/>
        <v>0.98864884657634566</v>
      </c>
      <c r="I88" s="49">
        <f>VLOOKUP($A88,'Data shares'!$C:$FB,66)</f>
        <v>22053500</v>
      </c>
      <c r="J88" s="49">
        <f>VLOOKUP($A88,'Data shares'!$C:$FB,67)</f>
        <v>23233000</v>
      </c>
      <c r="K88" s="50">
        <f t="shared" si="5"/>
        <v>-5.3483574035867321</v>
      </c>
      <c r="L88" s="50">
        <f>VLOOKUP($A88,'Data shares'!$C:$FB,118)</f>
        <v>0.72</v>
      </c>
      <c r="M88" s="50">
        <f>VLOOKUP($A88,'Data shares'!$C:$FB,119)</f>
        <v>0.77</v>
      </c>
      <c r="N88" s="50">
        <f>VLOOKUP($A88,'Data shares'!$C:$FB,121)*100</f>
        <v>-6.49</v>
      </c>
      <c r="O88" s="50">
        <f>VLOOKUP($A88,'Data shares'!$C:$FB,124)</f>
        <v>0.56999999999999995</v>
      </c>
      <c r="P88" s="50">
        <f>VLOOKUP($A88,'Data shares'!$C:$FB,125)</f>
        <v>0.59</v>
      </c>
      <c r="Q88" s="50">
        <f>VLOOKUP($A88,'Data shares'!$C:$FB,127)*100</f>
        <v>-3.39</v>
      </c>
    </row>
    <row r="89" spans="1:17" x14ac:dyDescent="0.25">
      <c r="A89" s="97" t="str">
        <f>'Data Vlaue (Cr)'!C84</f>
        <v>HINDPETRO</v>
      </c>
      <c r="B89" s="140">
        <f>VLOOKUP($A89,'Data shares'!$C:$FB,7)</f>
        <v>399.2</v>
      </c>
      <c r="C89" s="140">
        <f>VLOOKUP($A89,'Data shares'!$C:$FB,3)</f>
        <v>401.7</v>
      </c>
      <c r="D89" s="140">
        <f>VLOOKUP($A89,'Data shares'!$C:$FB,4)</f>
        <v>376.25</v>
      </c>
      <c r="E89" s="50">
        <f t="shared" si="3"/>
        <v>6.7641196013289013</v>
      </c>
      <c r="F89" s="49">
        <f>VLOOKUP($A89,'Data shares'!$C:$FB,98)</f>
        <v>65103750</v>
      </c>
      <c r="G89" s="49">
        <f>VLOOKUP($A89,'Data shares'!$C:$FB,99)</f>
        <v>60272100</v>
      </c>
      <c r="H89" s="50">
        <f t="shared" si="4"/>
        <v>8.01639564574654</v>
      </c>
      <c r="I89" s="49">
        <f>VLOOKUP($A89,'Data shares'!$C:$FB,66)</f>
        <v>84541725</v>
      </c>
      <c r="J89" s="49">
        <f>VLOOKUP($A89,'Data shares'!$C:$FB,67)</f>
        <v>25687125</v>
      </c>
      <c r="K89" s="50">
        <f t="shared" si="5"/>
        <v>69.616038707513951</v>
      </c>
      <c r="L89" s="50">
        <f>VLOOKUP($A89,'Data shares'!$C:$FB,118)</f>
        <v>1.06</v>
      </c>
      <c r="M89" s="50">
        <f>VLOOKUP($A89,'Data shares'!$C:$FB,119)</f>
        <v>1.1499999999999999</v>
      </c>
      <c r="N89" s="50">
        <f>VLOOKUP($A89,'Data shares'!$C:$FB,121)*100</f>
        <v>-7.8299999999999992</v>
      </c>
      <c r="O89" s="50">
        <f>VLOOKUP($A89,'Data shares'!$C:$FB,124)</f>
        <v>0.55000000000000004</v>
      </c>
      <c r="P89" s="50">
        <f>VLOOKUP($A89,'Data shares'!$C:$FB,125)</f>
        <v>0.62</v>
      </c>
      <c r="Q89" s="50">
        <f>VLOOKUP($A89,'Data shares'!$C:$FB,127)*100</f>
        <v>-11.29</v>
      </c>
    </row>
    <row r="90" spans="1:17" x14ac:dyDescent="0.25">
      <c r="A90" s="97" t="str">
        <f>'Data Vlaue (Cr)'!C85</f>
        <v>HINDUNILVR</v>
      </c>
      <c r="B90" s="140">
        <f>VLOOKUP($A90,'Data shares'!$C:$FB,7)</f>
        <v>2317.1</v>
      </c>
      <c r="C90" s="140">
        <f>VLOOKUP($A90,'Data shares'!$C:$FB,3)</f>
        <v>2326.8000000000002</v>
      </c>
      <c r="D90" s="140">
        <f>VLOOKUP($A90,'Data shares'!$C:$FB,4)</f>
        <v>2332.1</v>
      </c>
      <c r="E90" s="50">
        <f t="shared" si="3"/>
        <v>-0.22726298186182955</v>
      </c>
      <c r="F90" s="49">
        <f>VLOOKUP($A90,'Data shares'!$C:$FB,98)</f>
        <v>27431700</v>
      </c>
      <c r="G90" s="49">
        <f>VLOOKUP($A90,'Data shares'!$C:$FB,99)</f>
        <v>26849400</v>
      </c>
      <c r="H90" s="50">
        <f t="shared" si="4"/>
        <v>2.1687635477887777</v>
      </c>
      <c r="I90" s="49">
        <f>VLOOKUP($A90,'Data shares'!$C:$FB,66)</f>
        <v>16941000</v>
      </c>
      <c r="J90" s="49">
        <f>VLOOKUP($A90,'Data shares'!$C:$FB,67)</f>
        <v>14694000</v>
      </c>
      <c r="K90" s="50">
        <f t="shared" si="5"/>
        <v>13.263679829998228</v>
      </c>
      <c r="L90" s="50">
        <f>VLOOKUP($A90,'Data shares'!$C:$FB,118)</f>
        <v>0.53</v>
      </c>
      <c r="M90" s="50">
        <f>VLOOKUP($A90,'Data shares'!$C:$FB,119)</f>
        <v>0.56999999999999995</v>
      </c>
      <c r="N90" s="50">
        <f>VLOOKUP($A90,'Data shares'!$C:$FB,121)*100</f>
        <v>-7.02</v>
      </c>
      <c r="O90" s="50">
        <f>VLOOKUP($A90,'Data shares'!$C:$FB,124)</f>
        <v>0.56999999999999995</v>
      </c>
      <c r="P90" s="50">
        <f>VLOOKUP($A90,'Data shares'!$C:$FB,125)</f>
        <v>0.55000000000000004</v>
      </c>
      <c r="Q90" s="50">
        <f>VLOOKUP($A90,'Data shares'!$C:$FB,127)*100</f>
        <v>3.64</v>
      </c>
    </row>
    <row r="91" spans="1:17" x14ac:dyDescent="0.25">
      <c r="A91" s="97" t="str">
        <f>'Data Vlaue (Cr)'!C86</f>
        <v>HINDZINC</v>
      </c>
      <c r="B91" s="140">
        <f>VLOOKUP($A91,'Data shares'!$C:$FB,7)</f>
        <v>634.6</v>
      </c>
      <c r="C91" s="140">
        <f>VLOOKUP($A91,'Data shares'!$C:$FB,3)</f>
        <v>638.95000000000005</v>
      </c>
      <c r="D91" s="140">
        <f>VLOOKUP($A91,'Data shares'!$C:$FB,4)</f>
        <v>614.4</v>
      </c>
      <c r="E91" s="50">
        <f t="shared" si="3"/>
        <v>3.9957682291666781</v>
      </c>
      <c r="F91" s="49">
        <f>VLOOKUP($A91,'Data shares'!$C:$FB,98)</f>
        <v>65478700</v>
      </c>
      <c r="G91" s="49">
        <f>VLOOKUP($A91,'Data shares'!$C:$FB,99)</f>
        <v>61813500</v>
      </c>
      <c r="H91" s="50">
        <f t="shared" si="4"/>
        <v>5.9294490685691637</v>
      </c>
      <c r="I91" s="49">
        <f>VLOOKUP($A91,'Data shares'!$C:$FB,66)</f>
        <v>88663050</v>
      </c>
      <c r="J91" s="49">
        <f>VLOOKUP($A91,'Data shares'!$C:$FB,67)</f>
        <v>30236675</v>
      </c>
      <c r="K91" s="50">
        <f t="shared" si="5"/>
        <v>65.897095802591949</v>
      </c>
      <c r="L91" s="50">
        <f>VLOOKUP($A91,'Data shares'!$C:$FB,118)</f>
        <v>0.73</v>
      </c>
      <c r="M91" s="50">
        <f>VLOOKUP($A91,'Data shares'!$C:$FB,119)</f>
        <v>0.66</v>
      </c>
      <c r="N91" s="50">
        <f>VLOOKUP($A91,'Data shares'!$C:$FB,121)*100</f>
        <v>10.61</v>
      </c>
      <c r="O91" s="50">
        <f>VLOOKUP($A91,'Data shares'!$C:$FB,124)</f>
        <v>0.48</v>
      </c>
      <c r="P91" s="50">
        <f>VLOOKUP($A91,'Data shares'!$C:$FB,125)</f>
        <v>0.69</v>
      </c>
      <c r="Q91" s="50">
        <f>VLOOKUP($A91,'Data shares'!$C:$FB,127)*100</f>
        <v>-30.43</v>
      </c>
    </row>
    <row r="92" spans="1:17" x14ac:dyDescent="0.25">
      <c r="A92" s="97" t="str">
        <f>'Data Vlaue (Cr)'!C87</f>
        <v>HYUNDAI</v>
      </c>
      <c r="B92" s="140">
        <f>VLOOKUP($A92,'Data shares'!$C:$FB,7)</f>
        <v>1839.9</v>
      </c>
      <c r="C92" s="140">
        <f>VLOOKUP($A92,'Data shares'!$C:$FB,3)</f>
        <v>1840.8</v>
      </c>
      <c r="D92" s="140">
        <f>VLOOKUP($A92,'Data shares'!$C:$FB,4)</f>
        <v>1796.7</v>
      </c>
      <c r="E92" s="50">
        <f t="shared" si="3"/>
        <v>2.454499916513603</v>
      </c>
      <c r="F92" s="49">
        <f>VLOOKUP($A92,'Data shares'!$C:$FB,98)</f>
        <v>11698225</v>
      </c>
      <c r="G92" s="49">
        <f>VLOOKUP($A92,'Data shares'!$C:$FB,99)</f>
        <v>11473825</v>
      </c>
      <c r="H92" s="50">
        <f t="shared" si="4"/>
        <v>1.9557558181338828</v>
      </c>
      <c r="I92" s="49">
        <f>VLOOKUP($A92,'Data shares'!$C:$FB,66)</f>
        <v>3699025</v>
      </c>
      <c r="J92" s="49">
        <f>VLOOKUP($A92,'Data shares'!$C:$FB,67)</f>
        <v>4958525</v>
      </c>
      <c r="K92" s="50">
        <f t="shared" si="5"/>
        <v>-34.049513047357074</v>
      </c>
      <c r="L92" s="50">
        <f>VLOOKUP($A92,'Data shares'!$C:$FB,118)</f>
        <v>0.87</v>
      </c>
      <c r="M92" s="50">
        <f>VLOOKUP($A92,'Data shares'!$C:$FB,119)</f>
        <v>0.72</v>
      </c>
      <c r="N92" s="50">
        <f>VLOOKUP($A92,'Data shares'!$C:$FB,121)*100</f>
        <v>20.830000000000002</v>
      </c>
      <c r="O92" s="50">
        <f>VLOOKUP($A92,'Data shares'!$C:$FB,124)</f>
        <v>0.37</v>
      </c>
      <c r="P92" s="50">
        <f>VLOOKUP($A92,'Data shares'!$C:$FB,125)</f>
        <v>0.37</v>
      </c>
      <c r="Q92" s="50">
        <f>VLOOKUP($A92,'Data shares'!$C:$FB,127)*100</f>
        <v>0</v>
      </c>
    </row>
    <row r="93" spans="1:17" x14ac:dyDescent="0.25">
      <c r="A93" s="97" t="str">
        <f>'Data Vlaue (Cr)'!C88</f>
        <v>ICICIBANK</v>
      </c>
      <c r="B93" s="140">
        <f>VLOOKUP($A93,'Data shares'!$C:$FB,7)</f>
        <v>1279.5</v>
      </c>
      <c r="C93" s="140">
        <f>VLOOKUP($A93,'Data shares'!$C:$FB,3)</f>
        <v>1287.5999999999999</v>
      </c>
      <c r="D93" s="140">
        <f>VLOOKUP($A93,'Data shares'!$C:$FB,4)</f>
        <v>1258.5</v>
      </c>
      <c r="E93" s="50">
        <f t="shared" si="3"/>
        <v>2.3122765196662618</v>
      </c>
      <c r="F93" s="49">
        <f>VLOOKUP($A93,'Data shares'!$C:$FB,98)</f>
        <v>208527900</v>
      </c>
      <c r="G93" s="49">
        <f>VLOOKUP($A93,'Data shares'!$C:$FB,99)</f>
        <v>203286300</v>
      </c>
      <c r="H93" s="50">
        <f t="shared" si="4"/>
        <v>2.5784324865964896</v>
      </c>
      <c r="I93" s="49">
        <f>VLOOKUP($A93,'Data shares'!$C:$FB,66)</f>
        <v>103857600</v>
      </c>
      <c r="J93" s="49">
        <f>VLOOKUP($A93,'Data shares'!$C:$FB,67)</f>
        <v>70694400</v>
      </c>
      <c r="K93" s="50">
        <f t="shared" si="5"/>
        <v>31.931413781947587</v>
      </c>
      <c r="L93" s="50">
        <f>VLOOKUP($A93,'Data shares'!$C:$FB,118)</f>
        <v>0.6</v>
      </c>
      <c r="M93" s="50">
        <f>VLOOKUP($A93,'Data shares'!$C:$FB,119)</f>
        <v>0.57999999999999996</v>
      </c>
      <c r="N93" s="50">
        <f>VLOOKUP($A93,'Data shares'!$C:$FB,121)*100</f>
        <v>3.45</v>
      </c>
      <c r="O93" s="50">
        <f>VLOOKUP($A93,'Data shares'!$C:$FB,124)</f>
        <v>0.59</v>
      </c>
      <c r="P93" s="50">
        <f>VLOOKUP($A93,'Data shares'!$C:$FB,125)</f>
        <v>0.55000000000000004</v>
      </c>
      <c r="Q93" s="50">
        <f>VLOOKUP($A93,'Data shares'!$C:$FB,127)*100</f>
        <v>7.2700000000000005</v>
      </c>
    </row>
    <row r="94" spans="1:17" x14ac:dyDescent="0.25">
      <c r="A94" s="97" t="str">
        <f>'Data Vlaue (Cr)'!C89</f>
        <v>ICICIGI</v>
      </c>
      <c r="B94" s="140">
        <f>VLOOKUP($A94,'Data shares'!$C:$FB,7)</f>
        <v>1809.9</v>
      </c>
      <c r="C94" s="140">
        <f>VLOOKUP($A94,'Data shares'!$C:$FB,3)</f>
        <v>1816.5</v>
      </c>
      <c r="D94" s="140">
        <f>VLOOKUP($A94,'Data shares'!$C:$FB,4)</f>
        <v>1780.1</v>
      </c>
      <c r="E94" s="50">
        <f t="shared" si="3"/>
        <v>2.0448289421942638</v>
      </c>
      <c r="F94" s="49">
        <f>VLOOKUP($A94,'Data shares'!$C:$FB,98)</f>
        <v>6413875</v>
      </c>
      <c r="G94" s="49">
        <f>VLOOKUP($A94,'Data shares'!$C:$FB,99)</f>
        <v>6319300</v>
      </c>
      <c r="H94" s="50">
        <f t="shared" si="4"/>
        <v>1.4966056367002676</v>
      </c>
      <c r="I94" s="49">
        <f>VLOOKUP($A94,'Data shares'!$C:$FB,66)</f>
        <v>2764450</v>
      </c>
      <c r="J94" s="49">
        <f>VLOOKUP($A94,'Data shares'!$C:$FB,67)</f>
        <v>1418950</v>
      </c>
      <c r="K94" s="50">
        <f t="shared" si="5"/>
        <v>48.671525981660004</v>
      </c>
      <c r="L94" s="50">
        <f>VLOOKUP($A94,'Data shares'!$C:$FB,118)</f>
        <v>0.46</v>
      </c>
      <c r="M94" s="50">
        <f>VLOOKUP($A94,'Data shares'!$C:$FB,119)</f>
        <v>0.5</v>
      </c>
      <c r="N94" s="50">
        <f>VLOOKUP($A94,'Data shares'!$C:$FB,121)*100</f>
        <v>-8</v>
      </c>
      <c r="O94" s="50">
        <f>VLOOKUP($A94,'Data shares'!$C:$FB,124)</f>
        <v>0.35</v>
      </c>
      <c r="P94" s="50">
        <f>VLOOKUP($A94,'Data shares'!$C:$FB,125)</f>
        <v>0.32</v>
      </c>
      <c r="Q94" s="50">
        <f>VLOOKUP($A94,'Data shares'!$C:$FB,127)*100</f>
        <v>9.370000000000001</v>
      </c>
    </row>
    <row r="95" spans="1:17" x14ac:dyDescent="0.25">
      <c r="A95" s="97" t="str">
        <f>'Data Vlaue (Cr)'!C90</f>
        <v>ICICIPRULI</v>
      </c>
      <c r="B95" s="140">
        <f>VLOOKUP($A95,'Data shares'!$C:$FB,7)</f>
        <v>550.1</v>
      </c>
      <c r="C95" s="140">
        <f>VLOOKUP($A95,'Data shares'!$C:$FB,3)</f>
        <v>552.65</v>
      </c>
      <c r="D95" s="140">
        <f>VLOOKUP($A95,'Data shares'!$C:$FB,4)</f>
        <v>538.85</v>
      </c>
      <c r="E95" s="50">
        <f t="shared" si="3"/>
        <v>2.5610095573907312</v>
      </c>
      <c r="F95" s="49">
        <f>VLOOKUP($A95,'Data shares'!$C:$FB,98)</f>
        <v>28563075</v>
      </c>
      <c r="G95" s="49">
        <f>VLOOKUP($A95,'Data shares'!$C:$FB,99)</f>
        <v>28800800</v>
      </c>
      <c r="H95" s="50">
        <f t="shared" si="4"/>
        <v>-0.82541109969167525</v>
      </c>
      <c r="I95" s="49">
        <f>VLOOKUP($A95,'Data shares'!$C:$FB,66)</f>
        <v>11148100</v>
      </c>
      <c r="J95" s="49">
        <f>VLOOKUP($A95,'Data shares'!$C:$FB,67)</f>
        <v>10406250</v>
      </c>
      <c r="K95" s="50">
        <f t="shared" si="5"/>
        <v>6.6544971788914706</v>
      </c>
      <c r="L95" s="50">
        <f>VLOOKUP($A95,'Data shares'!$C:$FB,118)</f>
        <v>0.84</v>
      </c>
      <c r="M95" s="50">
        <f>VLOOKUP($A95,'Data shares'!$C:$FB,119)</f>
        <v>0.76</v>
      </c>
      <c r="N95" s="50">
        <f>VLOOKUP($A95,'Data shares'!$C:$FB,121)*100</f>
        <v>10.530000000000001</v>
      </c>
      <c r="O95" s="50">
        <f>VLOOKUP($A95,'Data shares'!$C:$FB,124)</f>
        <v>0.67</v>
      </c>
      <c r="P95" s="50">
        <f>VLOOKUP($A95,'Data shares'!$C:$FB,125)</f>
        <v>0.65</v>
      </c>
      <c r="Q95" s="50">
        <f>VLOOKUP($A95,'Data shares'!$C:$FB,127)*100</f>
        <v>3.08</v>
      </c>
    </row>
    <row r="96" spans="1:17" x14ac:dyDescent="0.25">
      <c r="A96" s="97" t="str">
        <f>'Data Vlaue (Cr)'!C91</f>
        <v>IDEA</v>
      </c>
      <c r="B96" s="140">
        <f>VLOOKUP($A96,'Data shares'!$C:$FB,7)</f>
        <v>11.3</v>
      </c>
      <c r="C96" s="140">
        <f>VLOOKUP($A96,'Data shares'!$C:$FB,3)</f>
        <v>11.37</v>
      </c>
      <c r="D96" s="140">
        <f>VLOOKUP($A96,'Data shares'!$C:$FB,4)</f>
        <v>10.84</v>
      </c>
      <c r="E96" s="50">
        <f t="shared" si="3"/>
        <v>4.8892988929889238</v>
      </c>
      <c r="F96" s="49">
        <f>VLOOKUP($A96,'Data shares'!$C:$FB,98)</f>
        <v>9141723975</v>
      </c>
      <c r="G96" s="49">
        <f>VLOOKUP($A96,'Data shares'!$C:$FB,99)</f>
        <v>9253010550</v>
      </c>
      <c r="H96" s="50">
        <f t="shared" si="4"/>
        <v>-1.2027066693444979</v>
      </c>
      <c r="I96" s="49">
        <f>VLOOKUP($A96,'Data shares'!$C:$FB,66)</f>
        <v>4381203075</v>
      </c>
      <c r="J96" s="49">
        <f>VLOOKUP($A96,'Data shares'!$C:$FB,67)</f>
        <v>4721924400</v>
      </c>
      <c r="K96" s="50">
        <f t="shared" si="5"/>
        <v>-7.7768895704520613</v>
      </c>
      <c r="L96" s="50">
        <f>VLOOKUP($A96,'Data shares'!$C:$FB,118)</f>
        <v>0.55000000000000004</v>
      </c>
      <c r="M96" s="50">
        <f>VLOOKUP($A96,'Data shares'!$C:$FB,119)</f>
        <v>0.52</v>
      </c>
      <c r="N96" s="50">
        <f>VLOOKUP($A96,'Data shares'!$C:$FB,121)*100</f>
        <v>5.7700000000000005</v>
      </c>
      <c r="O96" s="50">
        <f>VLOOKUP($A96,'Data shares'!$C:$FB,124)</f>
        <v>0.37</v>
      </c>
      <c r="P96" s="50">
        <f>VLOOKUP($A96,'Data shares'!$C:$FB,125)</f>
        <v>0.3</v>
      </c>
      <c r="Q96" s="50">
        <f>VLOOKUP($A96,'Data shares'!$C:$FB,127)*100</f>
        <v>23.330000000000002</v>
      </c>
    </row>
    <row r="97" spans="1:17" x14ac:dyDescent="0.25">
      <c r="A97" s="97" t="str">
        <f>'Data Vlaue (Cr)'!C92</f>
        <v>IDFCFIRSTB</v>
      </c>
      <c r="B97" s="140">
        <f>VLOOKUP($A97,'Data shares'!$C:$FB,7)</f>
        <v>69.59</v>
      </c>
      <c r="C97" s="140">
        <f>VLOOKUP($A97,'Data shares'!$C:$FB,3)</f>
        <v>70.08</v>
      </c>
      <c r="D97" s="140">
        <f>VLOOKUP($A97,'Data shares'!$C:$FB,4)</f>
        <v>69.13</v>
      </c>
      <c r="E97" s="50">
        <f t="shared" si="3"/>
        <v>1.3742224793866669</v>
      </c>
      <c r="F97" s="49">
        <f>VLOOKUP($A97,'Data shares'!$C:$FB,98)</f>
        <v>612493175</v>
      </c>
      <c r="G97" s="49">
        <f>VLOOKUP($A97,'Data shares'!$C:$FB,99)</f>
        <v>587868050</v>
      </c>
      <c r="H97" s="50">
        <f t="shared" si="4"/>
        <v>4.1888864346344388</v>
      </c>
      <c r="I97" s="49">
        <f>VLOOKUP($A97,'Data shares'!$C:$FB,66)</f>
        <v>257000975</v>
      </c>
      <c r="J97" s="49">
        <f>VLOOKUP($A97,'Data shares'!$C:$FB,67)</f>
        <v>148390725</v>
      </c>
      <c r="K97" s="50">
        <f t="shared" si="5"/>
        <v>42.260637338049008</v>
      </c>
      <c r="L97" s="50">
        <f>VLOOKUP($A97,'Data shares'!$C:$FB,118)</f>
        <v>0.82</v>
      </c>
      <c r="M97" s="50">
        <f>VLOOKUP($A97,'Data shares'!$C:$FB,119)</f>
        <v>0.88</v>
      </c>
      <c r="N97" s="50">
        <f>VLOOKUP($A97,'Data shares'!$C:$FB,121)*100</f>
        <v>-6.8199999999999994</v>
      </c>
      <c r="O97" s="50">
        <f>VLOOKUP($A97,'Data shares'!$C:$FB,124)</f>
        <v>0.62</v>
      </c>
      <c r="P97" s="50">
        <f>VLOOKUP($A97,'Data shares'!$C:$FB,125)</f>
        <v>0.63</v>
      </c>
      <c r="Q97" s="50">
        <f>VLOOKUP($A97,'Data shares'!$C:$FB,127)*100</f>
        <v>-1.59</v>
      </c>
    </row>
    <row r="98" spans="1:17" x14ac:dyDescent="0.25">
      <c r="A98" s="97" t="str">
        <f>'Data Vlaue (Cr)'!C93</f>
        <v>IEX</v>
      </c>
      <c r="B98" s="140">
        <f>VLOOKUP($A98,'Data shares'!$C:$FB,7)</f>
        <v>129.80000000000001</v>
      </c>
      <c r="C98" s="140">
        <f>VLOOKUP($A98,'Data shares'!$C:$FB,3)</f>
        <v>128.72</v>
      </c>
      <c r="D98" s="140">
        <f>VLOOKUP($A98,'Data shares'!$C:$FB,4)</f>
        <v>126.35</v>
      </c>
      <c r="E98" s="50">
        <f t="shared" si="3"/>
        <v>1.8757419865453144</v>
      </c>
      <c r="F98" s="49">
        <f>VLOOKUP($A98,'Data shares'!$C:$FB,98)</f>
        <v>144562200</v>
      </c>
      <c r="G98" s="49">
        <f>VLOOKUP($A98,'Data shares'!$C:$FB,99)</f>
        <v>142461750</v>
      </c>
      <c r="H98" s="50">
        <f t="shared" si="4"/>
        <v>1.4743957588615892</v>
      </c>
      <c r="I98" s="49">
        <f>VLOOKUP($A98,'Data shares'!$C:$FB,66)</f>
        <v>59722500</v>
      </c>
      <c r="J98" s="49">
        <f>VLOOKUP($A98,'Data shares'!$C:$FB,67)</f>
        <v>43751250</v>
      </c>
      <c r="K98" s="50">
        <f t="shared" si="5"/>
        <v>26.742433756122065</v>
      </c>
      <c r="L98" s="50">
        <f>VLOOKUP($A98,'Data shares'!$C:$FB,118)</f>
        <v>0.64</v>
      </c>
      <c r="M98" s="50">
        <f>VLOOKUP($A98,'Data shares'!$C:$FB,119)</f>
        <v>0.6</v>
      </c>
      <c r="N98" s="50">
        <f>VLOOKUP($A98,'Data shares'!$C:$FB,121)*100</f>
        <v>6.67</v>
      </c>
      <c r="O98" s="50">
        <f>VLOOKUP($A98,'Data shares'!$C:$FB,124)</f>
        <v>0.5</v>
      </c>
      <c r="P98" s="50">
        <f>VLOOKUP($A98,'Data shares'!$C:$FB,125)</f>
        <v>0.28999999999999998</v>
      </c>
      <c r="Q98" s="50">
        <f>VLOOKUP($A98,'Data shares'!$C:$FB,127)*100</f>
        <v>72.41</v>
      </c>
    </row>
    <row r="99" spans="1:17" x14ac:dyDescent="0.25">
      <c r="A99" s="97" t="str">
        <f>'Data Vlaue (Cr)'!C94</f>
        <v>INDHOTEL</v>
      </c>
      <c r="B99" s="140">
        <f>VLOOKUP($A99,'Data shares'!$C:$FB,7)</f>
        <v>666.15</v>
      </c>
      <c r="C99" s="140">
        <f>VLOOKUP($A99,'Data shares'!$C:$FB,3)</f>
        <v>669.85</v>
      </c>
      <c r="D99" s="140">
        <f>VLOOKUP($A99,'Data shares'!$C:$FB,4)</f>
        <v>650.29999999999995</v>
      </c>
      <c r="E99" s="50">
        <f t="shared" si="3"/>
        <v>3.0063047824081299</v>
      </c>
      <c r="F99" s="49">
        <f>VLOOKUP($A99,'Data shares'!$C:$FB,98)</f>
        <v>32638000</v>
      </c>
      <c r="G99" s="49">
        <f>VLOOKUP($A99,'Data shares'!$C:$FB,99)</f>
        <v>32219000</v>
      </c>
      <c r="H99" s="50">
        <f t="shared" si="4"/>
        <v>1.3004748750737143</v>
      </c>
      <c r="I99" s="49">
        <f>VLOOKUP($A99,'Data shares'!$C:$FB,66)</f>
        <v>23177000</v>
      </c>
      <c r="J99" s="49">
        <f>VLOOKUP($A99,'Data shares'!$C:$FB,67)</f>
        <v>9283000</v>
      </c>
      <c r="K99" s="50">
        <f t="shared" si="5"/>
        <v>59.947361608491178</v>
      </c>
      <c r="L99" s="50">
        <f>VLOOKUP($A99,'Data shares'!$C:$FB,118)</f>
        <v>0.99</v>
      </c>
      <c r="M99" s="50">
        <f>VLOOKUP($A99,'Data shares'!$C:$FB,119)</f>
        <v>1.07</v>
      </c>
      <c r="N99" s="50">
        <f>VLOOKUP($A99,'Data shares'!$C:$FB,121)*100</f>
        <v>-7.48</v>
      </c>
      <c r="O99" s="50">
        <f>VLOOKUP($A99,'Data shares'!$C:$FB,124)</f>
        <v>0.5</v>
      </c>
      <c r="P99" s="50">
        <f>VLOOKUP($A99,'Data shares'!$C:$FB,125)</f>
        <v>0.59</v>
      </c>
      <c r="Q99" s="50">
        <f>VLOOKUP($A99,'Data shares'!$C:$FB,127)*100</f>
        <v>-15.25</v>
      </c>
    </row>
    <row r="100" spans="1:17" x14ac:dyDescent="0.25">
      <c r="A100" s="97" t="str">
        <f>'Data Vlaue (Cr)'!C95</f>
        <v>INDIANB</v>
      </c>
      <c r="B100" s="140">
        <f>VLOOKUP($A100,'Data shares'!$C:$FB,7)</f>
        <v>866.85</v>
      </c>
      <c r="C100" s="140">
        <f>VLOOKUP($A100,'Data shares'!$C:$FB,3)</f>
        <v>872.95</v>
      </c>
      <c r="D100" s="140">
        <f>VLOOKUP($A100,'Data shares'!$C:$FB,4)</f>
        <v>853.3</v>
      </c>
      <c r="E100" s="50">
        <f t="shared" si="3"/>
        <v>2.3028243290753654</v>
      </c>
      <c r="F100" s="49">
        <f>VLOOKUP($A100,'Data shares'!$C:$FB,98)</f>
        <v>24809000</v>
      </c>
      <c r="G100" s="49">
        <f>VLOOKUP($A100,'Data shares'!$C:$FB,99)</f>
        <v>24473000</v>
      </c>
      <c r="H100" s="50">
        <f t="shared" si="4"/>
        <v>1.3729416091202551</v>
      </c>
      <c r="I100" s="49">
        <f>VLOOKUP($A100,'Data shares'!$C:$FB,66)</f>
        <v>28377000</v>
      </c>
      <c r="J100" s="49">
        <f>VLOOKUP($A100,'Data shares'!$C:$FB,67)</f>
        <v>23127000</v>
      </c>
      <c r="K100" s="50">
        <f t="shared" si="5"/>
        <v>18.500898615075588</v>
      </c>
      <c r="L100" s="50">
        <f>VLOOKUP($A100,'Data shares'!$C:$FB,118)</f>
        <v>0.55000000000000004</v>
      </c>
      <c r="M100" s="50">
        <f>VLOOKUP($A100,'Data shares'!$C:$FB,119)</f>
        <v>0.52</v>
      </c>
      <c r="N100" s="50">
        <f>VLOOKUP($A100,'Data shares'!$C:$FB,121)*100</f>
        <v>5.7700000000000005</v>
      </c>
      <c r="O100" s="50">
        <f>VLOOKUP($A100,'Data shares'!$C:$FB,124)</f>
        <v>0.47</v>
      </c>
      <c r="P100" s="50">
        <f>VLOOKUP($A100,'Data shares'!$C:$FB,125)</f>
        <v>0.45</v>
      </c>
      <c r="Q100" s="50">
        <f>VLOOKUP($A100,'Data shares'!$C:$FB,127)*100</f>
        <v>4.4400000000000004</v>
      </c>
    </row>
    <row r="101" spans="1:17" x14ac:dyDescent="0.25">
      <c r="A101" s="97" t="str">
        <f>'Data Vlaue (Cr)'!C96</f>
        <v>INDIAVIX</v>
      </c>
      <c r="B101" s="140">
        <f>VLOOKUP($A101,'Data shares'!$C:$FB,7)</f>
        <v>16.68</v>
      </c>
      <c r="C101" s="140">
        <f>VLOOKUP($A101,'Data shares'!$C:$FB,3)</f>
        <v>16.68</v>
      </c>
      <c r="D101" s="140">
        <f>VLOOKUP($A101,'Data shares'!$C:$FB,4)</f>
        <v>17.91</v>
      </c>
      <c r="E101" s="50">
        <f t="shared" si="3"/>
        <v>-6.8676716917922969</v>
      </c>
      <c r="F101" s="49">
        <f>VLOOKUP($A101,'Data shares'!$C:$FB,98)</f>
        <v>0</v>
      </c>
      <c r="G101" s="49">
        <f>VLOOKUP($A101,'Data shares'!$C:$FB,99)</f>
        <v>0</v>
      </c>
      <c r="H101" s="50" t="e">
        <f t="shared" si="4"/>
        <v>#DIV/0!</v>
      </c>
      <c r="I101" s="49">
        <f>VLOOKUP($A101,'Data shares'!$C:$FB,66)</f>
        <v>0</v>
      </c>
      <c r="J101" s="49">
        <f>VLOOKUP($A101,'Data shares'!$C:$FB,67)</f>
        <v>0</v>
      </c>
      <c r="K101" s="50" t="e">
        <f t="shared" si="5"/>
        <v>#DIV/0!</v>
      </c>
      <c r="L101" s="50">
        <f>VLOOKUP($A101,'Data shares'!$C:$FB,118)</f>
        <v>0</v>
      </c>
      <c r="M101" s="50">
        <f>VLOOKUP($A101,'Data shares'!$C:$FB,119)</f>
        <v>0</v>
      </c>
      <c r="N101" s="50">
        <f>VLOOKUP($A101,'Data shares'!$C:$FB,121)*100</f>
        <v>0</v>
      </c>
      <c r="O101" s="50">
        <f>VLOOKUP($A101,'Data shares'!$C:$FB,124)</f>
        <v>0</v>
      </c>
      <c r="P101" s="50">
        <f>VLOOKUP($A101,'Data shares'!$C:$FB,125)</f>
        <v>0</v>
      </c>
      <c r="Q101" s="50">
        <f>VLOOKUP($A101,'Data shares'!$C:$FB,127)*100</f>
        <v>0</v>
      </c>
    </row>
    <row r="102" spans="1:17" x14ac:dyDescent="0.25">
      <c r="A102" s="97" t="str">
        <f>'Data Vlaue (Cr)'!C97</f>
        <v>INDIGO</v>
      </c>
      <c r="B102" s="140">
        <f>VLOOKUP($A102,'Data shares'!$C:$FB,7)</f>
        <v>4520.2</v>
      </c>
      <c r="C102" s="140">
        <f>VLOOKUP($A102,'Data shares'!$C:$FB,3)</f>
        <v>4541.8999999999996</v>
      </c>
      <c r="D102" s="140">
        <f>VLOOKUP($A102,'Data shares'!$C:$FB,4)</f>
        <v>4262.7</v>
      </c>
      <c r="E102" s="50">
        <f t="shared" si="3"/>
        <v>6.5498393037276808</v>
      </c>
      <c r="F102" s="49">
        <f>VLOOKUP($A102,'Data shares'!$C:$FB,98)</f>
        <v>14641050</v>
      </c>
      <c r="G102" s="49">
        <f>VLOOKUP($A102,'Data shares'!$C:$FB,99)</f>
        <v>13756950</v>
      </c>
      <c r="H102" s="50">
        <f t="shared" si="4"/>
        <v>6.4265698428794176</v>
      </c>
      <c r="I102" s="49">
        <f>VLOOKUP($A102,'Data shares'!$C:$FB,66)</f>
        <v>23247450</v>
      </c>
      <c r="J102" s="49">
        <f>VLOOKUP($A102,'Data shares'!$C:$FB,67)</f>
        <v>8166150</v>
      </c>
      <c r="K102" s="50">
        <f t="shared" si="5"/>
        <v>64.87292154623411</v>
      </c>
      <c r="L102" s="50">
        <f>VLOOKUP($A102,'Data shares'!$C:$FB,118)</f>
        <v>0.6</v>
      </c>
      <c r="M102" s="50">
        <f>VLOOKUP($A102,'Data shares'!$C:$FB,119)</f>
        <v>0.55000000000000004</v>
      </c>
      <c r="N102" s="50">
        <f>VLOOKUP($A102,'Data shares'!$C:$FB,121)*100</f>
        <v>9.09</v>
      </c>
      <c r="O102" s="50">
        <f>VLOOKUP($A102,'Data shares'!$C:$FB,124)</f>
        <v>0.44</v>
      </c>
      <c r="P102" s="50">
        <f>VLOOKUP($A102,'Data shares'!$C:$FB,125)</f>
        <v>0.69</v>
      </c>
      <c r="Q102" s="50">
        <f>VLOOKUP($A102,'Data shares'!$C:$FB,127)*100</f>
        <v>-36.230000000000004</v>
      </c>
    </row>
    <row r="103" spans="1:17" x14ac:dyDescent="0.25">
      <c r="A103" s="97" t="str">
        <f>'Data Vlaue (Cr)'!C98</f>
        <v>INDUSINDBK</v>
      </c>
      <c r="B103" s="140">
        <f>VLOOKUP($A103,'Data shares'!$C:$FB,7)</f>
        <v>946.75</v>
      </c>
      <c r="C103" s="140">
        <f>VLOOKUP($A103,'Data shares'!$C:$FB,3)</f>
        <v>953</v>
      </c>
      <c r="D103" s="140">
        <f>VLOOKUP($A103,'Data shares'!$C:$FB,4)</f>
        <v>915.85</v>
      </c>
      <c r="E103" s="50">
        <f t="shared" si="3"/>
        <v>4.0563411038925565</v>
      </c>
      <c r="F103" s="49">
        <f>VLOOKUP($A103,'Data shares'!$C:$FB,98)</f>
        <v>49156100</v>
      </c>
      <c r="G103" s="49">
        <f>VLOOKUP($A103,'Data shares'!$C:$FB,99)</f>
        <v>48157200</v>
      </c>
      <c r="H103" s="50">
        <f t="shared" si="4"/>
        <v>2.0742485028199313</v>
      </c>
      <c r="I103" s="49">
        <f>VLOOKUP($A103,'Data shares'!$C:$FB,66)</f>
        <v>22284500</v>
      </c>
      <c r="J103" s="49">
        <f>VLOOKUP($A103,'Data shares'!$C:$FB,67)</f>
        <v>14585200</v>
      </c>
      <c r="K103" s="50">
        <f t="shared" si="5"/>
        <v>34.550023558975965</v>
      </c>
      <c r="L103" s="50">
        <f>VLOOKUP($A103,'Data shares'!$C:$FB,118)</f>
        <v>0.91</v>
      </c>
      <c r="M103" s="50">
        <f>VLOOKUP($A103,'Data shares'!$C:$FB,119)</f>
        <v>0.88</v>
      </c>
      <c r="N103" s="50">
        <f>VLOOKUP($A103,'Data shares'!$C:$FB,121)*100</f>
        <v>3.4099999999999997</v>
      </c>
      <c r="O103" s="50">
        <f>VLOOKUP($A103,'Data shares'!$C:$FB,124)</f>
        <v>0.81</v>
      </c>
      <c r="P103" s="50">
        <f>VLOOKUP($A103,'Data shares'!$C:$FB,125)</f>
        <v>0.67</v>
      </c>
      <c r="Q103" s="50">
        <f>VLOOKUP($A103,'Data shares'!$C:$FB,127)*100</f>
        <v>20.9</v>
      </c>
    </row>
    <row r="104" spans="1:17" x14ac:dyDescent="0.25">
      <c r="A104" s="97" t="str">
        <f>'Data Vlaue (Cr)'!C99</f>
        <v>INDUSTOWER</v>
      </c>
      <c r="B104" s="140">
        <f>VLOOKUP($A104,'Data shares'!$C:$FB,7)</f>
        <v>408.3</v>
      </c>
      <c r="C104" s="140">
        <f>VLOOKUP($A104,'Data shares'!$C:$FB,3)</f>
        <v>410.1</v>
      </c>
      <c r="D104" s="140">
        <f>VLOOKUP($A104,'Data shares'!$C:$FB,4)</f>
        <v>404.95</v>
      </c>
      <c r="E104" s="50">
        <f t="shared" si="3"/>
        <v>1.2717619459192577</v>
      </c>
      <c r="F104" s="49">
        <f>VLOOKUP($A104,'Data shares'!$C:$FB,98)</f>
        <v>133565600</v>
      </c>
      <c r="G104" s="49">
        <f>VLOOKUP($A104,'Data shares'!$C:$FB,99)</f>
        <v>134133400</v>
      </c>
      <c r="H104" s="50">
        <f t="shared" si="4"/>
        <v>-0.4233099287724012</v>
      </c>
      <c r="I104" s="49">
        <f>VLOOKUP($A104,'Data shares'!$C:$FB,66)</f>
        <v>55047700</v>
      </c>
      <c r="J104" s="49">
        <f>VLOOKUP($A104,'Data shares'!$C:$FB,67)</f>
        <v>57436200</v>
      </c>
      <c r="K104" s="50">
        <f t="shared" si="5"/>
        <v>-4.3389642074055779</v>
      </c>
      <c r="L104" s="50">
        <f>VLOOKUP($A104,'Data shares'!$C:$FB,118)</f>
        <v>0.7</v>
      </c>
      <c r="M104" s="50">
        <f>VLOOKUP($A104,'Data shares'!$C:$FB,119)</f>
        <v>0.68</v>
      </c>
      <c r="N104" s="50">
        <f>VLOOKUP($A104,'Data shares'!$C:$FB,121)*100</f>
        <v>2.94</v>
      </c>
      <c r="O104" s="50">
        <f>VLOOKUP($A104,'Data shares'!$C:$FB,124)</f>
        <v>0.34</v>
      </c>
      <c r="P104" s="50">
        <f>VLOOKUP($A104,'Data shares'!$C:$FB,125)</f>
        <v>0.33</v>
      </c>
      <c r="Q104" s="50">
        <f>VLOOKUP($A104,'Data shares'!$C:$FB,127)*100</f>
        <v>3.0300000000000002</v>
      </c>
    </row>
    <row r="105" spans="1:17" x14ac:dyDescent="0.25">
      <c r="A105" s="97" t="str">
        <f>'Data Vlaue (Cr)'!C100</f>
        <v>INFY</v>
      </c>
      <c r="B105" s="140">
        <f>VLOOKUP($A105,'Data shares'!$C:$FB,7)</f>
        <v>1167.2</v>
      </c>
      <c r="C105" s="140">
        <f>VLOOKUP($A105,'Data shares'!$C:$FB,3)</f>
        <v>1171</v>
      </c>
      <c r="D105" s="140">
        <f>VLOOKUP($A105,'Data shares'!$C:$FB,4)</f>
        <v>1178.3</v>
      </c>
      <c r="E105" s="50">
        <f t="shared" si="3"/>
        <v>-0.61953662055503311</v>
      </c>
      <c r="F105" s="49">
        <f>VLOOKUP($A105,'Data shares'!$C:$FB,98)</f>
        <v>149236800</v>
      </c>
      <c r="G105" s="49">
        <f>VLOOKUP($A105,'Data shares'!$C:$FB,99)</f>
        <v>139869600</v>
      </c>
      <c r="H105" s="50">
        <f t="shared" si="4"/>
        <v>6.6970950084936254</v>
      </c>
      <c r="I105" s="49">
        <f>VLOOKUP($A105,'Data shares'!$C:$FB,66)</f>
        <v>59049600</v>
      </c>
      <c r="J105" s="49">
        <f>VLOOKUP($A105,'Data shares'!$C:$FB,67)</f>
        <v>33260000</v>
      </c>
      <c r="K105" s="50">
        <f t="shared" si="5"/>
        <v>43.674470275835908</v>
      </c>
      <c r="L105" s="50">
        <f>VLOOKUP($A105,'Data shares'!$C:$FB,118)</f>
        <v>0.56999999999999995</v>
      </c>
      <c r="M105" s="50">
        <f>VLOOKUP($A105,'Data shares'!$C:$FB,119)</f>
        <v>0.57999999999999996</v>
      </c>
      <c r="N105" s="50">
        <f>VLOOKUP($A105,'Data shares'!$C:$FB,121)*100</f>
        <v>-1.72</v>
      </c>
      <c r="O105" s="50">
        <f>VLOOKUP($A105,'Data shares'!$C:$FB,124)</f>
        <v>0.51</v>
      </c>
      <c r="P105" s="50">
        <f>VLOOKUP($A105,'Data shares'!$C:$FB,125)</f>
        <v>0.5</v>
      </c>
      <c r="Q105" s="50">
        <f>VLOOKUP($A105,'Data shares'!$C:$FB,127)*100</f>
        <v>2</v>
      </c>
    </row>
    <row r="106" spans="1:17" x14ac:dyDescent="0.25">
      <c r="A106" s="97" t="str">
        <f>'Data Vlaue (Cr)'!C101</f>
        <v>INOXWIND</v>
      </c>
      <c r="B106" s="140">
        <f>VLOOKUP($A106,'Data shares'!$C:$FB,7)</f>
        <v>107.11</v>
      </c>
      <c r="C106" s="140">
        <f>VLOOKUP($A106,'Data shares'!$C:$FB,3)</f>
        <v>107.53</v>
      </c>
      <c r="D106" s="140">
        <f>VLOOKUP($A106,'Data shares'!$C:$FB,4)</f>
        <v>104.73</v>
      </c>
      <c r="E106" s="50">
        <f t="shared" si="3"/>
        <v>2.6735414876348678</v>
      </c>
      <c r="F106" s="49">
        <f>VLOOKUP($A106,'Data shares'!$C:$FB,98)</f>
        <v>131858750</v>
      </c>
      <c r="G106" s="49">
        <f>VLOOKUP($A106,'Data shares'!$C:$FB,99)</f>
        <v>130525275</v>
      </c>
      <c r="H106" s="50">
        <f t="shared" si="4"/>
        <v>1.021622057490398</v>
      </c>
      <c r="I106" s="49">
        <f>VLOOKUP($A106,'Data shares'!$C:$FB,66)</f>
        <v>66312675</v>
      </c>
      <c r="J106" s="49">
        <f>VLOOKUP($A106,'Data shares'!$C:$FB,67)</f>
        <v>85413900</v>
      </c>
      <c r="K106" s="50">
        <f t="shared" si="5"/>
        <v>-28.804787320071163</v>
      </c>
      <c r="L106" s="50">
        <f>VLOOKUP($A106,'Data shares'!$C:$FB,118)</f>
        <v>0.51</v>
      </c>
      <c r="M106" s="50">
        <f>VLOOKUP($A106,'Data shares'!$C:$FB,119)</f>
        <v>0.52</v>
      </c>
      <c r="N106" s="50">
        <f>VLOOKUP($A106,'Data shares'!$C:$FB,121)*100</f>
        <v>-1.92</v>
      </c>
      <c r="O106" s="50">
        <f>VLOOKUP($A106,'Data shares'!$C:$FB,124)</f>
        <v>0.22</v>
      </c>
      <c r="P106" s="50">
        <f>VLOOKUP($A106,'Data shares'!$C:$FB,125)</f>
        <v>0.25</v>
      </c>
      <c r="Q106" s="50">
        <f>VLOOKUP($A106,'Data shares'!$C:$FB,127)*100</f>
        <v>-12</v>
      </c>
    </row>
    <row r="107" spans="1:17" x14ac:dyDescent="0.25">
      <c r="A107" s="97" t="str">
        <f>'Data Vlaue (Cr)'!C102</f>
        <v>IOC</v>
      </c>
      <c r="B107" s="140">
        <f>VLOOKUP($A107,'Data shares'!$C:$FB,7)</f>
        <v>148.21</v>
      </c>
      <c r="C107" s="140">
        <f>VLOOKUP($A107,'Data shares'!$C:$FB,3)</f>
        <v>149.18</v>
      </c>
      <c r="D107" s="140">
        <f>VLOOKUP($A107,'Data shares'!$C:$FB,4)</f>
        <v>142.99</v>
      </c>
      <c r="E107" s="50">
        <f t="shared" si="3"/>
        <v>4.3289740541296577</v>
      </c>
      <c r="F107" s="49">
        <f>VLOOKUP($A107,'Data shares'!$C:$FB,98)</f>
        <v>193454625</v>
      </c>
      <c r="G107" s="49">
        <f>VLOOKUP($A107,'Data shares'!$C:$FB,99)</f>
        <v>186400500</v>
      </c>
      <c r="H107" s="50">
        <f t="shared" si="4"/>
        <v>3.7843916727691185</v>
      </c>
      <c r="I107" s="49">
        <f>VLOOKUP($A107,'Data shares'!$C:$FB,66)</f>
        <v>191563125</v>
      </c>
      <c r="J107" s="49">
        <f>VLOOKUP($A107,'Data shares'!$C:$FB,67)</f>
        <v>45274125</v>
      </c>
      <c r="K107" s="50">
        <f t="shared" si="5"/>
        <v>76.365949866395212</v>
      </c>
      <c r="L107" s="50">
        <f>VLOOKUP($A107,'Data shares'!$C:$FB,118)</f>
        <v>0.68</v>
      </c>
      <c r="M107" s="50">
        <f>VLOOKUP($A107,'Data shares'!$C:$FB,119)</f>
        <v>0.75</v>
      </c>
      <c r="N107" s="50">
        <f>VLOOKUP($A107,'Data shares'!$C:$FB,121)*100</f>
        <v>-9.33</v>
      </c>
      <c r="O107" s="50">
        <f>VLOOKUP($A107,'Data shares'!$C:$FB,124)</f>
        <v>0.39</v>
      </c>
      <c r="P107" s="50">
        <f>VLOOKUP($A107,'Data shares'!$C:$FB,125)</f>
        <v>0.6</v>
      </c>
      <c r="Q107" s="50">
        <f>VLOOKUP($A107,'Data shares'!$C:$FB,127)*100</f>
        <v>-35</v>
      </c>
    </row>
    <row r="108" spans="1:17" x14ac:dyDescent="0.25">
      <c r="A108" s="97" t="str">
        <f>'Data Vlaue (Cr)'!C103</f>
        <v>IREDA</v>
      </c>
      <c r="B108" s="140">
        <f>VLOOKUP($A108,'Data shares'!$C:$FB,7)</f>
        <v>136.41</v>
      </c>
      <c r="C108" s="140">
        <f>VLOOKUP($A108,'Data shares'!$C:$FB,3)</f>
        <v>136.97999999999999</v>
      </c>
      <c r="D108" s="140">
        <f>VLOOKUP($A108,'Data shares'!$C:$FB,4)</f>
        <v>135.75</v>
      </c>
      <c r="E108" s="50">
        <f t="shared" si="3"/>
        <v>0.90607734806629081</v>
      </c>
      <c r="F108" s="49">
        <f>VLOOKUP($A108,'Data shares'!$C:$FB,98)</f>
        <v>77801875</v>
      </c>
      <c r="G108" s="49">
        <f>VLOOKUP($A108,'Data shares'!$C:$FB,99)</f>
        <v>75941975</v>
      </c>
      <c r="H108" s="50">
        <f t="shared" si="4"/>
        <v>2.4491067028477991</v>
      </c>
      <c r="I108" s="49">
        <f>VLOOKUP($A108,'Data shares'!$C:$FB,66)</f>
        <v>18509250</v>
      </c>
      <c r="J108" s="49">
        <f>VLOOKUP($A108,'Data shares'!$C:$FB,67)</f>
        <v>14327850</v>
      </c>
      <c r="K108" s="50">
        <f t="shared" si="5"/>
        <v>22.590866728797764</v>
      </c>
      <c r="L108" s="50">
        <f>VLOOKUP($A108,'Data shares'!$C:$FB,118)</f>
        <v>0.69</v>
      </c>
      <c r="M108" s="50">
        <f>VLOOKUP($A108,'Data shares'!$C:$FB,119)</f>
        <v>0.69</v>
      </c>
      <c r="N108" s="50">
        <f>VLOOKUP($A108,'Data shares'!$C:$FB,121)*100</f>
        <v>0</v>
      </c>
      <c r="O108" s="50">
        <f>VLOOKUP($A108,'Data shares'!$C:$FB,124)</f>
        <v>0.4</v>
      </c>
      <c r="P108" s="50">
        <f>VLOOKUP($A108,'Data shares'!$C:$FB,125)</f>
        <v>0.4</v>
      </c>
      <c r="Q108" s="50">
        <f>VLOOKUP($A108,'Data shares'!$C:$FB,127)*100</f>
        <v>0</v>
      </c>
    </row>
    <row r="109" spans="1:17" x14ac:dyDescent="0.25">
      <c r="A109" s="97" t="str">
        <f>'Data Vlaue (Cr)'!C104</f>
        <v>IRFC</v>
      </c>
      <c r="B109" s="140">
        <f>VLOOKUP($A109,'Data shares'!$C:$FB,7)</f>
        <v>106.74</v>
      </c>
      <c r="C109" s="140">
        <f>VLOOKUP($A109,'Data shares'!$C:$FB,3)</f>
        <v>107.42</v>
      </c>
      <c r="D109" s="140">
        <f>VLOOKUP($A109,'Data shares'!$C:$FB,4)</f>
        <v>106.35</v>
      </c>
      <c r="E109" s="50">
        <f t="shared" si="3"/>
        <v>1.0061118946873602</v>
      </c>
      <c r="F109" s="49">
        <f>VLOOKUP($A109,'Data shares'!$C:$FB,98)</f>
        <v>115610800</v>
      </c>
      <c r="G109" s="49">
        <f>VLOOKUP($A109,'Data shares'!$C:$FB,99)</f>
        <v>113390325</v>
      </c>
      <c r="H109" s="50">
        <f t="shared" si="4"/>
        <v>1.9582579025150513</v>
      </c>
      <c r="I109" s="49">
        <f>VLOOKUP($A109,'Data shares'!$C:$FB,66)</f>
        <v>56916000</v>
      </c>
      <c r="J109" s="49">
        <f>VLOOKUP($A109,'Data shares'!$C:$FB,67)</f>
        <v>100529500</v>
      </c>
      <c r="K109" s="50">
        <f t="shared" si="5"/>
        <v>-76.627837514934299</v>
      </c>
      <c r="L109" s="50">
        <f>VLOOKUP($A109,'Data shares'!$C:$FB,118)</f>
        <v>0.76</v>
      </c>
      <c r="M109" s="50">
        <f>VLOOKUP($A109,'Data shares'!$C:$FB,119)</f>
        <v>0.69</v>
      </c>
      <c r="N109" s="50">
        <f>VLOOKUP($A109,'Data shares'!$C:$FB,121)*100</f>
        <v>10.14</v>
      </c>
      <c r="O109" s="50">
        <f>VLOOKUP($A109,'Data shares'!$C:$FB,124)</f>
        <v>0.32</v>
      </c>
      <c r="P109" s="50">
        <f>VLOOKUP($A109,'Data shares'!$C:$FB,125)</f>
        <v>0.22</v>
      </c>
      <c r="Q109" s="50">
        <f>VLOOKUP($A109,'Data shares'!$C:$FB,127)*100</f>
        <v>45.45</v>
      </c>
    </row>
    <row r="110" spans="1:17" x14ac:dyDescent="0.25">
      <c r="A110" s="97" t="str">
        <f>'Data Vlaue (Cr)'!C105</f>
        <v>ITC</v>
      </c>
      <c r="B110" s="140">
        <f>VLOOKUP($A110,'Data shares'!$C:$FB,7)</f>
        <v>310.7</v>
      </c>
      <c r="C110" s="140">
        <f>VLOOKUP($A110,'Data shares'!$C:$FB,3)</f>
        <v>312.35000000000002</v>
      </c>
      <c r="D110" s="140">
        <f>VLOOKUP($A110,'Data shares'!$C:$FB,4)</f>
        <v>312.75</v>
      </c>
      <c r="E110" s="50">
        <f t="shared" si="3"/>
        <v>-0.12789768185450912</v>
      </c>
      <c r="F110" s="49">
        <f>VLOOKUP($A110,'Data shares'!$C:$FB,98)</f>
        <v>327481925</v>
      </c>
      <c r="G110" s="49">
        <f>VLOOKUP($A110,'Data shares'!$C:$FB,99)</f>
        <v>317415475</v>
      </c>
      <c r="H110" s="50">
        <f t="shared" si="4"/>
        <v>3.1713797192780215</v>
      </c>
      <c r="I110" s="49">
        <f>VLOOKUP($A110,'Data shares'!$C:$FB,66)</f>
        <v>137014400</v>
      </c>
      <c r="J110" s="49">
        <f>VLOOKUP($A110,'Data shares'!$C:$FB,67)</f>
        <v>158748800</v>
      </c>
      <c r="K110" s="50">
        <f t="shared" si="5"/>
        <v>-15.862858210523859</v>
      </c>
      <c r="L110" s="50">
        <f>VLOOKUP($A110,'Data shares'!$C:$FB,118)</f>
        <v>0.35</v>
      </c>
      <c r="M110" s="50">
        <f>VLOOKUP($A110,'Data shares'!$C:$FB,119)</f>
        <v>0.38</v>
      </c>
      <c r="N110" s="50">
        <f>VLOOKUP($A110,'Data shares'!$C:$FB,121)*100</f>
        <v>-7.89</v>
      </c>
      <c r="O110" s="50">
        <f>VLOOKUP($A110,'Data shares'!$C:$FB,124)</f>
        <v>0.31</v>
      </c>
      <c r="P110" s="50">
        <f>VLOOKUP($A110,'Data shares'!$C:$FB,125)</f>
        <v>0.33</v>
      </c>
      <c r="Q110" s="50">
        <f>VLOOKUP($A110,'Data shares'!$C:$FB,127)*100</f>
        <v>-6.0600000000000005</v>
      </c>
    </row>
    <row r="111" spans="1:17" x14ac:dyDescent="0.25">
      <c r="A111" s="97" t="str">
        <f>'Data Vlaue (Cr)'!C106</f>
        <v>JINDALSTEL</v>
      </c>
      <c r="B111" s="140">
        <f>VLOOKUP($A111,'Data shares'!$C:$FB,7)</f>
        <v>1264.3</v>
      </c>
      <c r="C111" s="140">
        <f>VLOOKUP($A111,'Data shares'!$C:$FB,3)</f>
        <v>1272.5999999999999</v>
      </c>
      <c r="D111" s="140">
        <f>VLOOKUP($A111,'Data shares'!$C:$FB,4)</f>
        <v>1268</v>
      </c>
      <c r="E111" s="50">
        <f t="shared" si="3"/>
        <v>0.36277602523658592</v>
      </c>
      <c r="F111" s="49">
        <f>VLOOKUP($A111,'Data shares'!$C:$FB,98)</f>
        <v>18915000</v>
      </c>
      <c r="G111" s="49">
        <f>VLOOKUP($A111,'Data shares'!$C:$FB,99)</f>
        <v>18911875</v>
      </c>
      <c r="H111" s="50">
        <f t="shared" si="4"/>
        <v>1.652400938563733E-2</v>
      </c>
      <c r="I111" s="49">
        <f>VLOOKUP($A111,'Data shares'!$C:$FB,66)</f>
        <v>10355000</v>
      </c>
      <c r="J111" s="49">
        <f>VLOOKUP($A111,'Data shares'!$C:$FB,67)</f>
        <v>19796875</v>
      </c>
      <c r="K111" s="50">
        <f t="shared" si="5"/>
        <v>-91.181796233703523</v>
      </c>
      <c r="L111" s="50">
        <f>VLOOKUP($A111,'Data shares'!$C:$FB,118)</f>
        <v>0.72</v>
      </c>
      <c r="M111" s="50">
        <f>VLOOKUP($A111,'Data shares'!$C:$FB,119)</f>
        <v>0.71</v>
      </c>
      <c r="N111" s="50">
        <f>VLOOKUP($A111,'Data shares'!$C:$FB,121)*100</f>
        <v>1.41</v>
      </c>
      <c r="O111" s="50">
        <f>VLOOKUP($A111,'Data shares'!$C:$FB,124)</f>
        <v>0.54</v>
      </c>
      <c r="P111" s="50">
        <f>VLOOKUP($A111,'Data shares'!$C:$FB,125)</f>
        <v>0.4</v>
      </c>
      <c r="Q111" s="50">
        <f>VLOOKUP($A111,'Data shares'!$C:$FB,127)*100</f>
        <v>35</v>
      </c>
    </row>
    <row r="112" spans="1:17" x14ac:dyDescent="0.25">
      <c r="A112" s="97" t="str">
        <f>'Data Vlaue (Cr)'!C107</f>
        <v>JIOFIN</v>
      </c>
      <c r="B112" s="140">
        <f>VLOOKUP($A112,'Data shares'!$C:$FB,7)</f>
        <v>252.44</v>
      </c>
      <c r="C112" s="140">
        <f>VLOOKUP($A112,'Data shares'!$C:$FB,3)</f>
        <v>254.02</v>
      </c>
      <c r="D112" s="140">
        <f>VLOOKUP($A112,'Data shares'!$C:$FB,4)</f>
        <v>249.17</v>
      </c>
      <c r="E112" s="50">
        <f t="shared" si="3"/>
        <v>1.9464622546855652</v>
      </c>
      <c r="F112" s="49">
        <f>VLOOKUP($A112,'Data shares'!$C:$FB,98)</f>
        <v>300231300</v>
      </c>
      <c r="G112" s="49">
        <f>VLOOKUP($A112,'Data shares'!$C:$FB,99)</f>
        <v>300346450</v>
      </c>
      <c r="H112" s="50">
        <f t="shared" si="4"/>
        <v>-3.8339058111058075E-2</v>
      </c>
      <c r="I112" s="49">
        <f>VLOOKUP($A112,'Data shares'!$C:$FB,66)</f>
        <v>100135850</v>
      </c>
      <c r="J112" s="49">
        <f>VLOOKUP($A112,'Data shares'!$C:$FB,67)</f>
        <v>80849400</v>
      </c>
      <c r="K112" s="50">
        <f t="shared" si="5"/>
        <v>19.260284902959331</v>
      </c>
      <c r="L112" s="50">
        <f>VLOOKUP($A112,'Data shares'!$C:$FB,118)</f>
        <v>0.64</v>
      </c>
      <c r="M112" s="50">
        <f>VLOOKUP($A112,'Data shares'!$C:$FB,119)</f>
        <v>0.64</v>
      </c>
      <c r="N112" s="50">
        <f>VLOOKUP($A112,'Data shares'!$C:$FB,121)*100</f>
        <v>0</v>
      </c>
      <c r="O112" s="50">
        <f>VLOOKUP($A112,'Data shares'!$C:$FB,124)</f>
        <v>0.45</v>
      </c>
      <c r="P112" s="50">
        <f>VLOOKUP($A112,'Data shares'!$C:$FB,125)</f>
        <v>0.42</v>
      </c>
      <c r="Q112" s="50">
        <f>VLOOKUP($A112,'Data shares'!$C:$FB,127)*100</f>
        <v>7.1400000000000006</v>
      </c>
    </row>
    <row r="113" spans="1:17" x14ac:dyDescent="0.25">
      <c r="A113" s="97" t="str">
        <f>'Data Vlaue (Cr)'!C108</f>
        <v>JSWENERGY</v>
      </c>
      <c r="B113" s="140">
        <f>VLOOKUP($A113,'Data shares'!$C:$FB,7)</f>
        <v>567.9</v>
      </c>
      <c r="C113" s="140">
        <f>VLOOKUP($A113,'Data shares'!$C:$FB,3)</f>
        <v>568.6</v>
      </c>
      <c r="D113" s="140">
        <f>VLOOKUP($A113,'Data shares'!$C:$FB,4)</f>
        <v>564.29999999999995</v>
      </c>
      <c r="E113" s="50">
        <f t="shared" si="3"/>
        <v>0.76200602516393201</v>
      </c>
      <c r="F113" s="49">
        <f>VLOOKUP($A113,'Data shares'!$C:$FB,98)</f>
        <v>33668450</v>
      </c>
      <c r="G113" s="49">
        <f>VLOOKUP($A113,'Data shares'!$C:$FB,99)</f>
        <v>33730450</v>
      </c>
      <c r="H113" s="50">
        <f t="shared" si="4"/>
        <v>-0.18381017745093825</v>
      </c>
      <c r="I113" s="49">
        <f>VLOOKUP($A113,'Data shares'!$C:$FB,66)</f>
        <v>8856000</v>
      </c>
      <c r="J113" s="49">
        <f>VLOOKUP($A113,'Data shares'!$C:$FB,67)</f>
        <v>6816000</v>
      </c>
      <c r="K113" s="50">
        <f t="shared" si="5"/>
        <v>23.035230352303522</v>
      </c>
      <c r="L113" s="50">
        <f>VLOOKUP($A113,'Data shares'!$C:$FB,118)</f>
        <v>0.69</v>
      </c>
      <c r="M113" s="50">
        <f>VLOOKUP($A113,'Data shares'!$C:$FB,119)</f>
        <v>0.69</v>
      </c>
      <c r="N113" s="50">
        <f>VLOOKUP($A113,'Data shares'!$C:$FB,121)*100</f>
        <v>0</v>
      </c>
      <c r="O113" s="50">
        <f>VLOOKUP($A113,'Data shares'!$C:$FB,124)</f>
        <v>0.42</v>
      </c>
      <c r="P113" s="50">
        <f>VLOOKUP($A113,'Data shares'!$C:$FB,125)</f>
        <v>0.31</v>
      </c>
      <c r="Q113" s="50">
        <f>VLOOKUP($A113,'Data shares'!$C:$FB,127)*100</f>
        <v>35.480000000000004</v>
      </c>
    </row>
    <row r="114" spans="1:17" x14ac:dyDescent="0.25">
      <c r="A114" s="97" t="str">
        <f>'Data Vlaue (Cr)'!C109</f>
        <v>JSWSTEEL</v>
      </c>
      <c r="B114" s="140">
        <f>VLOOKUP($A114,'Data shares'!$C:$FB,7)</f>
        <v>1273.3</v>
      </c>
      <c r="C114" s="140">
        <f>VLOOKUP($A114,'Data shares'!$C:$FB,3)</f>
        <v>1280.5999999999999</v>
      </c>
      <c r="D114" s="140">
        <f>VLOOKUP($A114,'Data shares'!$C:$FB,4)</f>
        <v>1259.2</v>
      </c>
      <c r="E114" s="50">
        <f t="shared" si="3"/>
        <v>1.699491740787791</v>
      </c>
      <c r="F114" s="49">
        <f>VLOOKUP($A114,'Data shares'!$C:$FB,98)</f>
        <v>57661875</v>
      </c>
      <c r="G114" s="49">
        <f>VLOOKUP($A114,'Data shares'!$C:$FB,99)</f>
        <v>57929175</v>
      </c>
      <c r="H114" s="50">
        <f t="shared" si="4"/>
        <v>-0.4614255252210997</v>
      </c>
      <c r="I114" s="49">
        <f>VLOOKUP($A114,'Data shares'!$C:$FB,66)</f>
        <v>7776000</v>
      </c>
      <c r="J114" s="49">
        <f>VLOOKUP($A114,'Data shares'!$C:$FB,67)</f>
        <v>7682175</v>
      </c>
      <c r="K114" s="50">
        <f t="shared" si="5"/>
        <v>1.2065972222222223</v>
      </c>
      <c r="L114" s="50">
        <f>VLOOKUP($A114,'Data shares'!$C:$FB,118)</f>
        <v>0.72</v>
      </c>
      <c r="M114" s="50">
        <f>VLOOKUP($A114,'Data shares'!$C:$FB,119)</f>
        <v>0.7</v>
      </c>
      <c r="N114" s="50">
        <f>VLOOKUP($A114,'Data shares'!$C:$FB,121)*100</f>
        <v>2.86</v>
      </c>
      <c r="O114" s="50">
        <f>VLOOKUP($A114,'Data shares'!$C:$FB,124)</f>
        <v>0.56999999999999995</v>
      </c>
      <c r="P114" s="50">
        <f>VLOOKUP($A114,'Data shares'!$C:$FB,125)</f>
        <v>0.87</v>
      </c>
      <c r="Q114" s="50">
        <f>VLOOKUP($A114,'Data shares'!$C:$FB,127)*100</f>
        <v>-34.479999999999997</v>
      </c>
    </row>
    <row r="115" spans="1:17" x14ac:dyDescent="0.25">
      <c r="A115" s="97" t="str">
        <f>'Data Vlaue (Cr)'!C110</f>
        <v>JUBLFOOD</v>
      </c>
      <c r="B115" s="140">
        <f>VLOOKUP($A115,'Data shares'!$C:$FB,7)</f>
        <v>471.25</v>
      </c>
      <c r="C115" s="140">
        <f>VLOOKUP($A115,'Data shares'!$C:$FB,3)</f>
        <v>473.9</v>
      </c>
      <c r="D115" s="140">
        <f>VLOOKUP($A115,'Data shares'!$C:$FB,4)</f>
        <v>465.95</v>
      </c>
      <c r="E115" s="50">
        <f t="shared" si="3"/>
        <v>1.706191651464747</v>
      </c>
      <c r="F115" s="49">
        <f>VLOOKUP($A115,'Data shares'!$C:$FB,98)</f>
        <v>50665000</v>
      </c>
      <c r="G115" s="49">
        <f>VLOOKUP($A115,'Data shares'!$C:$FB,99)</f>
        <v>50910000</v>
      </c>
      <c r="H115" s="50">
        <f t="shared" si="4"/>
        <v>-0.48124140640345714</v>
      </c>
      <c r="I115" s="49">
        <f>VLOOKUP($A115,'Data shares'!$C:$FB,66)</f>
        <v>14785000</v>
      </c>
      <c r="J115" s="49">
        <f>VLOOKUP($A115,'Data shares'!$C:$FB,67)</f>
        <v>8015000</v>
      </c>
      <c r="K115" s="50">
        <f t="shared" si="5"/>
        <v>45.789651673993916</v>
      </c>
      <c r="L115" s="50">
        <f>VLOOKUP($A115,'Data shares'!$C:$FB,118)</f>
        <v>0.63</v>
      </c>
      <c r="M115" s="50">
        <f>VLOOKUP($A115,'Data shares'!$C:$FB,119)</f>
        <v>0.63</v>
      </c>
      <c r="N115" s="50">
        <f>VLOOKUP($A115,'Data shares'!$C:$FB,121)*100</f>
        <v>0</v>
      </c>
      <c r="O115" s="50">
        <f>VLOOKUP($A115,'Data shares'!$C:$FB,124)</f>
        <v>0.28999999999999998</v>
      </c>
      <c r="P115" s="50">
        <f>VLOOKUP($A115,'Data shares'!$C:$FB,125)</f>
        <v>0.35</v>
      </c>
      <c r="Q115" s="50">
        <f>VLOOKUP($A115,'Data shares'!$C:$FB,127)*100</f>
        <v>-17.14</v>
      </c>
    </row>
    <row r="116" spans="1:17" x14ac:dyDescent="0.25">
      <c r="A116" s="97" t="str">
        <f>'Data Vlaue (Cr)'!C111</f>
        <v>KALYANKJIL</v>
      </c>
      <c r="B116" s="140">
        <f>VLOOKUP($A116,'Data shares'!$C:$FB,7)</f>
        <v>415.65</v>
      </c>
      <c r="C116" s="140">
        <f>VLOOKUP($A116,'Data shares'!$C:$FB,3)</f>
        <v>418.7</v>
      </c>
      <c r="D116" s="140">
        <f>VLOOKUP($A116,'Data shares'!$C:$FB,4)</f>
        <v>409.05</v>
      </c>
      <c r="E116" s="50">
        <f t="shared" si="3"/>
        <v>2.35912480136902</v>
      </c>
      <c r="F116" s="49">
        <f>VLOOKUP($A116,'Data shares'!$C:$FB,98)</f>
        <v>38617700</v>
      </c>
      <c r="G116" s="49">
        <f>VLOOKUP($A116,'Data shares'!$C:$FB,99)</f>
        <v>36606525</v>
      </c>
      <c r="H116" s="50">
        <f t="shared" si="4"/>
        <v>5.4940341919917284</v>
      </c>
      <c r="I116" s="49">
        <f>VLOOKUP($A116,'Data shares'!$C:$FB,66)</f>
        <v>14586450</v>
      </c>
      <c r="J116" s="49">
        <f>VLOOKUP($A116,'Data shares'!$C:$FB,67)</f>
        <v>8293150</v>
      </c>
      <c r="K116" s="50">
        <f t="shared" si="5"/>
        <v>43.144836474947638</v>
      </c>
      <c r="L116" s="50">
        <f>VLOOKUP($A116,'Data shares'!$C:$FB,118)</f>
        <v>0.56999999999999995</v>
      </c>
      <c r="M116" s="50">
        <f>VLOOKUP($A116,'Data shares'!$C:$FB,119)</f>
        <v>0.56999999999999995</v>
      </c>
      <c r="N116" s="50">
        <f>VLOOKUP($A116,'Data shares'!$C:$FB,121)*100</f>
        <v>0</v>
      </c>
      <c r="O116" s="50">
        <f>VLOOKUP($A116,'Data shares'!$C:$FB,124)</f>
        <v>0.34</v>
      </c>
      <c r="P116" s="50">
        <f>VLOOKUP($A116,'Data shares'!$C:$FB,125)</f>
        <v>0.45</v>
      </c>
      <c r="Q116" s="50">
        <f>VLOOKUP($A116,'Data shares'!$C:$FB,127)*100</f>
        <v>-24.44</v>
      </c>
    </row>
    <row r="117" spans="1:17" x14ac:dyDescent="0.25">
      <c r="A117" s="97" t="str">
        <f>'Data Vlaue (Cr)'!C112</f>
        <v>KAYNES</v>
      </c>
      <c r="B117" s="140">
        <f>VLOOKUP($A117,'Data shares'!$C:$FB,7)</f>
        <v>4305.5</v>
      </c>
      <c r="C117" s="140">
        <f>VLOOKUP($A117,'Data shares'!$C:$FB,3)</f>
        <v>4326</v>
      </c>
      <c r="D117" s="140">
        <f>VLOOKUP($A117,'Data shares'!$C:$FB,4)</f>
        <v>4183.3999999999996</v>
      </c>
      <c r="E117" s="50">
        <f t="shared" si="3"/>
        <v>3.4087106181574884</v>
      </c>
      <c r="F117" s="49">
        <f>VLOOKUP($A117,'Data shares'!$C:$FB,98)</f>
        <v>4385500</v>
      </c>
      <c r="G117" s="49">
        <f>VLOOKUP($A117,'Data shares'!$C:$FB,99)</f>
        <v>4482500</v>
      </c>
      <c r="H117" s="50">
        <f t="shared" si="4"/>
        <v>-2.1639709983268265</v>
      </c>
      <c r="I117" s="49">
        <f>VLOOKUP($A117,'Data shares'!$C:$FB,66)</f>
        <v>3209500</v>
      </c>
      <c r="J117" s="49">
        <f>VLOOKUP($A117,'Data shares'!$C:$FB,67)</f>
        <v>2916200</v>
      </c>
      <c r="K117" s="50">
        <f t="shared" si="5"/>
        <v>9.1384950926935655</v>
      </c>
      <c r="L117" s="50">
        <f>VLOOKUP($A117,'Data shares'!$C:$FB,118)</f>
        <v>0.7</v>
      </c>
      <c r="M117" s="50">
        <f>VLOOKUP($A117,'Data shares'!$C:$FB,119)</f>
        <v>0.65</v>
      </c>
      <c r="N117" s="50">
        <f>VLOOKUP($A117,'Data shares'!$C:$FB,121)*100</f>
        <v>7.6899999999999995</v>
      </c>
      <c r="O117" s="50">
        <f>VLOOKUP($A117,'Data shares'!$C:$FB,124)</f>
        <v>0.38</v>
      </c>
      <c r="P117" s="50">
        <f>VLOOKUP($A117,'Data shares'!$C:$FB,125)</f>
        <v>0.35</v>
      </c>
      <c r="Q117" s="50">
        <f>VLOOKUP($A117,'Data shares'!$C:$FB,127)*100</f>
        <v>8.57</v>
      </c>
    </row>
    <row r="118" spans="1:17" x14ac:dyDescent="0.25">
      <c r="A118" s="97" t="str">
        <f>'Data Vlaue (Cr)'!C113</f>
        <v>KEI</v>
      </c>
      <c r="B118" s="140">
        <f>VLOOKUP($A118,'Data shares'!$C:$FB,7)</f>
        <v>5148.6000000000004</v>
      </c>
      <c r="C118" s="140">
        <f>VLOOKUP($A118,'Data shares'!$C:$FB,3)</f>
        <v>5180.2</v>
      </c>
      <c r="D118" s="140">
        <f>VLOOKUP($A118,'Data shares'!$C:$FB,4)</f>
        <v>5046.8999999999996</v>
      </c>
      <c r="E118" s="50">
        <f t="shared" si="3"/>
        <v>2.641225306623872</v>
      </c>
      <c r="F118" s="49">
        <f>VLOOKUP($A118,'Data shares'!$C:$FB,98)</f>
        <v>2997050</v>
      </c>
      <c r="G118" s="49">
        <f>VLOOKUP($A118,'Data shares'!$C:$FB,99)</f>
        <v>3028550</v>
      </c>
      <c r="H118" s="50">
        <f t="shared" si="4"/>
        <v>-1.0401016988327747</v>
      </c>
      <c r="I118" s="49">
        <f>VLOOKUP($A118,'Data shares'!$C:$FB,66)</f>
        <v>4993100</v>
      </c>
      <c r="J118" s="49">
        <f>VLOOKUP($A118,'Data shares'!$C:$FB,67)</f>
        <v>13749925</v>
      </c>
      <c r="K118" s="50">
        <f t="shared" si="5"/>
        <v>-175.37852236085797</v>
      </c>
      <c r="L118" s="50">
        <f>VLOOKUP($A118,'Data shares'!$C:$FB,118)</f>
        <v>0.81</v>
      </c>
      <c r="M118" s="50">
        <f>VLOOKUP($A118,'Data shares'!$C:$FB,119)</f>
        <v>0.76</v>
      </c>
      <c r="N118" s="50">
        <f>VLOOKUP($A118,'Data shares'!$C:$FB,121)*100</f>
        <v>6.58</v>
      </c>
      <c r="O118" s="50">
        <f>VLOOKUP($A118,'Data shares'!$C:$FB,124)</f>
        <v>0.45</v>
      </c>
      <c r="P118" s="50">
        <f>VLOOKUP($A118,'Data shares'!$C:$FB,125)</f>
        <v>0.66</v>
      </c>
      <c r="Q118" s="50">
        <f>VLOOKUP($A118,'Data shares'!$C:$FB,127)*100</f>
        <v>-31.819999999999997</v>
      </c>
    </row>
    <row r="119" spans="1:17" x14ac:dyDescent="0.25">
      <c r="A119" s="97" t="str">
        <f>'Data Vlaue (Cr)'!C114</f>
        <v>KFINTECH</v>
      </c>
      <c r="B119" s="140">
        <f>VLOOKUP($A119,'Data shares'!$C:$FB,7)</f>
        <v>912.5</v>
      </c>
      <c r="C119" s="140">
        <f>VLOOKUP($A119,'Data shares'!$C:$FB,3)</f>
        <v>912.05</v>
      </c>
      <c r="D119" s="140">
        <f>VLOOKUP($A119,'Data shares'!$C:$FB,4)</f>
        <v>888.15</v>
      </c>
      <c r="E119" s="50">
        <f t="shared" si="3"/>
        <v>2.6909868828463637</v>
      </c>
      <c r="F119" s="49">
        <f>VLOOKUP($A119,'Data shares'!$C:$FB,98)</f>
        <v>11496825</v>
      </c>
      <c r="G119" s="49">
        <f>VLOOKUP($A119,'Data shares'!$C:$FB,99)</f>
        <v>12624100</v>
      </c>
      <c r="H119" s="50">
        <f t="shared" si="4"/>
        <v>-8.9295474528877303</v>
      </c>
      <c r="I119" s="49">
        <f>VLOOKUP($A119,'Data shares'!$C:$FB,66)</f>
        <v>7600000</v>
      </c>
      <c r="J119" s="49">
        <f>VLOOKUP($A119,'Data shares'!$C:$FB,67)</f>
        <v>20093500</v>
      </c>
      <c r="K119" s="50">
        <f t="shared" si="5"/>
        <v>-164.38815789473685</v>
      </c>
      <c r="L119" s="50">
        <f>VLOOKUP($A119,'Data shares'!$C:$FB,118)</f>
        <v>0.69</v>
      </c>
      <c r="M119" s="50">
        <f>VLOOKUP($A119,'Data shares'!$C:$FB,119)</f>
        <v>0.59</v>
      </c>
      <c r="N119" s="50">
        <f>VLOOKUP($A119,'Data shares'!$C:$FB,121)*100</f>
        <v>16.950000000000003</v>
      </c>
      <c r="O119" s="50">
        <f>VLOOKUP($A119,'Data shares'!$C:$FB,124)</f>
        <v>0.43</v>
      </c>
      <c r="P119" s="50">
        <f>VLOOKUP($A119,'Data shares'!$C:$FB,125)</f>
        <v>0.48</v>
      </c>
      <c r="Q119" s="50">
        <f>VLOOKUP($A119,'Data shares'!$C:$FB,127)*100</f>
        <v>-10.42</v>
      </c>
    </row>
    <row r="120" spans="1:17" x14ac:dyDescent="0.25">
      <c r="A120" s="97" t="str">
        <f>'Data Vlaue (Cr)'!C115</f>
        <v>KOTAKBANK</v>
      </c>
      <c r="B120" s="140">
        <f>VLOOKUP($A120,'Data shares'!$C:$FB,7)</f>
        <v>376.6</v>
      </c>
      <c r="C120" s="140">
        <f>VLOOKUP($A120,'Data shares'!$C:$FB,3)</f>
        <v>379</v>
      </c>
      <c r="D120" s="140">
        <f>VLOOKUP($A120,'Data shares'!$C:$FB,4)</f>
        <v>372.25</v>
      </c>
      <c r="E120" s="50">
        <f t="shared" si="3"/>
        <v>1.8132975151108126</v>
      </c>
      <c r="F120" s="49">
        <f>VLOOKUP($A120,'Data shares'!$C:$FB,98)</f>
        <v>299546000</v>
      </c>
      <c r="G120" s="49">
        <f>VLOOKUP($A120,'Data shares'!$C:$FB,99)</f>
        <v>301052000</v>
      </c>
      <c r="H120" s="50">
        <f t="shared" si="4"/>
        <v>-0.50024580471147839</v>
      </c>
      <c r="I120" s="49">
        <f>VLOOKUP($A120,'Data shares'!$C:$FB,66)</f>
        <v>164668000</v>
      </c>
      <c r="J120" s="49">
        <f>VLOOKUP($A120,'Data shares'!$C:$FB,67)</f>
        <v>97966000</v>
      </c>
      <c r="K120" s="50">
        <f t="shared" si="5"/>
        <v>40.506959457818155</v>
      </c>
      <c r="L120" s="50">
        <f>VLOOKUP($A120,'Data shares'!$C:$FB,118)</f>
        <v>0.61</v>
      </c>
      <c r="M120" s="50">
        <f>VLOOKUP($A120,'Data shares'!$C:$FB,119)</f>
        <v>0.65</v>
      </c>
      <c r="N120" s="50">
        <f>VLOOKUP($A120,'Data shares'!$C:$FB,121)*100</f>
        <v>-6.15</v>
      </c>
      <c r="O120" s="50">
        <f>VLOOKUP($A120,'Data shares'!$C:$FB,124)</f>
        <v>0.48</v>
      </c>
      <c r="P120" s="50">
        <f>VLOOKUP($A120,'Data shares'!$C:$FB,125)</f>
        <v>0.49</v>
      </c>
      <c r="Q120" s="50">
        <f>VLOOKUP($A120,'Data shares'!$C:$FB,127)*100</f>
        <v>-2.04</v>
      </c>
    </row>
    <row r="121" spans="1:17" x14ac:dyDescent="0.25">
      <c r="A121" s="97" t="str">
        <f>'Data Vlaue (Cr)'!C116</f>
        <v>KPITTECH</v>
      </c>
      <c r="B121" s="140">
        <f>VLOOKUP($A121,'Data shares'!$C:$FB,7)</f>
        <v>748.6</v>
      </c>
      <c r="C121" s="140">
        <f>VLOOKUP($A121,'Data shares'!$C:$FB,3)</f>
        <v>749.4</v>
      </c>
      <c r="D121" s="140">
        <f>VLOOKUP($A121,'Data shares'!$C:$FB,4)</f>
        <v>775.15</v>
      </c>
      <c r="E121" s="50">
        <f t="shared" si="3"/>
        <v>-3.3219376894794559</v>
      </c>
      <c r="F121" s="49">
        <f>VLOOKUP($A121,'Data shares'!$C:$FB,98)</f>
        <v>15233250</v>
      </c>
      <c r="G121" s="49">
        <f>VLOOKUP($A121,'Data shares'!$C:$FB,99)</f>
        <v>10472400</v>
      </c>
      <c r="H121" s="50">
        <f t="shared" si="4"/>
        <v>45.460925862266528</v>
      </c>
      <c r="I121" s="49">
        <f>VLOOKUP($A121,'Data shares'!$C:$FB,66)</f>
        <v>107675025</v>
      </c>
      <c r="J121" s="49">
        <f>VLOOKUP($A121,'Data shares'!$C:$FB,67)</f>
        <v>5173950</v>
      </c>
      <c r="K121" s="50">
        <f t="shared" si="5"/>
        <v>95.194846715847063</v>
      </c>
      <c r="L121" s="50">
        <f>VLOOKUP($A121,'Data shares'!$C:$FB,118)</f>
        <v>0.54</v>
      </c>
      <c r="M121" s="50">
        <f>VLOOKUP($A121,'Data shares'!$C:$FB,119)</f>
        <v>0.59</v>
      </c>
      <c r="N121" s="50">
        <f>VLOOKUP($A121,'Data shares'!$C:$FB,121)*100</f>
        <v>-8.4699999999999989</v>
      </c>
      <c r="O121" s="50">
        <f>VLOOKUP($A121,'Data shares'!$C:$FB,124)</f>
        <v>0.55000000000000004</v>
      </c>
      <c r="P121" s="50">
        <f>VLOOKUP($A121,'Data shares'!$C:$FB,125)</f>
        <v>0.39</v>
      </c>
      <c r="Q121" s="50">
        <f>VLOOKUP($A121,'Data shares'!$C:$FB,127)*100</f>
        <v>41.03</v>
      </c>
    </row>
    <row r="122" spans="1:17" x14ac:dyDescent="0.25">
      <c r="A122" s="97" t="str">
        <f>'Data Vlaue (Cr)'!C117</f>
        <v>LAURUSLABS</v>
      </c>
      <c r="B122" s="140">
        <f>VLOOKUP($A122,'Data shares'!$C:$FB,7)</f>
        <v>1177.5999999999999</v>
      </c>
      <c r="C122" s="140">
        <f>VLOOKUP($A122,'Data shares'!$C:$FB,3)</f>
        <v>1184.2</v>
      </c>
      <c r="D122" s="140">
        <f>VLOOKUP($A122,'Data shares'!$C:$FB,4)</f>
        <v>1169.4000000000001</v>
      </c>
      <c r="E122" s="50">
        <f t="shared" si="3"/>
        <v>1.2656062938258896</v>
      </c>
      <c r="F122" s="49">
        <f>VLOOKUP($A122,'Data shares'!$C:$FB,98)</f>
        <v>30400250</v>
      </c>
      <c r="G122" s="49">
        <f>VLOOKUP($A122,'Data shares'!$C:$FB,99)</f>
        <v>29480550</v>
      </c>
      <c r="H122" s="50">
        <f t="shared" si="4"/>
        <v>3.1196839950407984</v>
      </c>
      <c r="I122" s="49">
        <f>VLOOKUP($A122,'Data shares'!$C:$FB,66)</f>
        <v>29962500</v>
      </c>
      <c r="J122" s="49">
        <f>VLOOKUP($A122,'Data shares'!$C:$FB,67)</f>
        <v>19116500</v>
      </c>
      <c r="K122" s="50">
        <f t="shared" si="5"/>
        <v>36.198581560283685</v>
      </c>
      <c r="L122" s="50">
        <f>VLOOKUP($A122,'Data shares'!$C:$FB,118)</f>
        <v>0.61</v>
      </c>
      <c r="M122" s="50">
        <f>VLOOKUP($A122,'Data shares'!$C:$FB,119)</f>
        <v>0.61</v>
      </c>
      <c r="N122" s="50">
        <f>VLOOKUP($A122,'Data shares'!$C:$FB,121)*100</f>
        <v>0</v>
      </c>
      <c r="O122" s="50">
        <f>VLOOKUP($A122,'Data shares'!$C:$FB,124)</f>
        <v>0.53</v>
      </c>
      <c r="P122" s="50">
        <f>VLOOKUP($A122,'Data shares'!$C:$FB,125)</f>
        <v>0.59</v>
      </c>
      <c r="Q122" s="50">
        <f>VLOOKUP($A122,'Data shares'!$C:$FB,127)*100</f>
        <v>-10.17</v>
      </c>
    </row>
    <row r="123" spans="1:17" x14ac:dyDescent="0.25">
      <c r="A123" s="97" t="str">
        <f>'Data Vlaue (Cr)'!C118</f>
        <v>LICHSGFIN</v>
      </c>
      <c r="B123" s="140">
        <f>VLOOKUP($A123,'Data shares'!$C:$FB,7)</f>
        <v>582.15</v>
      </c>
      <c r="C123" s="140">
        <f>VLOOKUP($A123,'Data shares'!$C:$FB,3)</f>
        <v>585.4</v>
      </c>
      <c r="D123" s="140">
        <f>VLOOKUP($A123,'Data shares'!$C:$FB,4)</f>
        <v>560.95000000000005</v>
      </c>
      <c r="E123" s="50">
        <f t="shared" si="3"/>
        <v>4.3586772439611243</v>
      </c>
      <c r="F123" s="49">
        <f>VLOOKUP($A123,'Data shares'!$C:$FB,98)</f>
        <v>41761000</v>
      </c>
      <c r="G123" s="49">
        <f>VLOOKUP($A123,'Data shares'!$C:$FB,99)</f>
        <v>39246000</v>
      </c>
      <c r="H123" s="50">
        <f t="shared" si="4"/>
        <v>6.4082963868929328</v>
      </c>
      <c r="I123" s="49">
        <f>VLOOKUP($A123,'Data shares'!$C:$FB,66)</f>
        <v>45844000</v>
      </c>
      <c r="J123" s="49">
        <f>VLOOKUP($A123,'Data shares'!$C:$FB,67)</f>
        <v>5642000</v>
      </c>
      <c r="K123" s="50">
        <f t="shared" si="5"/>
        <v>87.693045982025993</v>
      </c>
      <c r="L123" s="50">
        <f>VLOOKUP($A123,'Data shares'!$C:$FB,118)</f>
        <v>0.71</v>
      </c>
      <c r="M123" s="50">
        <f>VLOOKUP($A123,'Data shares'!$C:$FB,119)</f>
        <v>0.64</v>
      </c>
      <c r="N123" s="50">
        <f>VLOOKUP($A123,'Data shares'!$C:$FB,121)*100</f>
        <v>10.94</v>
      </c>
      <c r="O123" s="50">
        <f>VLOOKUP($A123,'Data shares'!$C:$FB,124)</f>
        <v>0.31</v>
      </c>
      <c r="P123" s="50">
        <f>VLOOKUP($A123,'Data shares'!$C:$FB,125)</f>
        <v>0.38</v>
      </c>
      <c r="Q123" s="50">
        <f>VLOOKUP($A123,'Data shares'!$C:$FB,127)*100</f>
        <v>-18.420000000000002</v>
      </c>
    </row>
    <row r="124" spans="1:17" x14ac:dyDescent="0.25">
      <c r="A124" s="97" t="str">
        <f>'Data Vlaue (Cr)'!C119</f>
        <v>LICI</v>
      </c>
      <c r="B124" s="140">
        <f>VLOOKUP($A124,'Data shares'!$C:$FB,7)</f>
        <v>807.25</v>
      </c>
      <c r="C124" s="140">
        <f>VLOOKUP($A124,'Data shares'!$C:$FB,3)</f>
        <v>811.65</v>
      </c>
      <c r="D124" s="140">
        <f>VLOOKUP($A124,'Data shares'!$C:$FB,4)</f>
        <v>796.2</v>
      </c>
      <c r="E124" s="50">
        <f t="shared" si="3"/>
        <v>1.9404672192916268</v>
      </c>
      <c r="F124" s="49">
        <f>VLOOKUP($A124,'Data shares'!$C:$FB,98)</f>
        <v>19400500</v>
      </c>
      <c r="G124" s="49">
        <f>VLOOKUP($A124,'Data shares'!$C:$FB,99)</f>
        <v>19702200</v>
      </c>
      <c r="H124" s="50">
        <f t="shared" si="4"/>
        <v>-1.5313010729766219</v>
      </c>
      <c r="I124" s="49">
        <f>VLOOKUP($A124,'Data shares'!$C:$FB,66)</f>
        <v>6948900</v>
      </c>
      <c r="J124" s="49">
        <f>VLOOKUP($A124,'Data shares'!$C:$FB,67)</f>
        <v>3021200</v>
      </c>
      <c r="K124" s="50">
        <f t="shared" si="5"/>
        <v>56.522615090158155</v>
      </c>
      <c r="L124" s="50">
        <f>VLOOKUP($A124,'Data shares'!$C:$FB,118)</f>
        <v>0.57999999999999996</v>
      </c>
      <c r="M124" s="50">
        <f>VLOOKUP($A124,'Data shares'!$C:$FB,119)</f>
        <v>0.6</v>
      </c>
      <c r="N124" s="50">
        <f>VLOOKUP($A124,'Data shares'!$C:$FB,121)*100</f>
        <v>-3.3300000000000005</v>
      </c>
      <c r="O124" s="50">
        <f>VLOOKUP($A124,'Data shares'!$C:$FB,124)</f>
        <v>0.47</v>
      </c>
      <c r="P124" s="50">
        <f>VLOOKUP($A124,'Data shares'!$C:$FB,125)</f>
        <v>0.24</v>
      </c>
      <c r="Q124" s="50">
        <f>VLOOKUP($A124,'Data shares'!$C:$FB,127)*100</f>
        <v>95.83</v>
      </c>
    </row>
    <row r="125" spans="1:17" x14ac:dyDescent="0.25">
      <c r="A125" s="97" t="str">
        <f>'Data Vlaue (Cr)'!C120</f>
        <v>LODHA</v>
      </c>
      <c r="B125" s="140">
        <f>VLOOKUP($A125,'Data shares'!$C:$FB,7)</f>
        <v>949.15</v>
      </c>
      <c r="C125" s="140">
        <f>VLOOKUP($A125,'Data shares'!$C:$FB,3)</f>
        <v>953.35</v>
      </c>
      <c r="D125" s="140">
        <f>VLOOKUP($A125,'Data shares'!$C:$FB,4)</f>
        <v>910.35</v>
      </c>
      <c r="E125" s="50">
        <f t="shared" si="3"/>
        <v>4.7234580106552428</v>
      </c>
      <c r="F125" s="49">
        <f>VLOOKUP($A125,'Data shares'!$C:$FB,98)</f>
        <v>18322475</v>
      </c>
      <c r="G125" s="49">
        <f>VLOOKUP($A125,'Data shares'!$C:$FB,99)</f>
        <v>19039325</v>
      </c>
      <c r="H125" s="50">
        <f t="shared" si="4"/>
        <v>-3.7651019665875758</v>
      </c>
      <c r="I125" s="49">
        <f>VLOOKUP($A125,'Data shares'!$C:$FB,66)</f>
        <v>8902350</v>
      </c>
      <c r="J125" s="49">
        <f>VLOOKUP($A125,'Data shares'!$C:$FB,67)</f>
        <v>5832450</v>
      </c>
      <c r="K125" s="50">
        <f t="shared" si="5"/>
        <v>34.484153060708692</v>
      </c>
      <c r="L125" s="50">
        <f>VLOOKUP($A125,'Data shares'!$C:$FB,118)</f>
        <v>0.73</v>
      </c>
      <c r="M125" s="50">
        <f>VLOOKUP($A125,'Data shares'!$C:$FB,119)</f>
        <v>0.68</v>
      </c>
      <c r="N125" s="50">
        <f>VLOOKUP($A125,'Data shares'!$C:$FB,121)*100</f>
        <v>7.35</v>
      </c>
      <c r="O125" s="50">
        <f>VLOOKUP($A125,'Data shares'!$C:$FB,124)</f>
        <v>0.34</v>
      </c>
      <c r="P125" s="50">
        <f>VLOOKUP($A125,'Data shares'!$C:$FB,125)</f>
        <v>0.61</v>
      </c>
      <c r="Q125" s="50">
        <f>VLOOKUP($A125,'Data shares'!$C:$FB,127)*100</f>
        <v>-44.26</v>
      </c>
    </row>
    <row r="126" spans="1:17" x14ac:dyDescent="0.25">
      <c r="A126" s="97" t="str">
        <f>'Data Vlaue (Cr)'!C121</f>
        <v>LT</v>
      </c>
      <c r="B126" s="140">
        <f>VLOOKUP($A126,'Data shares'!$C:$FB,7)</f>
        <v>4008.5</v>
      </c>
      <c r="C126" s="140">
        <f>VLOOKUP($A126,'Data shares'!$C:$FB,3)</f>
        <v>3999.7</v>
      </c>
      <c r="D126" s="140">
        <f>VLOOKUP($A126,'Data shares'!$C:$FB,4)</f>
        <v>4079.2</v>
      </c>
      <c r="E126" s="50">
        <f t="shared" si="3"/>
        <v>-1.9489115512845656</v>
      </c>
      <c r="F126" s="49">
        <f>VLOOKUP($A126,'Data shares'!$C:$FB,98)</f>
        <v>30930200</v>
      </c>
      <c r="G126" s="49">
        <f>VLOOKUP($A126,'Data shares'!$C:$FB,99)</f>
        <v>25047225</v>
      </c>
      <c r="H126" s="50">
        <f t="shared" si="4"/>
        <v>23.48753205195386</v>
      </c>
      <c r="I126" s="49">
        <f>VLOOKUP($A126,'Data shares'!$C:$FB,66)</f>
        <v>61375125</v>
      </c>
      <c r="J126" s="49">
        <f>VLOOKUP($A126,'Data shares'!$C:$FB,67)</f>
        <v>16248750</v>
      </c>
      <c r="K126" s="50">
        <f t="shared" si="5"/>
        <v>73.525512167999665</v>
      </c>
      <c r="L126" s="50">
        <f>VLOOKUP($A126,'Data shares'!$C:$FB,118)</f>
        <v>0.6</v>
      </c>
      <c r="M126" s="50">
        <f>VLOOKUP($A126,'Data shares'!$C:$FB,119)</f>
        <v>0.79</v>
      </c>
      <c r="N126" s="50">
        <f>VLOOKUP($A126,'Data shares'!$C:$FB,121)*100</f>
        <v>-24.05</v>
      </c>
      <c r="O126" s="50">
        <f>VLOOKUP($A126,'Data shares'!$C:$FB,124)</f>
        <v>0.43</v>
      </c>
      <c r="P126" s="50">
        <f>VLOOKUP($A126,'Data shares'!$C:$FB,125)</f>
        <v>0.64</v>
      </c>
      <c r="Q126" s="50">
        <f>VLOOKUP($A126,'Data shares'!$C:$FB,127)*100</f>
        <v>-32.81</v>
      </c>
    </row>
    <row r="127" spans="1:17" x14ac:dyDescent="0.25">
      <c r="A127" s="97" t="str">
        <f>'Data Vlaue (Cr)'!C122</f>
        <v>LTF</v>
      </c>
      <c r="B127" s="140">
        <f>VLOOKUP($A127,'Data shares'!$C:$FB,7)</f>
        <v>300.3</v>
      </c>
      <c r="C127" s="140">
        <f>VLOOKUP($A127,'Data shares'!$C:$FB,3)</f>
        <v>298.60000000000002</v>
      </c>
      <c r="D127" s="140">
        <f>VLOOKUP($A127,'Data shares'!$C:$FB,4)</f>
        <v>289.35000000000002</v>
      </c>
      <c r="E127" s="50">
        <f t="shared" si="3"/>
        <v>3.196820459650942</v>
      </c>
      <c r="F127" s="49">
        <f>VLOOKUP($A127,'Data shares'!$C:$FB,98)</f>
        <v>70107750</v>
      </c>
      <c r="G127" s="49">
        <f>VLOOKUP($A127,'Data shares'!$C:$FB,99)</f>
        <v>70654500</v>
      </c>
      <c r="H127" s="50">
        <f t="shared" si="4"/>
        <v>-0.77383606139736316</v>
      </c>
      <c r="I127" s="49">
        <f>VLOOKUP($A127,'Data shares'!$C:$FB,66)</f>
        <v>60401250</v>
      </c>
      <c r="J127" s="49">
        <f>VLOOKUP($A127,'Data shares'!$C:$FB,67)</f>
        <v>22527000</v>
      </c>
      <c r="K127" s="50">
        <f t="shared" si="5"/>
        <v>62.704414229837958</v>
      </c>
      <c r="L127" s="50">
        <f>VLOOKUP($A127,'Data shares'!$C:$FB,118)</f>
        <v>0.74</v>
      </c>
      <c r="M127" s="50">
        <f>VLOOKUP($A127,'Data shares'!$C:$FB,119)</f>
        <v>0.72</v>
      </c>
      <c r="N127" s="50">
        <f>VLOOKUP($A127,'Data shares'!$C:$FB,121)*100</f>
        <v>2.78</v>
      </c>
      <c r="O127" s="50">
        <f>VLOOKUP($A127,'Data shares'!$C:$FB,124)</f>
        <v>0.34</v>
      </c>
      <c r="P127" s="50">
        <f>VLOOKUP($A127,'Data shares'!$C:$FB,125)</f>
        <v>0.36</v>
      </c>
      <c r="Q127" s="50">
        <f>VLOOKUP($A127,'Data shares'!$C:$FB,127)*100</f>
        <v>-5.56</v>
      </c>
    </row>
    <row r="128" spans="1:17" x14ac:dyDescent="0.25">
      <c r="A128" s="97" t="str">
        <f>'Data Vlaue (Cr)'!C123</f>
        <v>LTM</v>
      </c>
      <c r="B128" s="140">
        <f>VLOOKUP($A128,'Data shares'!$C:$FB,7)</f>
        <v>4316</v>
      </c>
      <c r="C128" s="140">
        <f>VLOOKUP($A128,'Data shares'!$C:$FB,3)</f>
        <v>4262.6000000000004</v>
      </c>
      <c r="D128" s="140">
        <f>VLOOKUP($A128,'Data shares'!$C:$FB,4)</f>
        <v>4246</v>
      </c>
      <c r="E128" s="50">
        <f t="shared" si="3"/>
        <v>0.39095619406501098</v>
      </c>
      <c r="F128" s="49">
        <f>VLOOKUP($A128,'Data shares'!$C:$FB,98)</f>
        <v>5301450</v>
      </c>
      <c r="G128" s="49">
        <f>VLOOKUP($A128,'Data shares'!$C:$FB,99)</f>
        <v>5098500</v>
      </c>
      <c r="H128" s="50">
        <f t="shared" si="4"/>
        <v>3.9805825242718447</v>
      </c>
      <c r="I128" s="49">
        <f>VLOOKUP($A128,'Data shares'!$C:$FB,66)</f>
        <v>2821050</v>
      </c>
      <c r="J128" s="49">
        <f>VLOOKUP($A128,'Data shares'!$C:$FB,67)</f>
        <v>2881200</v>
      </c>
      <c r="K128" s="50">
        <f t="shared" si="5"/>
        <v>-2.132184824799277</v>
      </c>
      <c r="L128" s="50">
        <f>VLOOKUP($A128,'Data shares'!$C:$FB,118)</f>
        <v>0.56999999999999995</v>
      </c>
      <c r="M128" s="50">
        <f>VLOOKUP($A128,'Data shares'!$C:$FB,119)</f>
        <v>0.7</v>
      </c>
      <c r="N128" s="50">
        <f>VLOOKUP($A128,'Data shares'!$C:$FB,121)*100</f>
        <v>-18.57</v>
      </c>
      <c r="O128" s="50">
        <f>VLOOKUP($A128,'Data shares'!$C:$FB,124)</f>
        <v>0.33</v>
      </c>
      <c r="P128" s="50">
        <f>VLOOKUP($A128,'Data shares'!$C:$FB,125)</f>
        <v>0.53</v>
      </c>
      <c r="Q128" s="50">
        <f>VLOOKUP($A128,'Data shares'!$C:$FB,127)*100</f>
        <v>-37.74</v>
      </c>
    </row>
    <row r="129" spans="1:17" x14ac:dyDescent="0.25">
      <c r="A129" s="97" t="str">
        <f>'Data Vlaue (Cr)'!C124</f>
        <v>LUPIN</v>
      </c>
      <c r="B129" s="140">
        <f>VLOOKUP($A129,'Data shares'!$C:$FB,7)</f>
        <v>2442.9</v>
      </c>
      <c r="C129" s="140">
        <f>VLOOKUP($A129,'Data shares'!$C:$FB,3)</f>
        <v>2459.1</v>
      </c>
      <c r="D129" s="140">
        <f>VLOOKUP($A129,'Data shares'!$C:$FB,4)</f>
        <v>2352.8000000000002</v>
      </c>
      <c r="E129" s="50">
        <f t="shared" si="3"/>
        <v>4.5180210812648642</v>
      </c>
      <c r="F129" s="49">
        <f>VLOOKUP($A129,'Data shares'!$C:$FB,98)</f>
        <v>13901750</v>
      </c>
      <c r="G129" s="49">
        <f>VLOOKUP($A129,'Data shares'!$C:$FB,99)</f>
        <v>12656500</v>
      </c>
      <c r="H129" s="50">
        <f t="shared" si="4"/>
        <v>9.8388179986568165</v>
      </c>
      <c r="I129" s="49">
        <f>VLOOKUP($A129,'Data shares'!$C:$FB,66)</f>
        <v>28873650</v>
      </c>
      <c r="J129" s="49">
        <f>VLOOKUP($A129,'Data shares'!$C:$FB,67)</f>
        <v>6186725</v>
      </c>
      <c r="K129" s="50">
        <f t="shared" si="5"/>
        <v>78.573110777473573</v>
      </c>
      <c r="L129" s="50">
        <f>VLOOKUP($A129,'Data shares'!$C:$FB,118)</f>
        <v>0.76</v>
      </c>
      <c r="M129" s="50">
        <f>VLOOKUP($A129,'Data shares'!$C:$FB,119)</f>
        <v>0.62</v>
      </c>
      <c r="N129" s="50">
        <f>VLOOKUP($A129,'Data shares'!$C:$FB,121)*100</f>
        <v>22.58</v>
      </c>
      <c r="O129" s="50">
        <f>VLOOKUP($A129,'Data shares'!$C:$FB,124)</f>
        <v>0.36</v>
      </c>
      <c r="P129" s="50">
        <f>VLOOKUP($A129,'Data shares'!$C:$FB,125)</f>
        <v>0.32</v>
      </c>
      <c r="Q129" s="50">
        <f>VLOOKUP($A129,'Data shares'!$C:$FB,127)*100</f>
        <v>12.5</v>
      </c>
    </row>
    <row r="130" spans="1:17" x14ac:dyDescent="0.25">
      <c r="A130" s="97" t="str">
        <f>'Data Vlaue (Cr)'!C125</f>
        <v>M&amp;M</v>
      </c>
      <c r="B130" s="140">
        <f>VLOOKUP($A130,'Data shares'!$C:$FB,7)</f>
        <v>3300.8</v>
      </c>
      <c r="C130" s="140">
        <f>VLOOKUP($A130,'Data shares'!$C:$FB,3)</f>
        <v>3314</v>
      </c>
      <c r="D130" s="140">
        <f>VLOOKUP($A130,'Data shares'!$C:$FB,4)</f>
        <v>3229.6</v>
      </c>
      <c r="E130" s="50">
        <f t="shared" si="3"/>
        <v>2.6133267277681478</v>
      </c>
      <c r="F130" s="49">
        <f>VLOOKUP($A130,'Data shares'!$C:$FB,98)</f>
        <v>30425200</v>
      </c>
      <c r="G130" s="49">
        <f>VLOOKUP($A130,'Data shares'!$C:$FB,99)</f>
        <v>31042400</v>
      </c>
      <c r="H130" s="50">
        <f t="shared" si="4"/>
        <v>-1.9882483313145891</v>
      </c>
      <c r="I130" s="49">
        <f>VLOOKUP($A130,'Data shares'!$C:$FB,66)</f>
        <v>43244400</v>
      </c>
      <c r="J130" s="49">
        <f>VLOOKUP($A130,'Data shares'!$C:$FB,67)</f>
        <v>53853000</v>
      </c>
      <c r="K130" s="50">
        <f t="shared" si="5"/>
        <v>-24.531731276188363</v>
      </c>
      <c r="L130" s="50">
        <f>VLOOKUP($A130,'Data shares'!$C:$FB,118)</f>
        <v>0.88</v>
      </c>
      <c r="M130" s="50">
        <f>VLOOKUP($A130,'Data shares'!$C:$FB,119)</f>
        <v>0.78</v>
      </c>
      <c r="N130" s="50">
        <f>VLOOKUP($A130,'Data shares'!$C:$FB,121)*100</f>
        <v>12.82</v>
      </c>
      <c r="O130" s="50">
        <f>VLOOKUP($A130,'Data shares'!$C:$FB,124)</f>
        <v>0.5</v>
      </c>
      <c r="P130" s="50">
        <f>VLOOKUP($A130,'Data shares'!$C:$FB,125)</f>
        <v>0.43</v>
      </c>
      <c r="Q130" s="50">
        <f>VLOOKUP($A130,'Data shares'!$C:$FB,127)*100</f>
        <v>16.28</v>
      </c>
    </row>
    <row r="131" spans="1:17" x14ac:dyDescent="0.25">
      <c r="A131" s="97" t="str">
        <f>'Data Vlaue (Cr)'!C126</f>
        <v>MANAPPURAM</v>
      </c>
      <c r="B131" s="140">
        <f>VLOOKUP($A131,'Data shares'!$C:$FB,7)</f>
        <v>309.95</v>
      </c>
      <c r="C131" s="140">
        <f>VLOOKUP($A131,'Data shares'!$C:$FB,3)</f>
        <v>311.60000000000002</v>
      </c>
      <c r="D131" s="140">
        <f>VLOOKUP($A131,'Data shares'!$C:$FB,4)</f>
        <v>308.85000000000002</v>
      </c>
      <c r="E131" s="50">
        <f t="shared" si="3"/>
        <v>0.89039987048729152</v>
      </c>
      <c r="F131" s="49">
        <f>VLOOKUP($A131,'Data shares'!$C:$FB,98)</f>
        <v>70512000</v>
      </c>
      <c r="G131" s="49">
        <f>VLOOKUP($A131,'Data shares'!$C:$FB,99)</f>
        <v>71892000</v>
      </c>
      <c r="H131" s="50">
        <f t="shared" si="4"/>
        <v>-1.9195459856451345</v>
      </c>
      <c r="I131" s="49">
        <f>VLOOKUP($A131,'Data shares'!$C:$FB,66)</f>
        <v>37398000</v>
      </c>
      <c r="J131" s="49">
        <f>VLOOKUP($A131,'Data shares'!$C:$FB,67)</f>
        <v>118494000</v>
      </c>
      <c r="K131" s="50">
        <f t="shared" si="5"/>
        <v>-216.84582063211937</v>
      </c>
      <c r="L131" s="50">
        <f>VLOOKUP($A131,'Data shares'!$C:$FB,118)</f>
        <v>0.72</v>
      </c>
      <c r="M131" s="50">
        <f>VLOOKUP($A131,'Data shares'!$C:$FB,119)</f>
        <v>0.68</v>
      </c>
      <c r="N131" s="50">
        <f>VLOOKUP($A131,'Data shares'!$C:$FB,121)*100</f>
        <v>5.88</v>
      </c>
      <c r="O131" s="50">
        <f>VLOOKUP($A131,'Data shares'!$C:$FB,124)</f>
        <v>0.57999999999999996</v>
      </c>
      <c r="P131" s="50">
        <f>VLOOKUP($A131,'Data shares'!$C:$FB,125)</f>
        <v>0.56999999999999995</v>
      </c>
      <c r="Q131" s="50">
        <f>VLOOKUP($A131,'Data shares'!$C:$FB,127)*100</f>
        <v>1.7500000000000002</v>
      </c>
    </row>
    <row r="132" spans="1:17" x14ac:dyDescent="0.25">
      <c r="A132" s="97" t="str">
        <f>'Data Vlaue (Cr)'!C127</f>
        <v>MANKIND</v>
      </c>
      <c r="B132" s="140">
        <f>VLOOKUP($A132,'Data shares'!$C:$FB,7)</f>
        <v>2361</v>
      </c>
      <c r="C132" s="140">
        <f>VLOOKUP($A132,'Data shares'!$C:$FB,3)</f>
        <v>2366.6</v>
      </c>
      <c r="D132" s="140">
        <f>VLOOKUP($A132,'Data shares'!$C:$FB,4)</f>
        <v>2329.9</v>
      </c>
      <c r="E132" s="50">
        <f t="shared" si="3"/>
        <v>1.5751749002103015</v>
      </c>
      <c r="F132" s="49">
        <f>VLOOKUP($A132,'Data shares'!$C:$FB,98)</f>
        <v>5739000</v>
      </c>
      <c r="G132" s="49">
        <f>VLOOKUP($A132,'Data shares'!$C:$FB,99)</f>
        <v>5539050</v>
      </c>
      <c r="H132" s="50">
        <f t="shared" si="4"/>
        <v>3.609824789449454</v>
      </c>
      <c r="I132" s="49">
        <f>VLOOKUP($A132,'Data shares'!$C:$FB,66)</f>
        <v>6430050</v>
      </c>
      <c r="J132" s="49">
        <f>VLOOKUP($A132,'Data shares'!$C:$FB,67)</f>
        <v>4988700</v>
      </c>
      <c r="K132" s="50">
        <f t="shared" si="5"/>
        <v>22.415844355798168</v>
      </c>
      <c r="L132" s="50">
        <f>VLOOKUP($A132,'Data shares'!$C:$FB,118)</f>
        <v>0.73</v>
      </c>
      <c r="M132" s="50">
        <f>VLOOKUP($A132,'Data shares'!$C:$FB,119)</f>
        <v>0.62</v>
      </c>
      <c r="N132" s="50">
        <f>VLOOKUP($A132,'Data shares'!$C:$FB,121)*100</f>
        <v>17.740000000000002</v>
      </c>
      <c r="O132" s="50">
        <f>VLOOKUP($A132,'Data shares'!$C:$FB,124)</f>
        <v>0.14000000000000001</v>
      </c>
      <c r="P132" s="50">
        <f>VLOOKUP($A132,'Data shares'!$C:$FB,125)</f>
        <v>0.2</v>
      </c>
      <c r="Q132" s="50">
        <f>VLOOKUP($A132,'Data shares'!$C:$FB,127)*100</f>
        <v>-30</v>
      </c>
    </row>
    <row r="133" spans="1:17" x14ac:dyDescent="0.25">
      <c r="A133" s="97" t="str">
        <f>'Data Vlaue (Cr)'!C128</f>
        <v>MARICO</v>
      </c>
      <c r="B133" s="140">
        <f>VLOOKUP($A133,'Data shares'!$C:$FB,7)</f>
        <v>814.8</v>
      </c>
      <c r="C133" s="140">
        <f>VLOOKUP($A133,'Data shares'!$C:$FB,3)</f>
        <v>819.4</v>
      </c>
      <c r="D133" s="140">
        <f>VLOOKUP($A133,'Data shares'!$C:$FB,4)</f>
        <v>810.2</v>
      </c>
      <c r="E133" s="50">
        <f t="shared" si="3"/>
        <v>1.1355220933102852</v>
      </c>
      <c r="F133" s="49">
        <f>VLOOKUP($A133,'Data shares'!$C:$FB,98)</f>
        <v>35252400</v>
      </c>
      <c r="G133" s="49">
        <f>VLOOKUP($A133,'Data shares'!$C:$FB,99)</f>
        <v>34492800</v>
      </c>
      <c r="H133" s="50">
        <f t="shared" si="4"/>
        <v>2.2021987197328139</v>
      </c>
      <c r="I133" s="49">
        <f>VLOOKUP($A133,'Data shares'!$C:$FB,66)</f>
        <v>73628400</v>
      </c>
      <c r="J133" s="49">
        <f>VLOOKUP($A133,'Data shares'!$C:$FB,67)</f>
        <v>112729200</v>
      </c>
      <c r="K133" s="50">
        <f t="shared" si="5"/>
        <v>-53.105595123620773</v>
      </c>
      <c r="L133" s="50">
        <f>VLOOKUP($A133,'Data shares'!$C:$FB,118)</f>
        <v>0.71</v>
      </c>
      <c r="M133" s="50">
        <f>VLOOKUP($A133,'Data shares'!$C:$FB,119)</f>
        <v>0.74</v>
      </c>
      <c r="N133" s="50">
        <f>VLOOKUP($A133,'Data shares'!$C:$FB,121)*100</f>
        <v>-4.05</v>
      </c>
      <c r="O133" s="50">
        <f>VLOOKUP($A133,'Data shares'!$C:$FB,124)</f>
        <v>0.64</v>
      </c>
      <c r="P133" s="50">
        <f>VLOOKUP($A133,'Data shares'!$C:$FB,125)</f>
        <v>0.4</v>
      </c>
      <c r="Q133" s="50">
        <f>VLOOKUP($A133,'Data shares'!$C:$FB,127)*100</f>
        <v>60</v>
      </c>
    </row>
    <row r="134" spans="1:17" x14ac:dyDescent="0.25">
      <c r="A134" s="97" t="str">
        <f>'Data Vlaue (Cr)'!C129</f>
        <v>MARUTI</v>
      </c>
      <c r="B134" s="140">
        <f>VLOOKUP($A134,'Data shares'!$C:$FB,7)</f>
        <v>13722</v>
      </c>
      <c r="C134" s="140">
        <f>VLOOKUP($A134,'Data shares'!$C:$FB,3)</f>
        <v>13804</v>
      </c>
      <c r="D134" s="140">
        <f>VLOOKUP($A134,'Data shares'!$C:$FB,4)</f>
        <v>13452</v>
      </c>
      <c r="E134" s="50">
        <f t="shared" si="3"/>
        <v>2.6167112696996728</v>
      </c>
      <c r="F134" s="49">
        <f>VLOOKUP($A134,'Data shares'!$C:$FB,98)</f>
        <v>6195150</v>
      </c>
      <c r="G134" s="49">
        <f>VLOOKUP($A134,'Data shares'!$C:$FB,99)</f>
        <v>6301550</v>
      </c>
      <c r="H134" s="50">
        <f t="shared" si="4"/>
        <v>-1.6884734708127365</v>
      </c>
      <c r="I134" s="49">
        <f>VLOOKUP($A134,'Data shares'!$C:$FB,66)</f>
        <v>5776800</v>
      </c>
      <c r="J134" s="49">
        <f>VLOOKUP($A134,'Data shares'!$C:$FB,67)</f>
        <v>4417800</v>
      </c>
      <c r="K134" s="50">
        <f t="shared" si="5"/>
        <v>23.525135022850023</v>
      </c>
      <c r="L134" s="50">
        <f>VLOOKUP($A134,'Data shares'!$C:$FB,118)</f>
        <v>0.48</v>
      </c>
      <c r="M134" s="50">
        <f>VLOOKUP($A134,'Data shares'!$C:$FB,119)</f>
        <v>0.4</v>
      </c>
      <c r="N134" s="50">
        <f>VLOOKUP($A134,'Data shares'!$C:$FB,121)*100</f>
        <v>20</v>
      </c>
      <c r="O134" s="50">
        <f>VLOOKUP($A134,'Data shares'!$C:$FB,124)</f>
        <v>0.46</v>
      </c>
      <c r="P134" s="50">
        <f>VLOOKUP($A134,'Data shares'!$C:$FB,125)</f>
        <v>0.53</v>
      </c>
      <c r="Q134" s="50">
        <f>VLOOKUP($A134,'Data shares'!$C:$FB,127)*100</f>
        <v>-13.209999999999999</v>
      </c>
    </row>
    <row r="135" spans="1:17" x14ac:dyDescent="0.25">
      <c r="A135" s="97" t="str">
        <f>'Data Vlaue (Cr)'!C130</f>
        <v>MAXHEALTH</v>
      </c>
      <c r="B135" s="140">
        <f>VLOOKUP($A135,'Data shares'!$C:$FB,7)</f>
        <v>1015.9</v>
      </c>
      <c r="C135" s="140">
        <f>VLOOKUP($A135,'Data shares'!$C:$FB,3)</f>
        <v>1022.25</v>
      </c>
      <c r="D135" s="140">
        <f>VLOOKUP($A135,'Data shares'!$C:$FB,4)</f>
        <v>1005.75</v>
      </c>
      <c r="E135" s="50">
        <f t="shared" si="3"/>
        <v>1.6405667412378822</v>
      </c>
      <c r="F135" s="49">
        <f>VLOOKUP($A135,'Data shares'!$C:$FB,98)</f>
        <v>17104500</v>
      </c>
      <c r="G135" s="49">
        <f>VLOOKUP($A135,'Data shares'!$C:$FB,99)</f>
        <v>16941225</v>
      </c>
      <c r="H135" s="50">
        <f t="shared" si="4"/>
        <v>0.96377328085778913</v>
      </c>
      <c r="I135" s="49">
        <f>VLOOKUP($A135,'Data shares'!$C:$FB,66)</f>
        <v>4020450</v>
      </c>
      <c r="J135" s="49">
        <f>VLOOKUP($A135,'Data shares'!$C:$FB,67)</f>
        <v>2945250</v>
      </c>
      <c r="K135" s="50">
        <f t="shared" si="5"/>
        <v>26.743275006529121</v>
      </c>
      <c r="L135" s="50">
        <f>VLOOKUP($A135,'Data shares'!$C:$FB,118)</f>
        <v>0.51</v>
      </c>
      <c r="M135" s="50">
        <f>VLOOKUP($A135,'Data shares'!$C:$FB,119)</f>
        <v>0.59</v>
      </c>
      <c r="N135" s="50">
        <f>VLOOKUP($A135,'Data shares'!$C:$FB,121)*100</f>
        <v>-13.56</v>
      </c>
      <c r="O135" s="50">
        <f>VLOOKUP($A135,'Data shares'!$C:$FB,124)</f>
        <v>0.45</v>
      </c>
      <c r="P135" s="50">
        <f>VLOOKUP($A135,'Data shares'!$C:$FB,125)</f>
        <v>0.72</v>
      </c>
      <c r="Q135" s="50">
        <f>VLOOKUP($A135,'Data shares'!$C:$FB,127)*100</f>
        <v>-37.5</v>
      </c>
    </row>
    <row r="136" spans="1:17" x14ac:dyDescent="0.25">
      <c r="A136" s="97" t="str">
        <f>'Data Vlaue (Cr)'!C131</f>
        <v>MAZDOCK</v>
      </c>
      <c r="B136" s="140">
        <f>VLOOKUP($A136,'Data shares'!$C:$FB,7)</f>
        <v>2644.5</v>
      </c>
      <c r="C136" s="140">
        <f>VLOOKUP($A136,'Data shares'!$C:$FB,3)</f>
        <v>2658.7</v>
      </c>
      <c r="D136" s="140">
        <f>VLOOKUP($A136,'Data shares'!$C:$FB,4)</f>
        <v>2644.5</v>
      </c>
      <c r="E136" s="50">
        <f t="shared" ref="E136:E172" si="6">(C136-D136)/D136*100</f>
        <v>0.53696350916996849</v>
      </c>
      <c r="F136" s="49">
        <f>VLOOKUP($A136,'Data shares'!$C:$FB,98)</f>
        <v>11143375</v>
      </c>
      <c r="G136" s="49">
        <f>VLOOKUP($A136,'Data shares'!$C:$FB,99)</f>
        <v>11106975</v>
      </c>
      <c r="H136" s="50">
        <f t="shared" ref="H136:H172" si="7">(F136-G136)/G136*100</f>
        <v>0.32772199451245726</v>
      </c>
      <c r="I136" s="49">
        <f>VLOOKUP($A136,'Data shares'!$C:$FB,66)</f>
        <v>4769800</v>
      </c>
      <c r="J136" s="49">
        <f>VLOOKUP($A136,'Data shares'!$C:$FB,67)</f>
        <v>5800800</v>
      </c>
      <c r="K136" s="50">
        <f t="shared" ref="K136:K172" si="8">(I136-J136)/I136*100</f>
        <v>-21.615162061302364</v>
      </c>
      <c r="L136" s="50">
        <f>VLOOKUP($A136,'Data shares'!$C:$FB,118)</f>
        <v>0.42</v>
      </c>
      <c r="M136" s="50">
        <f>VLOOKUP($A136,'Data shares'!$C:$FB,119)</f>
        <v>0.41</v>
      </c>
      <c r="N136" s="50">
        <f>VLOOKUP($A136,'Data shares'!$C:$FB,121)*100</f>
        <v>2.44</v>
      </c>
      <c r="O136" s="50">
        <f>VLOOKUP($A136,'Data shares'!$C:$FB,124)</f>
        <v>0.28999999999999998</v>
      </c>
      <c r="P136" s="50">
        <f>VLOOKUP($A136,'Data shares'!$C:$FB,125)</f>
        <v>0.31</v>
      </c>
      <c r="Q136" s="50">
        <f>VLOOKUP($A136,'Data shares'!$C:$FB,127)*100</f>
        <v>-6.45</v>
      </c>
    </row>
    <row r="137" spans="1:17" x14ac:dyDescent="0.25">
      <c r="A137" s="97" t="str">
        <f>'Data Vlaue (Cr)'!C132</f>
        <v>MCX</v>
      </c>
      <c r="B137" s="140">
        <f>VLOOKUP($A137,'Data shares'!$C:$FB,7)</f>
        <v>2973.2</v>
      </c>
      <c r="C137" s="140">
        <f>VLOOKUP($A137,'Data shares'!$C:$FB,3)</f>
        <v>2987.3</v>
      </c>
      <c r="D137" s="140">
        <f>VLOOKUP($A137,'Data shares'!$C:$FB,4)</f>
        <v>2918.4</v>
      </c>
      <c r="E137" s="50">
        <f t="shared" si="6"/>
        <v>2.3608826754385994</v>
      </c>
      <c r="F137" s="49">
        <f>VLOOKUP($A137,'Data shares'!$C:$FB,98)</f>
        <v>21226825</v>
      </c>
      <c r="G137" s="49">
        <f>VLOOKUP($A137,'Data shares'!$C:$FB,99)</f>
        <v>21277650</v>
      </c>
      <c r="H137" s="50">
        <f t="shared" si="7"/>
        <v>-0.23886566420633859</v>
      </c>
      <c r="I137" s="49">
        <f>VLOOKUP($A137,'Data shares'!$C:$FB,66)</f>
        <v>15392500</v>
      </c>
      <c r="J137" s="49">
        <f>VLOOKUP($A137,'Data shares'!$C:$FB,67)</f>
        <v>12175625</v>
      </c>
      <c r="K137" s="50">
        <f t="shared" si="8"/>
        <v>20.898976774403121</v>
      </c>
      <c r="L137" s="50">
        <f>VLOOKUP($A137,'Data shares'!$C:$FB,118)</f>
        <v>0.78</v>
      </c>
      <c r="M137" s="50">
        <f>VLOOKUP($A137,'Data shares'!$C:$FB,119)</f>
        <v>0.69</v>
      </c>
      <c r="N137" s="50">
        <f>VLOOKUP($A137,'Data shares'!$C:$FB,121)*100</f>
        <v>13.04</v>
      </c>
      <c r="O137" s="50">
        <f>VLOOKUP($A137,'Data shares'!$C:$FB,124)</f>
        <v>0.63</v>
      </c>
      <c r="P137" s="50">
        <f>VLOOKUP($A137,'Data shares'!$C:$FB,125)</f>
        <v>0.64</v>
      </c>
      <c r="Q137" s="50">
        <f>VLOOKUP($A137,'Data shares'!$C:$FB,127)*100</f>
        <v>-1.5599999999999998</v>
      </c>
    </row>
    <row r="138" spans="1:17" x14ac:dyDescent="0.25">
      <c r="A138" s="97" t="str">
        <f>'Data Vlaue (Cr)'!C133</f>
        <v>MFSL</v>
      </c>
      <c r="B138" s="140">
        <f>VLOOKUP($A138,'Data shares'!$C:$FB,7)</f>
        <v>1652.8</v>
      </c>
      <c r="C138" s="140">
        <f>VLOOKUP($A138,'Data shares'!$C:$FB,3)</f>
        <v>1663.9</v>
      </c>
      <c r="D138" s="140">
        <f>VLOOKUP($A138,'Data shares'!$C:$FB,4)</f>
        <v>1605.5</v>
      </c>
      <c r="E138" s="50">
        <f t="shared" si="6"/>
        <v>3.63749610713174</v>
      </c>
      <c r="F138" s="49">
        <f>VLOOKUP($A138,'Data shares'!$C:$FB,98)</f>
        <v>10576800</v>
      </c>
      <c r="G138" s="49">
        <f>VLOOKUP($A138,'Data shares'!$C:$FB,99)</f>
        <v>10118400</v>
      </c>
      <c r="H138" s="50">
        <f t="shared" si="7"/>
        <v>4.5303605313092978</v>
      </c>
      <c r="I138" s="49">
        <f>VLOOKUP($A138,'Data shares'!$C:$FB,66)</f>
        <v>2489600</v>
      </c>
      <c r="J138" s="49">
        <f>VLOOKUP($A138,'Data shares'!$C:$FB,67)</f>
        <v>1154000</v>
      </c>
      <c r="K138" s="50">
        <f t="shared" si="8"/>
        <v>53.647172236503863</v>
      </c>
      <c r="L138" s="50">
        <f>VLOOKUP($A138,'Data shares'!$C:$FB,118)</f>
        <v>0.51</v>
      </c>
      <c r="M138" s="50">
        <f>VLOOKUP($A138,'Data shares'!$C:$FB,119)</f>
        <v>0.67</v>
      </c>
      <c r="N138" s="50">
        <f>VLOOKUP($A138,'Data shares'!$C:$FB,121)*100</f>
        <v>-23.880000000000003</v>
      </c>
      <c r="O138" s="50">
        <f>VLOOKUP($A138,'Data shares'!$C:$FB,124)</f>
        <v>0.25</v>
      </c>
      <c r="P138" s="50">
        <f>VLOOKUP($A138,'Data shares'!$C:$FB,125)</f>
        <v>0.36</v>
      </c>
      <c r="Q138" s="50">
        <f>VLOOKUP($A138,'Data shares'!$C:$FB,127)*100</f>
        <v>-30.56</v>
      </c>
    </row>
    <row r="139" spans="1:17" x14ac:dyDescent="0.25">
      <c r="A139" s="97" t="str">
        <f>'Data Vlaue (Cr)'!C134</f>
        <v>MIDCPNIFTY</v>
      </c>
      <c r="B139" s="140">
        <f>VLOOKUP($A139,'Data shares'!$C:$FB,7)</f>
        <v>14312.9</v>
      </c>
      <c r="C139" s="140">
        <f>VLOOKUP($A139,'Data shares'!$C:$FB,3)</f>
        <v>14400.6</v>
      </c>
      <c r="D139" s="140">
        <f>VLOOKUP($A139,'Data shares'!$C:$FB,4)</f>
        <v>14000.85</v>
      </c>
      <c r="E139" s="50">
        <f t="shared" si="6"/>
        <v>2.8551837924126038</v>
      </c>
      <c r="F139" s="49">
        <f>VLOOKUP($A139,'Data shares'!$C:$FB,98)</f>
        <v>11962920</v>
      </c>
      <c r="G139" s="49">
        <f>VLOOKUP($A139,'Data shares'!$C:$FB,99)</f>
        <v>10062480</v>
      </c>
      <c r="H139" s="50">
        <f t="shared" si="7"/>
        <v>18.886397786629143</v>
      </c>
      <c r="I139" s="49">
        <f>VLOOKUP($A139,'Data shares'!$C:$FB,66)</f>
        <v>26676600</v>
      </c>
      <c r="J139" s="49">
        <f>VLOOKUP($A139,'Data shares'!$C:$FB,67)</f>
        <v>11416080</v>
      </c>
      <c r="K139" s="50">
        <f t="shared" si="8"/>
        <v>57.205640898765211</v>
      </c>
      <c r="L139" s="50">
        <f>VLOOKUP($A139,'Data shares'!$C:$FB,118)</f>
        <v>1.29</v>
      </c>
      <c r="M139" s="50">
        <f>VLOOKUP($A139,'Data shares'!$C:$FB,119)</f>
        <v>1.1399999999999999</v>
      </c>
      <c r="N139" s="50">
        <f>VLOOKUP($A139,'Data shares'!$C:$FB,121)*100</f>
        <v>13.16</v>
      </c>
      <c r="O139" s="50">
        <f>VLOOKUP($A139,'Data shares'!$C:$FB,124)</f>
        <v>1.35</v>
      </c>
      <c r="P139" s="50">
        <f>VLOOKUP($A139,'Data shares'!$C:$FB,125)</f>
        <v>0.93</v>
      </c>
      <c r="Q139" s="50">
        <f>VLOOKUP($A139,'Data shares'!$C:$FB,127)*100</f>
        <v>45.16</v>
      </c>
    </row>
    <row r="140" spans="1:17" x14ac:dyDescent="0.25">
      <c r="A140" s="97" t="str">
        <f>'Data Vlaue (Cr)'!C135</f>
        <v>MOTHERSON</v>
      </c>
      <c r="B140" s="140">
        <f>VLOOKUP($A140,'Data shares'!$C:$FB,7)</f>
        <v>127.41</v>
      </c>
      <c r="C140" s="140">
        <f>VLOOKUP($A140,'Data shares'!$C:$FB,3)</f>
        <v>128.32</v>
      </c>
      <c r="D140" s="140">
        <f>VLOOKUP($A140,'Data shares'!$C:$FB,4)</f>
        <v>121.1</v>
      </c>
      <c r="E140" s="50">
        <f t="shared" si="6"/>
        <v>5.9620148637489674</v>
      </c>
      <c r="F140" s="49">
        <f>VLOOKUP($A140,'Data shares'!$C:$FB,98)</f>
        <v>189616800</v>
      </c>
      <c r="G140" s="49">
        <f>VLOOKUP($A140,'Data shares'!$C:$FB,99)</f>
        <v>184051050</v>
      </c>
      <c r="H140" s="50">
        <f t="shared" si="7"/>
        <v>3.0240251278110071</v>
      </c>
      <c r="I140" s="49">
        <f>VLOOKUP($A140,'Data shares'!$C:$FB,66)</f>
        <v>109925100</v>
      </c>
      <c r="J140" s="49">
        <f>VLOOKUP($A140,'Data shares'!$C:$FB,67)</f>
        <v>36537150</v>
      </c>
      <c r="K140" s="50">
        <f t="shared" si="8"/>
        <v>66.761776882622797</v>
      </c>
      <c r="L140" s="50">
        <f>VLOOKUP($A140,'Data shares'!$C:$FB,118)</f>
        <v>0.79</v>
      </c>
      <c r="M140" s="50">
        <f>VLOOKUP($A140,'Data shares'!$C:$FB,119)</f>
        <v>0.72</v>
      </c>
      <c r="N140" s="50">
        <f>VLOOKUP($A140,'Data shares'!$C:$FB,121)*100</f>
        <v>9.7199999999999989</v>
      </c>
      <c r="O140" s="50">
        <f>VLOOKUP($A140,'Data shares'!$C:$FB,124)</f>
        <v>0.34</v>
      </c>
      <c r="P140" s="50">
        <f>VLOOKUP($A140,'Data shares'!$C:$FB,125)</f>
        <v>0.55000000000000004</v>
      </c>
      <c r="Q140" s="50">
        <f>VLOOKUP($A140,'Data shares'!$C:$FB,127)*100</f>
        <v>-38.18</v>
      </c>
    </row>
    <row r="141" spans="1:17" x14ac:dyDescent="0.25">
      <c r="A141" s="97" t="str">
        <f>'Data Vlaue (Cr)'!C136</f>
        <v>MOTILALOFS</v>
      </c>
      <c r="B141" s="140">
        <f>VLOOKUP($A141,'Data shares'!$C:$FB,7)</f>
        <v>881.7</v>
      </c>
      <c r="C141" s="140">
        <f>VLOOKUP($A141,'Data shares'!$C:$FB,3)</f>
        <v>884.65</v>
      </c>
      <c r="D141" s="140">
        <f>VLOOKUP($A141,'Data shares'!$C:$FB,4)</f>
        <v>848.05</v>
      </c>
      <c r="E141" s="50">
        <f t="shared" si="6"/>
        <v>4.3157832674960233</v>
      </c>
      <c r="F141" s="49">
        <f>VLOOKUP($A141,'Data shares'!$C:$FB,98)</f>
        <v>6412350</v>
      </c>
      <c r="G141" s="49">
        <f>VLOOKUP($A141,'Data shares'!$C:$FB,99)</f>
        <v>6798300</v>
      </c>
      <c r="H141" s="50">
        <f t="shared" si="7"/>
        <v>-5.6771545827633378</v>
      </c>
      <c r="I141" s="49">
        <f>VLOOKUP($A141,'Data shares'!$C:$FB,66)</f>
        <v>5883800</v>
      </c>
      <c r="J141" s="49">
        <f>VLOOKUP($A141,'Data shares'!$C:$FB,67)</f>
        <v>4619000</v>
      </c>
      <c r="K141" s="50">
        <f t="shared" si="8"/>
        <v>21.496311907270812</v>
      </c>
      <c r="L141" s="50">
        <f>VLOOKUP($A141,'Data shares'!$C:$FB,118)</f>
        <v>0.64</v>
      </c>
      <c r="M141" s="50">
        <f>VLOOKUP($A141,'Data shares'!$C:$FB,119)</f>
        <v>0.65</v>
      </c>
      <c r="N141" s="50">
        <f>VLOOKUP($A141,'Data shares'!$C:$FB,121)*100</f>
        <v>-1.54</v>
      </c>
      <c r="O141" s="50">
        <f>VLOOKUP($A141,'Data shares'!$C:$FB,124)</f>
        <v>0.5</v>
      </c>
      <c r="P141" s="50">
        <f>VLOOKUP($A141,'Data shares'!$C:$FB,125)</f>
        <v>0.28999999999999998</v>
      </c>
      <c r="Q141" s="50">
        <f>VLOOKUP($A141,'Data shares'!$C:$FB,127)*100</f>
        <v>72.41</v>
      </c>
    </row>
    <row r="142" spans="1:17" x14ac:dyDescent="0.25">
      <c r="A142" s="97" t="str">
        <f>'Data Vlaue (Cr)'!C137</f>
        <v>MPHASIS</v>
      </c>
      <c r="B142" s="140">
        <f>VLOOKUP($A142,'Data shares'!$C:$FB,7)</f>
        <v>2218.5</v>
      </c>
      <c r="C142" s="140">
        <f>VLOOKUP($A142,'Data shares'!$C:$FB,3)</f>
        <v>2232.1999999999998</v>
      </c>
      <c r="D142" s="140">
        <f>VLOOKUP($A142,'Data shares'!$C:$FB,4)</f>
        <v>2221.6</v>
      </c>
      <c r="E142" s="50">
        <f t="shared" si="6"/>
        <v>0.47713359740727002</v>
      </c>
      <c r="F142" s="49">
        <f>VLOOKUP($A142,'Data shares'!$C:$FB,98)</f>
        <v>7304550</v>
      </c>
      <c r="G142" s="49">
        <f>VLOOKUP($A142,'Data shares'!$C:$FB,99)</f>
        <v>7221500</v>
      </c>
      <c r="H142" s="50">
        <f t="shared" si="7"/>
        <v>1.1500380807311501</v>
      </c>
      <c r="I142" s="49">
        <f>VLOOKUP($A142,'Data shares'!$C:$FB,66)</f>
        <v>4761900</v>
      </c>
      <c r="J142" s="49">
        <f>VLOOKUP($A142,'Data shares'!$C:$FB,67)</f>
        <v>3336025</v>
      </c>
      <c r="K142" s="50">
        <f t="shared" si="8"/>
        <v>29.943404943404943</v>
      </c>
      <c r="L142" s="50">
        <f>VLOOKUP($A142,'Data shares'!$C:$FB,118)</f>
        <v>0.6</v>
      </c>
      <c r="M142" s="50">
        <f>VLOOKUP($A142,'Data shares'!$C:$FB,119)</f>
        <v>0.6</v>
      </c>
      <c r="N142" s="50">
        <f>VLOOKUP($A142,'Data shares'!$C:$FB,121)*100</f>
        <v>0</v>
      </c>
      <c r="O142" s="50">
        <f>VLOOKUP($A142,'Data shares'!$C:$FB,124)</f>
        <v>0.28999999999999998</v>
      </c>
      <c r="P142" s="50">
        <f>VLOOKUP($A142,'Data shares'!$C:$FB,125)</f>
        <v>0.48</v>
      </c>
      <c r="Q142" s="50">
        <f>VLOOKUP($A142,'Data shares'!$C:$FB,127)*100</f>
        <v>-39.58</v>
      </c>
    </row>
    <row r="143" spans="1:17" x14ac:dyDescent="0.25">
      <c r="A143" s="97" t="str">
        <f>'Data Vlaue (Cr)'!C138</f>
        <v>MUTHOOTFIN</v>
      </c>
      <c r="B143" s="140">
        <f>VLOOKUP($A143,'Data shares'!$C:$FB,7)</f>
        <v>3533.6</v>
      </c>
      <c r="C143" s="140">
        <f>VLOOKUP($A143,'Data shares'!$C:$FB,3)</f>
        <v>3556.9</v>
      </c>
      <c r="D143" s="140">
        <f>VLOOKUP($A143,'Data shares'!$C:$FB,4)</f>
        <v>3466.1</v>
      </c>
      <c r="E143" s="50">
        <f t="shared" si="6"/>
        <v>2.6196589827183341</v>
      </c>
      <c r="F143" s="49">
        <f>VLOOKUP($A143,'Data shares'!$C:$FB,98)</f>
        <v>5899850</v>
      </c>
      <c r="G143" s="49">
        <f>VLOOKUP($A143,'Data shares'!$C:$FB,99)</f>
        <v>5613300</v>
      </c>
      <c r="H143" s="50">
        <f t="shared" si="7"/>
        <v>5.104840290025475</v>
      </c>
      <c r="I143" s="49">
        <f>VLOOKUP($A143,'Data shares'!$C:$FB,66)</f>
        <v>2976050</v>
      </c>
      <c r="J143" s="49">
        <f>VLOOKUP($A143,'Data shares'!$C:$FB,67)</f>
        <v>2600400</v>
      </c>
      <c r="K143" s="50">
        <f t="shared" si="8"/>
        <v>12.622435778968768</v>
      </c>
      <c r="L143" s="50">
        <f>VLOOKUP($A143,'Data shares'!$C:$FB,118)</f>
        <v>0.66</v>
      </c>
      <c r="M143" s="50">
        <f>VLOOKUP($A143,'Data shares'!$C:$FB,119)</f>
        <v>0.7</v>
      </c>
      <c r="N143" s="50">
        <f>VLOOKUP($A143,'Data shares'!$C:$FB,121)*100</f>
        <v>-5.71</v>
      </c>
      <c r="O143" s="50">
        <f>VLOOKUP($A143,'Data shares'!$C:$FB,124)</f>
        <v>0.51</v>
      </c>
      <c r="P143" s="50">
        <f>VLOOKUP($A143,'Data shares'!$C:$FB,125)</f>
        <v>0.6</v>
      </c>
      <c r="Q143" s="50">
        <f>VLOOKUP($A143,'Data shares'!$C:$FB,127)*100</f>
        <v>-15</v>
      </c>
    </row>
    <row r="144" spans="1:17" x14ac:dyDescent="0.25">
      <c r="A144" s="97" t="str">
        <f>'Data Vlaue (Cr)'!C139</f>
        <v>NAM-INDIA</v>
      </c>
      <c r="B144" s="140">
        <f>VLOOKUP($A144,'Data shares'!$C:$FB,7)</f>
        <v>1094.2</v>
      </c>
      <c r="C144" s="140">
        <f>VLOOKUP($A144,'Data shares'!$C:$FB,3)</f>
        <v>1093.3</v>
      </c>
      <c r="D144" s="140">
        <f>VLOOKUP($A144,'Data shares'!$C:$FB,4)</f>
        <v>1054.2</v>
      </c>
      <c r="E144" s="50">
        <f t="shared" si="6"/>
        <v>3.7089736292923456</v>
      </c>
      <c r="F144" s="49">
        <f>VLOOKUP($A144,'Data shares'!$C:$FB,98)</f>
        <v>5672500</v>
      </c>
      <c r="G144" s="49">
        <f>VLOOKUP($A144,'Data shares'!$C:$FB,99)</f>
        <v>5368125</v>
      </c>
      <c r="H144" s="50">
        <f t="shared" si="7"/>
        <v>5.6700430783560369</v>
      </c>
      <c r="I144" s="49">
        <f>VLOOKUP($A144,'Data shares'!$C:$FB,66)</f>
        <v>7177500</v>
      </c>
      <c r="J144" s="49">
        <f>VLOOKUP($A144,'Data shares'!$C:$FB,67)</f>
        <v>5469375</v>
      </c>
      <c r="K144" s="50">
        <f t="shared" si="8"/>
        <v>23.798328108672937</v>
      </c>
      <c r="L144" s="50">
        <f>VLOOKUP($A144,'Data shares'!$C:$FB,118)</f>
        <v>0.4</v>
      </c>
      <c r="M144" s="50">
        <f>VLOOKUP($A144,'Data shares'!$C:$FB,119)</f>
        <v>0.39</v>
      </c>
      <c r="N144" s="50">
        <f>VLOOKUP($A144,'Data shares'!$C:$FB,121)*100</f>
        <v>2.56</v>
      </c>
      <c r="O144" s="50">
        <f>VLOOKUP($A144,'Data shares'!$C:$FB,124)</f>
        <v>0.19</v>
      </c>
      <c r="P144" s="50">
        <f>VLOOKUP($A144,'Data shares'!$C:$FB,125)</f>
        <v>0.16</v>
      </c>
      <c r="Q144" s="50">
        <f>VLOOKUP($A144,'Data shares'!$C:$FB,127)*100</f>
        <v>18.75</v>
      </c>
    </row>
    <row r="145" spans="1:17" x14ac:dyDescent="0.25">
      <c r="A145" s="97" t="str">
        <f>'Data Vlaue (Cr)'!C140</f>
        <v>NATIONALUM</v>
      </c>
      <c r="B145" s="140">
        <f>VLOOKUP($A145,'Data shares'!$C:$FB,7)</f>
        <v>406.55</v>
      </c>
      <c r="C145" s="140">
        <f>VLOOKUP($A145,'Data shares'!$C:$FB,3)</f>
        <v>407</v>
      </c>
      <c r="D145" s="140">
        <f>VLOOKUP($A145,'Data shares'!$C:$FB,4)</f>
        <v>414.05</v>
      </c>
      <c r="E145" s="50">
        <f t="shared" si="6"/>
        <v>-1.7026929114841229</v>
      </c>
      <c r="F145" s="49">
        <f>VLOOKUP($A145,'Data shares'!$C:$FB,98)</f>
        <v>98649375</v>
      </c>
      <c r="G145" s="49">
        <f>VLOOKUP($A145,'Data shares'!$C:$FB,99)</f>
        <v>96541875</v>
      </c>
      <c r="H145" s="50">
        <f t="shared" si="7"/>
        <v>2.1829905416690942</v>
      </c>
      <c r="I145" s="49">
        <f>VLOOKUP($A145,'Data shares'!$C:$FB,66)</f>
        <v>61848750</v>
      </c>
      <c r="J145" s="49">
        <f>VLOOKUP($A145,'Data shares'!$C:$FB,67)</f>
        <v>60650625</v>
      </c>
      <c r="K145" s="50">
        <f t="shared" si="8"/>
        <v>1.9371854726247499</v>
      </c>
      <c r="L145" s="50">
        <f>VLOOKUP($A145,'Data shares'!$C:$FB,118)</f>
        <v>0.53</v>
      </c>
      <c r="M145" s="50">
        <f>VLOOKUP($A145,'Data shares'!$C:$FB,119)</f>
        <v>0.54</v>
      </c>
      <c r="N145" s="50">
        <f>VLOOKUP($A145,'Data shares'!$C:$FB,121)*100</f>
        <v>-1.8499999999999999</v>
      </c>
      <c r="O145" s="50">
        <f>VLOOKUP($A145,'Data shares'!$C:$FB,124)</f>
        <v>0.51</v>
      </c>
      <c r="P145" s="50">
        <f>VLOOKUP($A145,'Data shares'!$C:$FB,125)</f>
        <v>0.44</v>
      </c>
      <c r="Q145" s="50">
        <f>VLOOKUP($A145,'Data shares'!$C:$FB,127)*100</f>
        <v>15.909999999999998</v>
      </c>
    </row>
    <row r="146" spans="1:17" x14ac:dyDescent="0.25">
      <c r="A146" s="97" t="str">
        <f>'Data Vlaue (Cr)'!C141</f>
        <v>NAUKRI</v>
      </c>
      <c r="B146" s="140">
        <f>VLOOKUP($A146,'Data shares'!$C:$FB,7)</f>
        <v>981.4</v>
      </c>
      <c r="C146" s="140">
        <f>VLOOKUP($A146,'Data shares'!$C:$FB,3)</f>
        <v>988.7</v>
      </c>
      <c r="D146" s="140">
        <f>VLOOKUP($A146,'Data shares'!$C:$FB,4)</f>
        <v>969.4</v>
      </c>
      <c r="E146" s="50">
        <f t="shared" si="6"/>
        <v>1.9909222199298606</v>
      </c>
      <c r="F146" s="49">
        <f>VLOOKUP($A146,'Data shares'!$C:$FB,98)</f>
        <v>14903875</v>
      </c>
      <c r="G146" s="49">
        <f>VLOOKUP($A146,'Data shares'!$C:$FB,99)</f>
        <v>14183600</v>
      </c>
      <c r="H146" s="50">
        <f t="shared" si="7"/>
        <v>5.0782241461970159</v>
      </c>
      <c r="I146" s="49">
        <f>VLOOKUP($A146,'Data shares'!$C:$FB,66)</f>
        <v>4995750</v>
      </c>
      <c r="J146" s="49">
        <f>VLOOKUP($A146,'Data shares'!$C:$FB,67)</f>
        <v>4401375</v>
      </c>
      <c r="K146" s="50">
        <f t="shared" si="8"/>
        <v>11.897612971025371</v>
      </c>
      <c r="L146" s="50">
        <f>VLOOKUP($A146,'Data shares'!$C:$FB,118)</f>
        <v>0.35</v>
      </c>
      <c r="M146" s="50">
        <f>VLOOKUP($A146,'Data shares'!$C:$FB,119)</f>
        <v>0.38</v>
      </c>
      <c r="N146" s="50">
        <f>VLOOKUP($A146,'Data shares'!$C:$FB,121)*100</f>
        <v>-7.89</v>
      </c>
      <c r="O146" s="50">
        <f>VLOOKUP($A146,'Data shares'!$C:$FB,124)</f>
        <v>0.34</v>
      </c>
      <c r="P146" s="50">
        <f>VLOOKUP($A146,'Data shares'!$C:$FB,125)</f>
        <v>0.37</v>
      </c>
      <c r="Q146" s="50">
        <f>VLOOKUP($A146,'Data shares'!$C:$FB,127)*100</f>
        <v>-8.1100000000000012</v>
      </c>
    </row>
    <row r="147" spans="1:17" x14ac:dyDescent="0.25">
      <c r="A147" s="97" t="str">
        <f>'Data Vlaue (Cr)'!C142</f>
        <v>NBCC</v>
      </c>
      <c r="B147" s="140">
        <f>VLOOKUP($A147,'Data shares'!$C:$FB,7)</f>
        <v>94.94</v>
      </c>
      <c r="C147" s="140">
        <f>VLOOKUP($A147,'Data shares'!$C:$FB,3)</f>
        <v>95.59</v>
      </c>
      <c r="D147" s="140">
        <f>VLOOKUP($A147,'Data shares'!$C:$FB,4)</f>
        <v>93.18</v>
      </c>
      <c r="E147" s="50">
        <f t="shared" si="6"/>
        <v>2.5863919295986224</v>
      </c>
      <c r="F147" s="49">
        <f>VLOOKUP($A147,'Data shares'!$C:$FB,98)</f>
        <v>105807000</v>
      </c>
      <c r="G147" s="49">
        <f>VLOOKUP($A147,'Data shares'!$C:$FB,99)</f>
        <v>99989500</v>
      </c>
      <c r="H147" s="50">
        <f t="shared" si="7"/>
        <v>5.8181109016446726</v>
      </c>
      <c r="I147" s="49">
        <f>VLOOKUP($A147,'Data shares'!$C:$FB,66)</f>
        <v>56634500</v>
      </c>
      <c r="J147" s="49">
        <f>VLOOKUP($A147,'Data shares'!$C:$FB,67)</f>
        <v>14722500</v>
      </c>
      <c r="K147" s="50">
        <f t="shared" si="8"/>
        <v>74.004361299208071</v>
      </c>
      <c r="L147" s="50">
        <f>VLOOKUP($A147,'Data shares'!$C:$FB,118)</f>
        <v>0.79</v>
      </c>
      <c r="M147" s="50">
        <f>VLOOKUP($A147,'Data shares'!$C:$FB,119)</f>
        <v>0.73</v>
      </c>
      <c r="N147" s="50">
        <f>VLOOKUP($A147,'Data shares'!$C:$FB,121)*100</f>
        <v>8.2199999999999989</v>
      </c>
      <c r="O147" s="50">
        <f>VLOOKUP($A147,'Data shares'!$C:$FB,124)</f>
        <v>0.36</v>
      </c>
      <c r="P147" s="50">
        <f>VLOOKUP($A147,'Data shares'!$C:$FB,125)</f>
        <v>0.51</v>
      </c>
      <c r="Q147" s="50">
        <f>VLOOKUP($A147,'Data shares'!$C:$FB,127)*100</f>
        <v>-29.409999999999997</v>
      </c>
    </row>
    <row r="148" spans="1:17" x14ac:dyDescent="0.25">
      <c r="A148" s="97" t="str">
        <f>'Data Vlaue (Cr)'!C143</f>
        <v>NESTLEIND</v>
      </c>
      <c r="B148" s="140">
        <f>VLOOKUP($A148,'Data shares'!$C:$FB,7)</f>
        <v>1486.1</v>
      </c>
      <c r="C148" s="140">
        <f>VLOOKUP($A148,'Data shares'!$C:$FB,3)</f>
        <v>1490.7</v>
      </c>
      <c r="D148" s="140">
        <f>VLOOKUP($A148,'Data shares'!$C:$FB,4)</f>
        <v>1479.8</v>
      </c>
      <c r="E148" s="50">
        <f t="shared" si="6"/>
        <v>0.73658602513853844</v>
      </c>
      <c r="F148" s="49">
        <f>VLOOKUP($A148,'Data shares'!$C:$FB,98)</f>
        <v>23236000</v>
      </c>
      <c r="G148" s="49">
        <f>VLOOKUP($A148,'Data shares'!$C:$FB,99)</f>
        <v>22157000</v>
      </c>
      <c r="H148" s="50">
        <f t="shared" si="7"/>
        <v>4.8697928419912442</v>
      </c>
      <c r="I148" s="49">
        <f>VLOOKUP($A148,'Data shares'!$C:$FB,66)</f>
        <v>11905000</v>
      </c>
      <c r="J148" s="49">
        <f>VLOOKUP($A148,'Data shares'!$C:$FB,67)</f>
        <v>10287000</v>
      </c>
      <c r="K148" s="50">
        <f t="shared" si="8"/>
        <v>13.590928181436372</v>
      </c>
      <c r="L148" s="50">
        <f>VLOOKUP($A148,'Data shares'!$C:$FB,118)</f>
        <v>1.08</v>
      </c>
      <c r="M148" s="50">
        <f>VLOOKUP($A148,'Data shares'!$C:$FB,119)</f>
        <v>0.93</v>
      </c>
      <c r="N148" s="50">
        <f>VLOOKUP($A148,'Data shares'!$C:$FB,121)*100</f>
        <v>16.13</v>
      </c>
      <c r="O148" s="50">
        <f>VLOOKUP($A148,'Data shares'!$C:$FB,124)</f>
        <v>0.95</v>
      </c>
      <c r="P148" s="50">
        <f>VLOOKUP($A148,'Data shares'!$C:$FB,125)</f>
        <v>0.7</v>
      </c>
      <c r="Q148" s="50">
        <f>VLOOKUP($A148,'Data shares'!$C:$FB,127)*100</f>
        <v>35.709999999999994</v>
      </c>
    </row>
    <row r="149" spans="1:17" x14ac:dyDescent="0.25">
      <c r="A149" s="97" t="str">
        <f>'Data Vlaue (Cr)'!C144</f>
        <v>NHPC</v>
      </c>
      <c r="B149" s="140">
        <f>VLOOKUP($A149,'Data shares'!$C:$FB,7)</f>
        <v>83.66</v>
      </c>
      <c r="C149" s="140">
        <f>VLOOKUP($A149,'Data shares'!$C:$FB,3)</f>
        <v>83.06</v>
      </c>
      <c r="D149" s="140">
        <f>VLOOKUP($A149,'Data shares'!$C:$FB,4)</f>
        <v>82.56</v>
      </c>
      <c r="E149" s="50">
        <f t="shared" si="6"/>
        <v>0.60562015503875966</v>
      </c>
      <c r="F149" s="49">
        <f>VLOOKUP($A149,'Data shares'!$C:$FB,98)</f>
        <v>168492000</v>
      </c>
      <c r="G149" s="49">
        <f>VLOOKUP($A149,'Data shares'!$C:$FB,99)</f>
        <v>162676200</v>
      </c>
      <c r="H149" s="50">
        <f t="shared" si="7"/>
        <v>3.5750773622693424</v>
      </c>
      <c r="I149" s="49">
        <f>VLOOKUP($A149,'Data shares'!$C:$FB,66)</f>
        <v>53881600</v>
      </c>
      <c r="J149" s="49">
        <f>VLOOKUP($A149,'Data shares'!$C:$FB,67)</f>
        <v>39270400</v>
      </c>
      <c r="K149" s="50">
        <f t="shared" si="8"/>
        <v>27.117234825988835</v>
      </c>
      <c r="L149" s="50">
        <f>VLOOKUP($A149,'Data shares'!$C:$FB,118)</f>
        <v>0.57999999999999996</v>
      </c>
      <c r="M149" s="50">
        <f>VLOOKUP($A149,'Data shares'!$C:$FB,119)</f>
        <v>0.56999999999999995</v>
      </c>
      <c r="N149" s="50">
        <f>VLOOKUP($A149,'Data shares'!$C:$FB,121)*100</f>
        <v>1.7500000000000002</v>
      </c>
      <c r="O149" s="50">
        <f>VLOOKUP($A149,'Data shares'!$C:$FB,124)</f>
        <v>0.25</v>
      </c>
      <c r="P149" s="50">
        <f>VLOOKUP($A149,'Data shares'!$C:$FB,125)</f>
        <v>0.3</v>
      </c>
      <c r="Q149" s="50">
        <f>VLOOKUP($A149,'Data shares'!$C:$FB,127)*100</f>
        <v>-16.669999999999998</v>
      </c>
    </row>
    <row r="150" spans="1:17" x14ac:dyDescent="0.25">
      <c r="A150" s="97" t="str">
        <f>'Data Vlaue (Cr)'!C145</f>
        <v>NIFTY</v>
      </c>
      <c r="B150" s="140">
        <f>VLOOKUP($A150,'Data shares'!$C:$FB,7)</f>
        <v>24330.95</v>
      </c>
      <c r="C150" s="140">
        <f>VLOOKUP($A150,'Data shares'!$C:$FB,3)</f>
        <v>24447.4</v>
      </c>
      <c r="D150" s="140">
        <f>VLOOKUP($A150,'Data shares'!$C:$FB,4)</f>
        <v>24106.3</v>
      </c>
      <c r="E150" s="50">
        <f t="shared" si="6"/>
        <v>1.4149828053247584</v>
      </c>
      <c r="F150" s="49">
        <f>VLOOKUP($A150,'Data shares'!$C:$FB,98)</f>
        <v>410215605</v>
      </c>
      <c r="G150" s="49">
        <f>VLOOKUP($A150,'Data shares'!$C:$FB,99)</f>
        <v>699955190</v>
      </c>
      <c r="H150" s="50">
        <f t="shared" si="7"/>
        <v>-41.39401909427945</v>
      </c>
      <c r="I150" s="49">
        <f>VLOOKUP($A150,'Data shares'!$C:$FB,66)</f>
        <v>3940323985</v>
      </c>
      <c r="J150" s="49">
        <f>VLOOKUP($A150,'Data shares'!$C:$FB,67)</f>
        <v>28794158640</v>
      </c>
      <c r="K150" s="50">
        <f t="shared" si="8"/>
        <v>-630.75611928393243</v>
      </c>
      <c r="L150" s="50">
        <f>VLOOKUP($A150,'Data shares'!$C:$FB,118)</f>
        <v>1.19</v>
      </c>
      <c r="M150" s="50">
        <f>VLOOKUP($A150,'Data shares'!$C:$FB,119)</f>
        <v>1.08</v>
      </c>
      <c r="N150" s="50">
        <f>VLOOKUP($A150,'Data shares'!$C:$FB,121)*100</f>
        <v>10.190000000000001</v>
      </c>
      <c r="O150" s="50">
        <f>VLOOKUP($A150,'Data shares'!$C:$FB,124)</f>
        <v>1.01</v>
      </c>
      <c r="P150" s="50">
        <f>VLOOKUP($A150,'Data shares'!$C:$FB,125)</f>
        <v>0.89</v>
      </c>
      <c r="Q150" s="50">
        <f>VLOOKUP($A150,'Data shares'!$C:$FB,127)*100</f>
        <v>13.48</v>
      </c>
    </row>
    <row r="151" spans="1:17" x14ac:dyDescent="0.25">
      <c r="A151" s="97" t="str">
        <f>'Data Vlaue (Cr)'!C146</f>
        <v>NIFTYNXT50</v>
      </c>
      <c r="B151" s="140">
        <f>VLOOKUP($A151,'Data shares'!$C:$FB,7)</f>
        <v>71691.45</v>
      </c>
      <c r="C151" s="140">
        <f>VLOOKUP($A151,'Data shares'!$C:$FB,3)</f>
        <v>72015.399999999994</v>
      </c>
      <c r="D151" s="140">
        <f>VLOOKUP($A151,'Data shares'!$C:$FB,4)</f>
        <v>70793.600000000006</v>
      </c>
      <c r="E151" s="50">
        <f t="shared" si="6"/>
        <v>1.7258622248338666</v>
      </c>
      <c r="F151" s="49">
        <f>VLOOKUP($A151,'Data shares'!$C:$FB,98)</f>
        <v>23550</v>
      </c>
      <c r="G151" s="49">
        <f>VLOOKUP($A151,'Data shares'!$C:$FB,99)</f>
        <v>21625</v>
      </c>
      <c r="H151" s="50">
        <f t="shared" si="7"/>
        <v>8.901734104046243</v>
      </c>
      <c r="I151" s="49">
        <f>VLOOKUP($A151,'Data shares'!$C:$FB,66)</f>
        <v>16825</v>
      </c>
      <c r="J151" s="49">
        <f>VLOOKUP($A151,'Data shares'!$C:$FB,67)</f>
        <v>8250</v>
      </c>
      <c r="K151" s="50">
        <f t="shared" si="8"/>
        <v>50.965824665676074</v>
      </c>
      <c r="L151" s="50">
        <f>VLOOKUP($A151,'Data shares'!$C:$FB,118)</f>
        <v>0.11</v>
      </c>
      <c r="M151" s="50">
        <f>VLOOKUP($A151,'Data shares'!$C:$FB,119)</f>
        <v>0.1</v>
      </c>
      <c r="N151" s="50">
        <f>VLOOKUP($A151,'Data shares'!$C:$FB,121)*100</f>
        <v>10</v>
      </c>
      <c r="O151" s="50">
        <f>VLOOKUP($A151,'Data shares'!$C:$FB,124)</f>
        <v>0.06</v>
      </c>
      <c r="P151" s="50">
        <f>VLOOKUP($A151,'Data shares'!$C:$FB,125)</f>
        <v>0.04</v>
      </c>
      <c r="Q151" s="50">
        <f>VLOOKUP($A151,'Data shares'!$C:$FB,127)*100</f>
        <v>50</v>
      </c>
    </row>
    <row r="152" spans="1:17" x14ac:dyDescent="0.25">
      <c r="A152" s="97" t="str">
        <f>'Data Vlaue (Cr)'!C147</f>
        <v>NMDC</v>
      </c>
      <c r="B152" s="140">
        <f>VLOOKUP($A152,'Data shares'!$C:$FB,7)</f>
        <v>89.18</v>
      </c>
      <c r="C152" s="140">
        <f>VLOOKUP($A152,'Data shares'!$C:$FB,3)</f>
        <v>89.82</v>
      </c>
      <c r="D152" s="140">
        <f>VLOOKUP($A152,'Data shares'!$C:$FB,4)</f>
        <v>89.34</v>
      </c>
      <c r="E152" s="50">
        <f t="shared" si="6"/>
        <v>0.5372733378105996</v>
      </c>
      <c r="F152" s="49">
        <f>VLOOKUP($A152,'Data shares'!$C:$FB,98)</f>
        <v>435111750</v>
      </c>
      <c r="G152" s="49">
        <f>VLOOKUP($A152,'Data shares'!$C:$FB,99)</f>
        <v>428125500</v>
      </c>
      <c r="H152" s="50">
        <f t="shared" si="7"/>
        <v>1.6318229117396652</v>
      </c>
      <c r="I152" s="49">
        <f>VLOOKUP($A152,'Data shares'!$C:$FB,66)</f>
        <v>73926000</v>
      </c>
      <c r="J152" s="49">
        <f>VLOOKUP($A152,'Data shares'!$C:$FB,67)</f>
        <v>55397250</v>
      </c>
      <c r="K152" s="50">
        <f t="shared" si="8"/>
        <v>25.063915266617968</v>
      </c>
      <c r="L152" s="50">
        <f>VLOOKUP($A152,'Data shares'!$C:$FB,118)</f>
        <v>0.5</v>
      </c>
      <c r="M152" s="50">
        <f>VLOOKUP($A152,'Data shares'!$C:$FB,119)</f>
        <v>0.48</v>
      </c>
      <c r="N152" s="50">
        <f>VLOOKUP($A152,'Data shares'!$C:$FB,121)*100</f>
        <v>4.17</v>
      </c>
      <c r="O152" s="50">
        <f>VLOOKUP($A152,'Data shares'!$C:$FB,124)</f>
        <v>0.33</v>
      </c>
      <c r="P152" s="50">
        <f>VLOOKUP($A152,'Data shares'!$C:$FB,125)</f>
        <v>0.28999999999999998</v>
      </c>
      <c r="Q152" s="50">
        <f>VLOOKUP($A152,'Data shares'!$C:$FB,127)*100</f>
        <v>13.79</v>
      </c>
    </row>
    <row r="153" spans="1:17" x14ac:dyDescent="0.25">
      <c r="A153" s="97" t="str">
        <f>'Data Vlaue (Cr)'!C148</f>
        <v>NTPC</v>
      </c>
      <c r="B153" s="140">
        <f>VLOOKUP($A153,'Data shares'!$C:$FB,7)</f>
        <v>394.85</v>
      </c>
      <c r="C153" s="140">
        <f>VLOOKUP($A153,'Data shares'!$C:$FB,3)</f>
        <v>397.1</v>
      </c>
      <c r="D153" s="140">
        <f>VLOOKUP($A153,'Data shares'!$C:$FB,4)</f>
        <v>399.6</v>
      </c>
      <c r="E153" s="50">
        <f t="shared" si="6"/>
        <v>-0.62562562562562563</v>
      </c>
      <c r="F153" s="49">
        <f>VLOOKUP($A153,'Data shares'!$C:$FB,98)</f>
        <v>169789500</v>
      </c>
      <c r="G153" s="49">
        <f>VLOOKUP($A153,'Data shares'!$C:$FB,99)</f>
        <v>165553500</v>
      </c>
      <c r="H153" s="50">
        <f t="shared" si="7"/>
        <v>2.5586894870842354</v>
      </c>
      <c r="I153" s="49">
        <f>VLOOKUP($A153,'Data shares'!$C:$FB,66)</f>
        <v>65410500</v>
      </c>
      <c r="J153" s="49">
        <f>VLOOKUP($A153,'Data shares'!$C:$FB,67)</f>
        <v>57469500</v>
      </c>
      <c r="K153" s="50">
        <f t="shared" si="8"/>
        <v>12.140252711720596</v>
      </c>
      <c r="L153" s="50">
        <f>VLOOKUP($A153,'Data shares'!$C:$FB,118)</f>
        <v>0.37</v>
      </c>
      <c r="M153" s="50">
        <f>VLOOKUP($A153,'Data shares'!$C:$FB,119)</f>
        <v>0.38</v>
      </c>
      <c r="N153" s="50">
        <f>VLOOKUP($A153,'Data shares'!$C:$FB,121)*100</f>
        <v>-2.63</v>
      </c>
      <c r="O153" s="50">
        <f>VLOOKUP($A153,'Data shares'!$C:$FB,124)</f>
        <v>0.35</v>
      </c>
      <c r="P153" s="50">
        <f>VLOOKUP($A153,'Data shares'!$C:$FB,125)</f>
        <v>0.25</v>
      </c>
      <c r="Q153" s="50">
        <f>VLOOKUP($A153,'Data shares'!$C:$FB,127)*100</f>
        <v>40</v>
      </c>
    </row>
    <row r="154" spans="1:17" x14ac:dyDescent="0.25">
      <c r="A154" s="97" t="str">
        <f>'Data Vlaue (Cr)'!C149</f>
        <v>NUVAMA</v>
      </c>
      <c r="B154" s="140">
        <f>VLOOKUP($A154,'Data shares'!$C:$FB,7)</f>
        <v>1413.6</v>
      </c>
      <c r="C154" s="140">
        <f>VLOOKUP($A154,'Data shares'!$C:$FB,3)</f>
        <v>1401.4</v>
      </c>
      <c r="D154" s="140">
        <f>VLOOKUP($A154,'Data shares'!$C:$FB,4)</f>
        <v>1342.3</v>
      </c>
      <c r="E154" s="50">
        <f t="shared" si="6"/>
        <v>4.4028905609774371</v>
      </c>
      <c r="F154" s="49">
        <f>VLOOKUP($A154,'Data shares'!$C:$FB,98)</f>
        <v>2647000</v>
      </c>
      <c r="G154" s="49">
        <f>VLOOKUP($A154,'Data shares'!$C:$FB,99)</f>
        <v>2387000</v>
      </c>
      <c r="H154" s="50">
        <f t="shared" si="7"/>
        <v>10.892333472978635</v>
      </c>
      <c r="I154" s="49">
        <f>VLOOKUP($A154,'Data shares'!$C:$FB,66)</f>
        <v>2895500</v>
      </c>
      <c r="J154" s="49">
        <f>VLOOKUP($A154,'Data shares'!$C:$FB,67)</f>
        <v>2135000</v>
      </c>
      <c r="K154" s="50">
        <f t="shared" si="8"/>
        <v>26.264893800725265</v>
      </c>
      <c r="L154" s="50">
        <f>VLOOKUP($A154,'Data shares'!$C:$FB,118)</f>
        <v>0.62</v>
      </c>
      <c r="M154" s="50">
        <f>VLOOKUP($A154,'Data shares'!$C:$FB,119)</f>
        <v>0.5</v>
      </c>
      <c r="N154" s="50">
        <f>VLOOKUP($A154,'Data shares'!$C:$FB,121)*100</f>
        <v>24</v>
      </c>
      <c r="O154" s="50">
        <f>VLOOKUP($A154,'Data shares'!$C:$FB,124)</f>
        <v>0.41</v>
      </c>
      <c r="P154" s="50">
        <f>VLOOKUP($A154,'Data shares'!$C:$FB,125)</f>
        <v>0.21</v>
      </c>
      <c r="Q154" s="50">
        <f>VLOOKUP($A154,'Data shares'!$C:$FB,127)*100</f>
        <v>95.240000000000009</v>
      </c>
    </row>
    <row r="155" spans="1:17" x14ac:dyDescent="0.25">
      <c r="A155" s="97" t="str">
        <f>'Data Vlaue (Cr)'!C150</f>
        <v>NYKAA</v>
      </c>
      <c r="B155" s="140">
        <f>VLOOKUP($A155,'Data shares'!$C:$FB,7)</f>
        <v>272.35000000000002</v>
      </c>
      <c r="C155" s="140">
        <f>VLOOKUP($A155,'Data shares'!$C:$FB,3)</f>
        <v>273.75</v>
      </c>
      <c r="D155" s="140">
        <f>VLOOKUP($A155,'Data shares'!$C:$FB,4)</f>
        <v>270.7</v>
      </c>
      <c r="E155" s="50">
        <f t="shared" si="6"/>
        <v>1.1267085334318476</v>
      </c>
      <c r="F155" s="49">
        <f>VLOOKUP($A155,'Data shares'!$C:$FB,98)</f>
        <v>57384375</v>
      </c>
      <c r="G155" s="49">
        <f>VLOOKUP($A155,'Data shares'!$C:$FB,99)</f>
        <v>55884375</v>
      </c>
      <c r="H155" s="50">
        <f t="shared" si="7"/>
        <v>2.6841134037913101</v>
      </c>
      <c r="I155" s="49">
        <f>VLOOKUP($A155,'Data shares'!$C:$FB,66)</f>
        <v>14478125</v>
      </c>
      <c r="J155" s="49">
        <f>VLOOKUP($A155,'Data shares'!$C:$FB,67)</f>
        <v>8543750</v>
      </c>
      <c r="K155" s="50">
        <f t="shared" si="8"/>
        <v>40.988560328081157</v>
      </c>
      <c r="L155" s="50">
        <f>VLOOKUP($A155,'Data shares'!$C:$FB,118)</f>
        <v>0.51</v>
      </c>
      <c r="M155" s="50">
        <f>VLOOKUP($A155,'Data shares'!$C:$FB,119)</f>
        <v>0.55000000000000004</v>
      </c>
      <c r="N155" s="50">
        <f>VLOOKUP($A155,'Data shares'!$C:$FB,121)*100</f>
        <v>-7.2700000000000005</v>
      </c>
      <c r="O155" s="50">
        <f>VLOOKUP($A155,'Data shares'!$C:$FB,124)</f>
        <v>0.21</v>
      </c>
      <c r="P155" s="50">
        <f>VLOOKUP($A155,'Data shares'!$C:$FB,125)</f>
        <v>0.28000000000000003</v>
      </c>
      <c r="Q155" s="50">
        <f>VLOOKUP($A155,'Data shares'!$C:$FB,127)*100</f>
        <v>-25</v>
      </c>
    </row>
    <row r="156" spans="1:17" x14ac:dyDescent="0.25">
      <c r="A156" s="97" t="str">
        <f>'Data Vlaue (Cr)'!C151</f>
        <v>OBEROIRLTY</v>
      </c>
      <c r="B156" s="140">
        <f>VLOOKUP($A156,'Data shares'!$C:$FB,7)</f>
        <v>1673.4</v>
      </c>
      <c r="C156" s="140">
        <f>VLOOKUP($A156,'Data shares'!$C:$FB,3)</f>
        <v>1680.5</v>
      </c>
      <c r="D156" s="140">
        <f>VLOOKUP($A156,'Data shares'!$C:$FB,4)</f>
        <v>1670.4</v>
      </c>
      <c r="E156" s="50">
        <f t="shared" si="6"/>
        <v>0.60464559386972627</v>
      </c>
      <c r="F156" s="49">
        <f>VLOOKUP($A156,'Data shares'!$C:$FB,98)</f>
        <v>8488900</v>
      </c>
      <c r="G156" s="49">
        <f>VLOOKUP($A156,'Data shares'!$C:$FB,99)</f>
        <v>8358000</v>
      </c>
      <c r="H156" s="50">
        <f t="shared" si="7"/>
        <v>1.5661641541038527</v>
      </c>
      <c r="I156" s="49">
        <f>VLOOKUP($A156,'Data shares'!$C:$FB,66)</f>
        <v>1459500</v>
      </c>
      <c r="J156" s="49">
        <f>VLOOKUP($A156,'Data shares'!$C:$FB,67)</f>
        <v>1039150</v>
      </c>
      <c r="K156" s="50">
        <f t="shared" si="8"/>
        <v>28.800959232613909</v>
      </c>
      <c r="L156" s="50">
        <f>VLOOKUP($A156,'Data shares'!$C:$FB,118)</f>
        <v>0.36</v>
      </c>
      <c r="M156" s="50">
        <f>VLOOKUP($A156,'Data shares'!$C:$FB,119)</f>
        <v>0.36</v>
      </c>
      <c r="N156" s="50">
        <f>VLOOKUP($A156,'Data shares'!$C:$FB,121)*100</f>
        <v>0</v>
      </c>
      <c r="O156" s="50">
        <f>VLOOKUP($A156,'Data shares'!$C:$FB,124)</f>
        <v>0.3</v>
      </c>
      <c r="P156" s="50">
        <f>VLOOKUP($A156,'Data shares'!$C:$FB,125)</f>
        <v>0.52</v>
      </c>
      <c r="Q156" s="50">
        <f>VLOOKUP($A156,'Data shares'!$C:$FB,127)*100</f>
        <v>-42.309999999999995</v>
      </c>
    </row>
    <row r="157" spans="1:17" x14ac:dyDescent="0.25">
      <c r="A157" s="97" t="str">
        <f>'Data Vlaue (Cr)'!C152</f>
        <v>OFSS</v>
      </c>
      <c r="B157" s="140">
        <f>VLOOKUP($A157,'Data shares'!$C:$FB,7)</f>
        <v>9694.5</v>
      </c>
      <c r="C157" s="140">
        <f>VLOOKUP($A157,'Data shares'!$C:$FB,3)</f>
        <v>9645</v>
      </c>
      <c r="D157" s="140">
        <f>VLOOKUP($A157,'Data shares'!$C:$FB,4)</f>
        <v>9665.5</v>
      </c>
      <c r="E157" s="50">
        <f t="shared" si="6"/>
        <v>-0.21209456313693031</v>
      </c>
      <c r="F157" s="49">
        <f>VLOOKUP($A157,'Data shares'!$C:$FB,98)</f>
        <v>2605050</v>
      </c>
      <c r="G157" s="49">
        <f>VLOOKUP($A157,'Data shares'!$C:$FB,99)</f>
        <v>2561150</v>
      </c>
      <c r="H157" s="50">
        <f t="shared" si="7"/>
        <v>1.7140737559299533</v>
      </c>
      <c r="I157" s="49">
        <f>VLOOKUP($A157,'Data shares'!$C:$FB,66)</f>
        <v>1650675</v>
      </c>
      <c r="J157" s="49">
        <f>VLOOKUP($A157,'Data shares'!$C:$FB,67)</f>
        <v>1946550</v>
      </c>
      <c r="K157" s="50">
        <f t="shared" si="8"/>
        <v>-17.924485437775456</v>
      </c>
      <c r="L157" s="50">
        <f>VLOOKUP($A157,'Data shares'!$C:$FB,118)</f>
        <v>1.1000000000000001</v>
      </c>
      <c r="M157" s="50">
        <f>VLOOKUP($A157,'Data shares'!$C:$FB,119)</f>
        <v>1.03</v>
      </c>
      <c r="N157" s="50">
        <f>VLOOKUP($A157,'Data shares'!$C:$FB,121)*100</f>
        <v>6.8000000000000007</v>
      </c>
      <c r="O157" s="50">
        <f>VLOOKUP($A157,'Data shares'!$C:$FB,124)</f>
        <v>1.76</v>
      </c>
      <c r="P157" s="50">
        <f>VLOOKUP($A157,'Data shares'!$C:$FB,125)</f>
        <v>0.73</v>
      </c>
      <c r="Q157" s="50">
        <f>VLOOKUP($A157,'Data shares'!$C:$FB,127)*100</f>
        <v>141.1</v>
      </c>
    </row>
    <row r="158" spans="1:17" x14ac:dyDescent="0.25">
      <c r="A158" s="97" t="str">
        <f>'Data Vlaue (Cr)'!C153</f>
        <v>OIL</v>
      </c>
      <c r="B158" s="140">
        <f>VLOOKUP($A158,'Data shares'!$C:$FB,7)</f>
        <v>450.25</v>
      </c>
      <c r="C158" s="140">
        <f>VLOOKUP($A158,'Data shares'!$C:$FB,3)</f>
        <v>453.25</v>
      </c>
      <c r="D158" s="140">
        <f>VLOOKUP($A158,'Data shares'!$C:$FB,4)</f>
        <v>478</v>
      </c>
      <c r="E158" s="50">
        <f t="shared" si="6"/>
        <v>-5.1778242677824267</v>
      </c>
      <c r="F158" s="49">
        <f>VLOOKUP($A158,'Data shares'!$C:$FB,98)</f>
        <v>36440600</v>
      </c>
      <c r="G158" s="49">
        <f>VLOOKUP($A158,'Data shares'!$C:$FB,99)</f>
        <v>33363400</v>
      </c>
      <c r="H158" s="50">
        <f t="shared" si="7"/>
        <v>9.22328060089799</v>
      </c>
      <c r="I158" s="49">
        <f>VLOOKUP($A158,'Data shares'!$C:$FB,66)</f>
        <v>27519800</v>
      </c>
      <c r="J158" s="49">
        <f>VLOOKUP($A158,'Data shares'!$C:$FB,67)</f>
        <v>18407200</v>
      </c>
      <c r="K158" s="50">
        <f t="shared" si="8"/>
        <v>33.112885994811009</v>
      </c>
      <c r="L158" s="50">
        <f>VLOOKUP($A158,'Data shares'!$C:$FB,118)</f>
        <v>0.45</v>
      </c>
      <c r="M158" s="50">
        <f>VLOOKUP($A158,'Data shares'!$C:$FB,119)</f>
        <v>0.52</v>
      </c>
      <c r="N158" s="50">
        <f>VLOOKUP($A158,'Data shares'!$C:$FB,121)*100</f>
        <v>-13.459999999999999</v>
      </c>
      <c r="O158" s="50">
        <f>VLOOKUP($A158,'Data shares'!$C:$FB,124)</f>
        <v>0.52</v>
      </c>
      <c r="P158" s="50">
        <f>VLOOKUP($A158,'Data shares'!$C:$FB,125)</f>
        <v>0.4</v>
      </c>
      <c r="Q158" s="50">
        <f>VLOOKUP($A158,'Data shares'!$C:$FB,127)*100</f>
        <v>30</v>
      </c>
    </row>
    <row r="159" spans="1:17" x14ac:dyDescent="0.25">
      <c r="A159" s="97" t="str">
        <f>'Data Vlaue (Cr)'!C154</f>
        <v>ONGC</v>
      </c>
      <c r="B159" s="140">
        <f>VLOOKUP($A159,'Data shares'!$C:$FB,7)</f>
        <v>280.8</v>
      </c>
      <c r="C159" s="140">
        <f>VLOOKUP($A159,'Data shares'!$C:$FB,3)</f>
        <v>282.64999999999998</v>
      </c>
      <c r="D159" s="140">
        <f>VLOOKUP($A159,'Data shares'!$C:$FB,4)</f>
        <v>291.05</v>
      </c>
      <c r="E159" s="50">
        <f t="shared" si="6"/>
        <v>-2.8861020443222931</v>
      </c>
      <c r="F159" s="49">
        <f>VLOOKUP($A159,'Data shares'!$C:$FB,98)</f>
        <v>179212500</v>
      </c>
      <c r="G159" s="49">
        <f>VLOOKUP($A159,'Data shares'!$C:$FB,99)</f>
        <v>165863250</v>
      </c>
      <c r="H159" s="50">
        <f t="shared" si="7"/>
        <v>8.0483470569882112</v>
      </c>
      <c r="I159" s="49">
        <f>VLOOKUP($A159,'Data shares'!$C:$FB,66)</f>
        <v>151364250</v>
      </c>
      <c r="J159" s="49">
        <f>VLOOKUP($A159,'Data shares'!$C:$FB,67)</f>
        <v>82782000</v>
      </c>
      <c r="K159" s="50">
        <f t="shared" si="8"/>
        <v>45.30941090779362</v>
      </c>
      <c r="L159" s="50">
        <f>VLOOKUP($A159,'Data shares'!$C:$FB,118)</f>
        <v>0.33</v>
      </c>
      <c r="M159" s="50">
        <f>VLOOKUP($A159,'Data shares'!$C:$FB,119)</f>
        <v>0.37</v>
      </c>
      <c r="N159" s="50">
        <f>VLOOKUP($A159,'Data shares'!$C:$FB,121)*100</f>
        <v>-10.81</v>
      </c>
      <c r="O159" s="50">
        <f>VLOOKUP($A159,'Data shares'!$C:$FB,124)</f>
        <v>0.41</v>
      </c>
      <c r="P159" s="50">
        <f>VLOOKUP($A159,'Data shares'!$C:$FB,125)</f>
        <v>0.34</v>
      </c>
      <c r="Q159" s="50">
        <f>VLOOKUP($A159,'Data shares'!$C:$FB,127)*100</f>
        <v>20.59</v>
      </c>
    </row>
    <row r="160" spans="1:17" x14ac:dyDescent="0.25">
      <c r="A160" s="97" t="str">
        <f>'Data Vlaue (Cr)'!C155</f>
        <v>PAGEIND</v>
      </c>
      <c r="B160" s="140">
        <f>VLOOKUP($A160,'Data shares'!$C:$FB,7)</f>
        <v>37540</v>
      </c>
      <c r="C160" s="140">
        <f>VLOOKUP($A160,'Data shares'!$C:$FB,3)</f>
        <v>37750</v>
      </c>
      <c r="D160" s="140">
        <f>VLOOKUP($A160,'Data shares'!$C:$FB,4)</f>
        <v>37600</v>
      </c>
      <c r="E160" s="50">
        <f t="shared" si="6"/>
        <v>0.39893617021276595</v>
      </c>
      <c r="F160" s="49">
        <f>VLOOKUP($A160,'Data shares'!$C:$FB,98)</f>
        <v>341295</v>
      </c>
      <c r="G160" s="49">
        <f>VLOOKUP($A160,'Data shares'!$C:$FB,99)</f>
        <v>342015</v>
      </c>
      <c r="H160" s="50">
        <f t="shared" si="7"/>
        <v>-0.21051708258409718</v>
      </c>
      <c r="I160" s="49">
        <f>VLOOKUP($A160,'Data shares'!$C:$FB,66)</f>
        <v>74475</v>
      </c>
      <c r="J160" s="49">
        <f>VLOOKUP($A160,'Data shares'!$C:$FB,67)</f>
        <v>44085</v>
      </c>
      <c r="K160" s="50">
        <f t="shared" si="8"/>
        <v>40.805639476334335</v>
      </c>
      <c r="L160" s="50">
        <f>VLOOKUP($A160,'Data shares'!$C:$FB,118)</f>
        <v>0.83</v>
      </c>
      <c r="M160" s="50">
        <f>VLOOKUP($A160,'Data shares'!$C:$FB,119)</f>
        <v>0.77</v>
      </c>
      <c r="N160" s="50">
        <f>VLOOKUP($A160,'Data shares'!$C:$FB,121)*100</f>
        <v>7.79</v>
      </c>
      <c r="O160" s="50">
        <f>VLOOKUP($A160,'Data shares'!$C:$FB,124)</f>
        <v>2.21</v>
      </c>
      <c r="P160" s="50">
        <f>VLOOKUP($A160,'Data shares'!$C:$FB,125)</f>
        <v>0.39</v>
      </c>
      <c r="Q160" s="50">
        <f>VLOOKUP($A160,'Data shares'!$C:$FB,127)*100</f>
        <v>466.66999999999996</v>
      </c>
    </row>
    <row r="161" spans="1:17" x14ac:dyDescent="0.25">
      <c r="A161" s="97" t="str">
        <f>'Data Vlaue (Cr)'!C156</f>
        <v>PATANJALI</v>
      </c>
      <c r="B161" s="140">
        <f>VLOOKUP($A161,'Data shares'!$C:$FB,7)</f>
        <v>460.05</v>
      </c>
      <c r="C161" s="140">
        <f>VLOOKUP($A161,'Data shares'!$C:$FB,3)</f>
        <v>461.85</v>
      </c>
      <c r="D161" s="140">
        <f>VLOOKUP($A161,'Data shares'!$C:$FB,4)</f>
        <v>457.4</v>
      </c>
      <c r="E161" s="50">
        <f t="shared" si="6"/>
        <v>0.97289024923481549</v>
      </c>
      <c r="F161" s="49">
        <f>VLOOKUP($A161,'Data shares'!$C:$FB,98)</f>
        <v>41359750</v>
      </c>
      <c r="G161" s="49">
        <f>VLOOKUP($A161,'Data shares'!$C:$FB,99)</f>
        <v>41495350</v>
      </c>
      <c r="H161" s="50">
        <f t="shared" si="7"/>
        <v>-0.32678360346400259</v>
      </c>
      <c r="I161" s="49">
        <f>VLOOKUP($A161,'Data shares'!$C:$FB,66)</f>
        <v>9466200</v>
      </c>
      <c r="J161" s="49">
        <f>VLOOKUP($A161,'Data shares'!$C:$FB,67)</f>
        <v>6743700</v>
      </c>
      <c r="K161" s="50">
        <f t="shared" si="8"/>
        <v>28.760220574253658</v>
      </c>
      <c r="L161" s="50">
        <f>VLOOKUP($A161,'Data shares'!$C:$FB,118)</f>
        <v>0.62</v>
      </c>
      <c r="M161" s="50">
        <f>VLOOKUP($A161,'Data shares'!$C:$FB,119)</f>
        <v>0.6</v>
      </c>
      <c r="N161" s="50">
        <f>VLOOKUP($A161,'Data shares'!$C:$FB,121)*100</f>
        <v>3.3300000000000005</v>
      </c>
      <c r="O161" s="50">
        <f>VLOOKUP($A161,'Data shares'!$C:$FB,124)</f>
        <v>0.21</v>
      </c>
      <c r="P161" s="50">
        <f>VLOOKUP($A161,'Data shares'!$C:$FB,125)</f>
        <v>0.39</v>
      </c>
      <c r="Q161" s="50">
        <f>VLOOKUP($A161,'Data shares'!$C:$FB,127)*100</f>
        <v>-46.150000000000006</v>
      </c>
    </row>
    <row r="162" spans="1:17" x14ac:dyDescent="0.25">
      <c r="A162" s="97" t="str">
        <f>'Data Vlaue (Cr)'!C157</f>
        <v>PAYTM</v>
      </c>
      <c r="B162" s="140">
        <f>VLOOKUP($A162,'Data shares'!$C:$FB,7)</f>
        <v>1110.5999999999999</v>
      </c>
      <c r="C162" s="140">
        <f>VLOOKUP($A162,'Data shares'!$C:$FB,3)</f>
        <v>1118</v>
      </c>
      <c r="D162" s="140">
        <f>VLOOKUP($A162,'Data shares'!$C:$FB,4)</f>
        <v>1092</v>
      </c>
      <c r="E162" s="50">
        <f t="shared" si="6"/>
        <v>2.3809523809523809</v>
      </c>
      <c r="F162" s="49">
        <f>VLOOKUP($A162,'Data shares'!$C:$FB,98)</f>
        <v>26951875</v>
      </c>
      <c r="G162" s="49">
        <f>VLOOKUP($A162,'Data shares'!$C:$FB,99)</f>
        <v>25226375</v>
      </c>
      <c r="H162" s="50">
        <f t="shared" si="7"/>
        <v>6.8400632274752109</v>
      </c>
      <c r="I162" s="49">
        <f>VLOOKUP($A162,'Data shares'!$C:$FB,66)</f>
        <v>27579725</v>
      </c>
      <c r="J162" s="49">
        <f>VLOOKUP($A162,'Data shares'!$C:$FB,67)</f>
        <v>15199625</v>
      </c>
      <c r="K162" s="50">
        <f t="shared" si="8"/>
        <v>44.888409873557478</v>
      </c>
      <c r="L162" s="50">
        <f>VLOOKUP($A162,'Data shares'!$C:$FB,118)</f>
        <v>0.85</v>
      </c>
      <c r="M162" s="50">
        <f>VLOOKUP($A162,'Data shares'!$C:$FB,119)</f>
        <v>0.94</v>
      </c>
      <c r="N162" s="50">
        <f>VLOOKUP($A162,'Data shares'!$C:$FB,121)*100</f>
        <v>-9.5699999999999985</v>
      </c>
      <c r="O162" s="50">
        <f>VLOOKUP($A162,'Data shares'!$C:$FB,124)</f>
        <v>0.64</v>
      </c>
      <c r="P162" s="50">
        <f>VLOOKUP($A162,'Data shares'!$C:$FB,125)</f>
        <v>0.68</v>
      </c>
      <c r="Q162" s="50">
        <f>VLOOKUP($A162,'Data shares'!$C:$FB,127)*100</f>
        <v>-5.88</v>
      </c>
    </row>
    <row r="163" spans="1:17" x14ac:dyDescent="0.25">
      <c r="A163" s="97" t="str">
        <f>'Data Vlaue (Cr)'!C158</f>
        <v>PERSISTENT</v>
      </c>
      <c r="B163" s="140">
        <f>VLOOKUP($A163,'Data shares'!$C:$FB,7)</f>
        <v>5014</v>
      </c>
      <c r="C163" s="140">
        <f>VLOOKUP($A163,'Data shares'!$C:$FB,3)</f>
        <v>5040.7</v>
      </c>
      <c r="D163" s="140">
        <f>VLOOKUP($A163,'Data shares'!$C:$FB,4)</f>
        <v>4838.7</v>
      </c>
      <c r="E163" s="50">
        <f t="shared" si="6"/>
        <v>4.1746750160166988</v>
      </c>
      <c r="F163" s="49">
        <f>VLOOKUP($A163,'Data shares'!$C:$FB,98)</f>
        <v>6260650</v>
      </c>
      <c r="G163" s="49">
        <f>VLOOKUP($A163,'Data shares'!$C:$FB,99)</f>
        <v>6542800</v>
      </c>
      <c r="H163" s="50">
        <f t="shared" si="7"/>
        <v>-4.3123739071956964</v>
      </c>
      <c r="I163" s="49">
        <f>VLOOKUP($A163,'Data shares'!$C:$FB,66)</f>
        <v>6223600</v>
      </c>
      <c r="J163" s="49">
        <f>VLOOKUP($A163,'Data shares'!$C:$FB,67)</f>
        <v>2238500</v>
      </c>
      <c r="K163" s="50">
        <f t="shared" si="8"/>
        <v>64.032071469888805</v>
      </c>
      <c r="L163" s="50">
        <f>VLOOKUP($A163,'Data shares'!$C:$FB,118)</f>
        <v>0.65</v>
      </c>
      <c r="M163" s="50">
        <f>VLOOKUP($A163,'Data shares'!$C:$FB,119)</f>
        <v>0.6</v>
      </c>
      <c r="N163" s="50">
        <f>VLOOKUP($A163,'Data shares'!$C:$FB,121)*100</f>
        <v>8.33</v>
      </c>
      <c r="O163" s="50">
        <f>VLOOKUP($A163,'Data shares'!$C:$FB,124)</f>
        <v>0.4</v>
      </c>
      <c r="P163" s="50">
        <f>VLOOKUP($A163,'Data shares'!$C:$FB,125)</f>
        <v>0.38</v>
      </c>
      <c r="Q163" s="50">
        <f>VLOOKUP($A163,'Data shares'!$C:$FB,127)*100</f>
        <v>5.26</v>
      </c>
    </row>
    <row r="164" spans="1:17" x14ac:dyDescent="0.25">
      <c r="A164" s="97" t="str">
        <f>'Data Vlaue (Cr)'!C159</f>
        <v>PETRONET</v>
      </c>
      <c r="B164" s="140">
        <f>VLOOKUP($A164,'Data shares'!$C:$FB,7)</f>
        <v>283.3</v>
      </c>
      <c r="C164" s="140">
        <f>VLOOKUP($A164,'Data shares'!$C:$FB,3)</f>
        <v>284.5</v>
      </c>
      <c r="D164" s="140">
        <f>VLOOKUP($A164,'Data shares'!$C:$FB,4)</f>
        <v>283.60000000000002</v>
      </c>
      <c r="E164" s="50">
        <f t="shared" si="6"/>
        <v>0.31734837799717108</v>
      </c>
      <c r="F164" s="49">
        <f>VLOOKUP($A164,'Data shares'!$C:$FB,98)</f>
        <v>56734000</v>
      </c>
      <c r="G164" s="49">
        <f>VLOOKUP($A164,'Data shares'!$C:$FB,99)</f>
        <v>53817500</v>
      </c>
      <c r="H164" s="50">
        <f t="shared" si="7"/>
        <v>5.4192409532215358</v>
      </c>
      <c r="I164" s="49">
        <f>VLOOKUP($A164,'Data shares'!$C:$FB,66)</f>
        <v>38824600</v>
      </c>
      <c r="J164" s="49">
        <f>VLOOKUP($A164,'Data shares'!$C:$FB,67)</f>
        <v>94665600</v>
      </c>
      <c r="K164" s="50">
        <f t="shared" si="8"/>
        <v>-143.82891259665266</v>
      </c>
      <c r="L164" s="50">
        <f>VLOOKUP($A164,'Data shares'!$C:$FB,118)</f>
        <v>0.85</v>
      </c>
      <c r="M164" s="50">
        <f>VLOOKUP($A164,'Data shares'!$C:$FB,119)</f>
        <v>0.93</v>
      </c>
      <c r="N164" s="50">
        <f>VLOOKUP($A164,'Data shares'!$C:$FB,121)*100</f>
        <v>-8.6</v>
      </c>
      <c r="O164" s="50">
        <f>VLOOKUP($A164,'Data shares'!$C:$FB,124)</f>
        <v>0.28000000000000003</v>
      </c>
      <c r="P164" s="50">
        <f>VLOOKUP($A164,'Data shares'!$C:$FB,125)</f>
        <v>0.37</v>
      </c>
      <c r="Q164" s="50">
        <f>VLOOKUP($A164,'Data shares'!$C:$FB,127)*100</f>
        <v>-24.32</v>
      </c>
    </row>
    <row r="165" spans="1:17" x14ac:dyDescent="0.25">
      <c r="A165" s="97" t="str">
        <f>'Data Vlaue (Cr)'!C160</f>
        <v>PFC</v>
      </c>
      <c r="B165" s="140">
        <f>VLOOKUP($A165,'Data shares'!$C:$FB,7)</f>
        <v>463.9</v>
      </c>
      <c r="C165" s="140">
        <f>VLOOKUP($A165,'Data shares'!$C:$FB,3)</f>
        <v>466.35</v>
      </c>
      <c r="D165" s="140">
        <f>VLOOKUP($A165,'Data shares'!$C:$FB,4)</f>
        <v>459.1</v>
      </c>
      <c r="E165" s="50">
        <f t="shared" si="6"/>
        <v>1.5791766499673274</v>
      </c>
      <c r="F165" s="49">
        <f>VLOOKUP($A165,'Data shares'!$C:$FB,98)</f>
        <v>90342200</v>
      </c>
      <c r="G165" s="49">
        <f>VLOOKUP($A165,'Data shares'!$C:$FB,99)</f>
        <v>89100700</v>
      </c>
      <c r="H165" s="50">
        <f t="shared" si="7"/>
        <v>1.3933672799428063</v>
      </c>
      <c r="I165" s="49">
        <f>VLOOKUP($A165,'Data shares'!$C:$FB,66)</f>
        <v>29045900</v>
      </c>
      <c r="J165" s="49">
        <f>VLOOKUP($A165,'Data shares'!$C:$FB,67)</f>
        <v>45496100</v>
      </c>
      <c r="K165" s="50">
        <f t="shared" si="8"/>
        <v>-56.635187754553996</v>
      </c>
      <c r="L165" s="50">
        <f>VLOOKUP($A165,'Data shares'!$C:$FB,118)</f>
        <v>0.57999999999999996</v>
      </c>
      <c r="M165" s="50">
        <f>VLOOKUP($A165,'Data shares'!$C:$FB,119)</f>
        <v>0.57999999999999996</v>
      </c>
      <c r="N165" s="50">
        <f>VLOOKUP($A165,'Data shares'!$C:$FB,121)*100</f>
        <v>0</v>
      </c>
      <c r="O165" s="50">
        <f>VLOOKUP($A165,'Data shares'!$C:$FB,124)</f>
        <v>0.44</v>
      </c>
      <c r="P165" s="50">
        <f>VLOOKUP($A165,'Data shares'!$C:$FB,125)</f>
        <v>0.43</v>
      </c>
      <c r="Q165" s="50">
        <f>VLOOKUP($A165,'Data shares'!$C:$FB,127)*100</f>
        <v>2.33</v>
      </c>
    </row>
    <row r="166" spans="1:17" x14ac:dyDescent="0.25">
      <c r="A166" s="97" t="str">
        <f>'Data Vlaue (Cr)'!C161</f>
        <v>PGEL</v>
      </c>
      <c r="B166" s="140">
        <f>VLOOKUP($A166,'Data shares'!$C:$FB,7)</f>
        <v>544.5</v>
      </c>
      <c r="C166" s="140">
        <f>VLOOKUP($A166,'Data shares'!$C:$FB,3)</f>
        <v>548.4</v>
      </c>
      <c r="D166" s="140">
        <f>VLOOKUP($A166,'Data shares'!$C:$FB,4)</f>
        <v>534.15</v>
      </c>
      <c r="E166" s="50">
        <f t="shared" si="6"/>
        <v>2.6677899466442012</v>
      </c>
      <c r="F166" s="49">
        <f>VLOOKUP($A166,'Data shares'!$C:$FB,98)</f>
        <v>19631750</v>
      </c>
      <c r="G166" s="49">
        <f>VLOOKUP($A166,'Data shares'!$C:$FB,99)</f>
        <v>19324900</v>
      </c>
      <c r="H166" s="50">
        <f t="shared" si="7"/>
        <v>1.5878478025759515</v>
      </c>
      <c r="I166" s="49">
        <f>VLOOKUP($A166,'Data shares'!$C:$FB,66)</f>
        <v>10359750</v>
      </c>
      <c r="J166" s="49">
        <f>VLOOKUP($A166,'Data shares'!$C:$FB,67)</f>
        <v>8097800</v>
      </c>
      <c r="K166" s="50">
        <f t="shared" si="8"/>
        <v>21.834021091242551</v>
      </c>
      <c r="L166" s="50">
        <f>VLOOKUP($A166,'Data shares'!$C:$FB,118)</f>
        <v>0.83</v>
      </c>
      <c r="M166" s="50">
        <f>VLOOKUP($A166,'Data shares'!$C:$FB,119)</f>
        <v>0.87</v>
      </c>
      <c r="N166" s="50">
        <f>VLOOKUP($A166,'Data shares'!$C:$FB,121)*100</f>
        <v>-4.5999999999999996</v>
      </c>
      <c r="O166" s="50">
        <f>VLOOKUP($A166,'Data shares'!$C:$FB,124)</f>
        <v>0.44</v>
      </c>
      <c r="P166" s="50">
        <f>VLOOKUP($A166,'Data shares'!$C:$FB,125)</f>
        <v>0.33</v>
      </c>
      <c r="Q166" s="50">
        <f>VLOOKUP($A166,'Data shares'!$C:$FB,127)*100</f>
        <v>33.33</v>
      </c>
    </row>
    <row r="167" spans="1:17" x14ac:dyDescent="0.25">
      <c r="A167" s="97" t="str">
        <f>'Data Vlaue (Cr)'!C162</f>
        <v>PHOENIXLTD</v>
      </c>
      <c r="B167" s="140">
        <f>VLOOKUP($A167,'Data shares'!$C:$FB,7)</f>
        <v>1839.1</v>
      </c>
      <c r="C167" s="140">
        <f>VLOOKUP($A167,'Data shares'!$C:$FB,3)</f>
        <v>1846.4</v>
      </c>
      <c r="D167" s="140">
        <f>VLOOKUP($A167,'Data shares'!$C:$FB,4)</f>
        <v>1804.7</v>
      </c>
      <c r="E167" s="50">
        <f t="shared" si="6"/>
        <v>2.3106333462625392</v>
      </c>
      <c r="F167" s="49">
        <f>VLOOKUP($A167,'Data shares'!$C:$FB,98)</f>
        <v>5835200</v>
      </c>
      <c r="G167" s="49">
        <f>VLOOKUP($A167,'Data shares'!$C:$FB,99)</f>
        <v>5784450</v>
      </c>
      <c r="H167" s="50">
        <f t="shared" si="7"/>
        <v>0.87735221153264353</v>
      </c>
      <c r="I167" s="49">
        <f>VLOOKUP($A167,'Data shares'!$C:$FB,66)</f>
        <v>2209550</v>
      </c>
      <c r="J167" s="49">
        <f>VLOOKUP($A167,'Data shares'!$C:$FB,67)</f>
        <v>1739150</v>
      </c>
      <c r="K167" s="50">
        <f t="shared" si="8"/>
        <v>21.289402819578648</v>
      </c>
      <c r="L167" s="50">
        <f>VLOOKUP($A167,'Data shares'!$C:$FB,118)</f>
        <v>0.62</v>
      </c>
      <c r="M167" s="50">
        <f>VLOOKUP($A167,'Data shares'!$C:$FB,119)</f>
        <v>0.67</v>
      </c>
      <c r="N167" s="50">
        <f>VLOOKUP($A167,'Data shares'!$C:$FB,121)*100</f>
        <v>-7.46</v>
      </c>
      <c r="O167" s="50">
        <f>VLOOKUP($A167,'Data shares'!$C:$FB,124)</f>
        <v>0.28999999999999998</v>
      </c>
      <c r="P167" s="50">
        <f>VLOOKUP($A167,'Data shares'!$C:$FB,125)</f>
        <v>0.48</v>
      </c>
      <c r="Q167" s="50">
        <f>VLOOKUP($A167,'Data shares'!$C:$FB,127)*100</f>
        <v>-39.58</v>
      </c>
    </row>
    <row r="168" spans="1:17" x14ac:dyDescent="0.25">
      <c r="A168" s="97" t="str">
        <f>'Data Vlaue (Cr)'!C163</f>
        <v>PIDILITIND</v>
      </c>
      <c r="B168" s="140">
        <f>VLOOKUP($A168,'Data shares'!$C:$FB,7)</f>
        <v>1421.5</v>
      </c>
      <c r="C168" s="140">
        <f>VLOOKUP($A168,'Data shares'!$C:$FB,3)</f>
        <v>1431.3</v>
      </c>
      <c r="D168" s="140">
        <f>VLOOKUP($A168,'Data shares'!$C:$FB,4)</f>
        <v>1372.1</v>
      </c>
      <c r="E168" s="50">
        <f t="shared" si="6"/>
        <v>4.3145543327745823</v>
      </c>
      <c r="F168" s="49">
        <f>VLOOKUP($A168,'Data shares'!$C:$FB,98)</f>
        <v>10320000</v>
      </c>
      <c r="G168" s="49">
        <f>VLOOKUP($A168,'Data shares'!$C:$FB,99)</f>
        <v>9133000</v>
      </c>
      <c r="H168" s="50">
        <f t="shared" si="7"/>
        <v>12.996824701631446</v>
      </c>
      <c r="I168" s="49">
        <f>VLOOKUP($A168,'Data shares'!$C:$FB,66)</f>
        <v>13090000</v>
      </c>
      <c r="J168" s="49">
        <f>VLOOKUP($A168,'Data shares'!$C:$FB,67)</f>
        <v>2254000</v>
      </c>
      <c r="K168" s="50">
        <f t="shared" si="8"/>
        <v>82.780748663101605</v>
      </c>
      <c r="L168" s="50">
        <f>VLOOKUP($A168,'Data shares'!$C:$FB,118)</f>
        <v>0.56999999999999995</v>
      </c>
      <c r="M168" s="50">
        <f>VLOOKUP($A168,'Data shares'!$C:$FB,119)</f>
        <v>0.61</v>
      </c>
      <c r="N168" s="50">
        <f>VLOOKUP($A168,'Data shares'!$C:$FB,121)*100</f>
        <v>-6.5600000000000005</v>
      </c>
      <c r="O168" s="50">
        <f>VLOOKUP($A168,'Data shares'!$C:$FB,124)</f>
        <v>0.37</v>
      </c>
      <c r="P168" s="50">
        <f>VLOOKUP($A168,'Data shares'!$C:$FB,125)</f>
        <v>0.61</v>
      </c>
      <c r="Q168" s="50">
        <f>VLOOKUP($A168,'Data shares'!$C:$FB,127)*100</f>
        <v>-39.340000000000003</v>
      </c>
    </row>
    <row r="169" spans="1:17" x14ac:dyDescent="0.25">
      <c r="A169" s="97" t="str">
        <f>'Data Vlaue (Cr)'!C164</f>
        <v>PIIND</v>
      </c>
      <c r="B169" s="140">
        <f>VLOOKUP($A169,'Data shares'!$C:$FB,7)</f>
        <v>3071</v>
      </c>
      <c r="C169" s="140">
        <f>VLOOKUP($A169,'Data shares'!$C:$FB,3)</f>
        <v>3091.6</v>
      </c>
      <c r="D169" s="140">
        <f>VLOOKUP($A169,'Data shares'!$C:$FB,4)</f>
        <v>3027</v>
      </c>
      <c r="E169" s="50">
        <f t="shared" si="6"/>
        <v>2.1341261975553323</v>
      </c>
      <c r="F169" s="49">
        <f>VLOOKUP($A169,'Data shares'!$C:$FB,98)</f>
        <v>4275425</v>
      </c>
      <c r="G169" s="49">
        <f>VLOOKUP($A169,'Data shares'!$C:$FB,99)</f>
        <v>4237975</v>
      </c>
      <c r="H169" s="50">
        <f t="shared" si="7"/>
        <v>0.88367675599785278</v>
      </c>
      <c r="I169" s="49">
        <f>VLOOKUP($A169,'Data shares'!$C:$FB,66)</f>
        <v>1733725</v>
      </c>
      <c r="J169" s="49">
        <f>VLOOKUP($A169,'Data shares'!$C:$FB,67)</f>
        <v>859075</v>
      </c>
      <c r="K169" s="50">
        <f t="shared" si="8"/>
        <v>50.44917734934895</v>
      </c>
      <c r="L169" s="50">
        <f>VLOOKUP($A169,'Data shares'!$C:$FB,118)</f>
        <v>0.52</v>
      </c>
      <c r="M169" s="50">
        <f>VLOOKUP($A169,'Data shares'!$C:$FB,119)</f>
        <v>0.54</v>
      </c>
      <c r="N169" s="50">
        <f>VLOOKUP($A169,'Data shares'!$C:$FB,121)*100</f>
        <v>-3.6999999999999997</v>
      </c>
      <c r="O169" s="50">
        <f>VLOOKUP($A169,'Data shares'!$C:$FB,124)</f>
        <v>0.28000000000000003</v>
      </c>
      <c r="P169" s="50">
        <f>VLOOKUP($A169,'Data shares'!$C:$FB,125)</f>
        <v>0.31</v>
      </c>
      <c r="Q169" s="50">
        <f>VLOOKUP($A169,'Data shares'!$C:$FB,127)*100</f>
        <v>-9.68</v>
      </c>
    </row>
    <row r="170" spans="1:17" x14ac:dyDescent="0.25">
      <c r="A170" s="97" t="str">
        <f>'Data Vlaue (Cr)'!C165</f>
        <v>PNB</v>
      </c>
      <c r="B170" s="140">
        <f>VLOOKUP($A170,'Data shares'!$C:$FB,7)</f>
        <v>110.18</v>
      </c>
      <c r="C170" s="140">
        <f>VLOOKUP($A170,'Data shares'!$C:$FB,3)</f>
        <v>110.95</v>
      </c>
      <c r="D170" s="140">
        <f>VLOOKUP($A170,'Data shares'!$C:$FB,4)</f>
        <v>108.16</v>
      </c>
      <c r="E170" s="50">
        <f t="shared" si="6"/>
        <v>2.5795118343195327</v>
      </c>
      <c r="F170" s="49">
        <f>VLOOKUP($A170,'Data shares'!$C:$FB,98)</f>
        <v>474496000</v>
      </c>
      <c r="G170" s="49">
        <f>VLOOKUP($A170,'Data shares'!$C:$FB,99)</f>
        <v>461104000</v>
      </c>
      <c r="H170" s="50">
        <f t="shared" si="7"/>
        <v>2.9043339463548352</v>
      </c>
      <c r="I170" s="49">
        <f>VLOOKUP($A170,'Data shares'!$C:$FB,66)</f>
        <v>461328000</v>
      </c>
      <c r="J170" s="49">
        <f>VLOOKUP($A170,'Data shares'!$C:$FB,67)</f>
        <v>771712000</v>
      </c>
      <c r="K170" s="50">
        <f t="shared" si="8"/>
        <v>-67.280546595914402</v>
      </c>
      <c r="L170" s="50">
        <f>VLOOKUP($A170,'Data shares'!$C:$FB,118)</f>
        <v>0.68</v>
      </c>
      <c r="M170" s="50">
        <f>VLOOKUP($A170,'Data shares'!$C:$FB,119)</f>
        <v>0.67</v>
      </c>
      <c r="N170" s="50">
        <f>VLOOKUP($A170,'Data shares'!$C:$FB,121)*100</f>
        <v>1.49</v>
      </c>
      <c r="O170" s="50">
        <f>VLOOKUP($A170,'Data shares'!$C:$FB,124)</f>
        <v>0.67</v>
      </c>
      <c r="P170" s="50">
        <f>VLOOKUP($A170,'Data shares'!$C:$FB,125)</f>
        <v>0.62</v>
      </c>
      <c r="Q170" s="50">
        <f>VLOOKUP($A170,'Data shares'!$C:$FB,127)*100</f>
        <v>8.06</v>
      </c>
    </row>
    <row r="171" spans="1:17" x14ac:dyDescent="0.25">
      <c r="A171" s="97" t="str">
        <f>'Data Vlaue (Cr)'!C166</f>
        <v>PNBHOUSING</v>
      </c>
      <c r="B171" s="140">
        <f>VLOOKUP($A171,'Data shares'!$C:$FB,7)</f>
        <v>1065.0999999999999</v>
      </c>
      <c r="C171" s="140">
        <f>VLOOKUP($A171,'Data shares'!$C:$FB,3)</f>
        <v>1070.4000000000001</v>
      </c>
      <c r="D171" s="140">
        <f>VLOOKUP($A171,'Data shares'!$C:$FB,4)</f>
        <v>1048.3</v>
      </c>
      <c r="E171" s="50">
        <f t="shared" si="6"/>
        <v>2.1081751407040099</v>
      </c>
      <c r="F171" s="49">
        <f>VLOOKUP($A171,'Data shares'!$C:$FB,98)</f>
        <v>14454050</v>
      </c>
      <c r="G171" s="49">
        <f>VLOOKUP($A171,'Data shares'!$C:$FB,99)</f>
        <v>13903500</v>
      </c>
      <c r="H171" s="50">
        <f t="shared" si="7"/>
        <v>3.9597942964001867</v>
      </c>
      <c r="I171" s="49">
        <f>VLOOKUP($A171,'Data shares'!$C:$FB,66)</f>
        <v>5528900</v>
      </c>
      <c r="J171" s="49">
        <f>VLOOKUP($A171,'Data shares'!$C:$FB,67)</f>
        <v>2520700</v>
      </c>
      <c r="K171" s="50">
        <f t="shared" si="8"/>
        <v>54.408652715730078</v>
      </c>
      <c r="L171" s="50">
        <f>VLOOKUP($A171,'Data shares'!$C:$FB,118)</f>
        <v>0.59</v>
      </c>
      <c r="M171" s="50">
        <f>VLOOKUP($A171,'Data shares'!$C:$FB,119)</f>
        <v>0.64</v>
      </c>
      <c r="N171" s="50">
        <f>VLOOKUP($A171,'Data shares'!$C:$FB,121)*100</f>
        <v>-7.8100000000000005</v>
      </c>
      <c r="O171" s="50">
        <f>VLOOKUP($A171,'Data shares'!$C:$FB,124)</f>
        <v>0.26</v>
      </c>
      <c r="P171" s="50">
        <f>VLOOKUP($A171,'Data shares'!$C:$FB,125)</f>
        <v>0.33</v>
      </c>
      <c r="Q171" s="50">
        <f>VLOOKUP($A171,'Data shares'!$C:$FB,127)*100</f>
        <v>-21.21</v>
      </c>
    </row>
    <row r="172" spans="1:17" x14ac:dyDescent="0.25">
      <c r="A172" s="97" t="str">
        <f>'Data Vlaue (Cr)'!C167</f>
        <v>POLICYBZR</v>
      </c>
      <c r="B172" s="140">
        <f>VLOOKUP($A172,'Data shares'!$C:$FB,7)</f>
        <v>1701.8</v>
      </c>
      <c r="C172" s="140">
        <f>VLOOKUP($A172,'Data shares'!$C:$FB,3)</f>
        <v>1714.1</v>
      </c>
      <c r="D172" s="140">
        <f>VLOOKUP($A172,'Data shares'!$C:$FB,4)</f>
        <v>1689.7</v>
      </c>
      <c r="E172" s="50">
        <f t="shared" si="6"/>
        <v>1.4440433212996309</v>
      </c>
      <c r="F172" s="49">
        <f>VLOOKUP($A172,'Data shares'!$C:$FB,98)</f>
        <v>11719750</v>
      </c>
      <c r="G172" s="49">
        <f>VLOOKUP($A172,'Data shares'!$C:$FB,99)</f>
        <v>10341450</v>
      </c>
      <c r="H172" s="50">
        <f t="shared" si="7"/>
        <v>13.327918231969404</v>
      </c>
      <c r="I172" s="49">
        <f>VLOOKUP($A172,'Data shares'!$C:$FB,66)</f>
        <v>13090700</v>
      </c>
      <c r="J172" s="49">
        <f>VLOOKUP($A172,'Data shares'!$C:$FB,67)</f>
        <v>3112200</v>
      </c>
      <c r="K172" s="50">
        <f t="shared" si="8"/>
        <v>76.22587027431689</v>
      </c>
      <c r="L172" s="50">
        <f>VLOOKUP($A172,'Data shares'!$C:$FB,118)</f>
        <v>0.63</v>
      </c>
      <c r="M172" s="50">
        <f>VLOOKUP($A172,'Data shares'!$C:$FB,119)</f>
        <v>0.59</v>
      </c>
      <c r="N172" s="50">
        <f>VLOOKUP($A172,'Data shares'!$C:$FB,121)*100</f>
        <v>6.78</v>
      </c>
      <c r="O172" s="50">
        <f>VLOOKUP($A172,'Data shares'!$C:$FB,124)</f>
        <v>0.61</v>
      </c>
      <c r="P172" s="50">
        <f>VLOOKUP($A172,'Data shares'!$C:$FB,125)</f>
        <v>0.42</v>
      </c>
      <c r="Q172" s="50">
        <f>VLOOKUP($A172,'Data shares'!$C:$FB,127)*100</f>
        <v>45.24</v>
      </c>
    </row>
    <row r="173" spans="1:17" x14ac:dyDescent="0.25">
      <c r="A173" s="97" t="str">
        <f>'Data Vlaue (Cr)'!C168</f>
        <v>POLYCAB</v>
      </c>
      <c r="B173" s="140">
        <f>VLOOKUP($A173,'Data shares'!$C:$FB,7)</f>
        <v>8415.5</v>
      </c>
      <c r="C173" s="140">
        <f>VLOOKUP($A173,'Data shares'!$C:$FB,3)</f>
        <v>8472</v>
      </c>
      <c r="D173" s="140">
        <f>VLOOKUP($A173,'Data shares'!$C:$FB,4)</f>
        <v>8366.5</v>
      </c>
      <c r="E173" s="50">
        <f t="shared" ref="E173:E182" si="9">(C173-D173)/D173*100</f>
        <v>1.2609812944480965</v>
      </c>
      <c r="F173" s="49">
        <f>VLOOKUP($A173,'Data shares'!$C:$FB,98)</f>
        <v>4677625</v>
      </c>
      <c r="G173" s="49">
        <f>VLOOKUP($A173,'Data shares'!$C:$FB,99)</f>
        <v>4073625</v>
      </c>
      <c r="H173" s="50">
        <f t="shared" ref="H173:H182" si="10">(F173-G173)/G173*100</f>
        <v>14.827088895025927</v>
      </c>
      <c r="I173" s="49">
        <f>VLOOKUP($A173,'Data shares'!$C:$FB,66)</f>
        <v>10790500</v>
      </c>
      <c r="J173" s="49">
        <f>VLOOKUP($A173,'Data shares'!$C:$FB,67)</f>
        <v>3790750</v>
      </c>
      <c r="K173" s="50">
        <f t="shared" ref="K173:K182" si="11">(I173-J173)/I173*100</f>
        <v>64.869561188082116</v>
      </c>
      <c r="L173" s="50">
        <f>VLOOKUP($A173,'Data shares'!$C:$FB,118)</f>
        <v>1.0900000000000001</v>
      </c>
      <c r="M173" s="50">
        <f>VLOOKUP($A173,'Data shares'!$C:$FB,119)</f>
        <v>1.33</v>
      </c>
      <c r="N173" s="50">
        <f>VLOOKUP($A173,'Data shares'!$C:$FB,121)*100</f>
        <v>-18.05</v>
      </c>
      <c r="O173" s="50">
        <f>VLOOKUP($A173,'Data shares'!$C:$FB,124)</f>
        <v>0.62</v>
      </c>
      <c r="P173" s="50">
        <f>VLOOKUP($A173,'Data shares'!$C:$FB,125)</f>
        <v>0.53</v>
      </c>
      <c r="Q173" s="50">
        <f>VLOOKUP($A173,'Data shares'!$C:$FB,127)*100</f>
        <v>16.98</v>
      </c>
    </row>
    <row r="174" spans="1:17" x14ac:dyDescent="0.25">
      <c r="A174" s="97" t="str">
        <f>'Data Vlaue (Cr)'!C169</f>
        <v>POWERGRID</v>
      </c>
      <c r="B174" s="140">
        <f>VLOOKUP($A174,'Data shares'!$C:$FB,7)</f>
        <v>315.95</v>
      </c>
      <c r="C174" s="140">
        <f>VLOOKUP($A174,'Data shares'!$C:$FB,3)</f>
        <v>316.75</v>
      </c>
      <c r="D174" s="140">
        <f>VLOOKUP($A174,'Data shares'!$C:$FB,4)</f>
        <v>319.64999999999998</v>
      </c>
      <c r="E174" s="50">
        <f t="shared" si="9"/>
        <v>-0.90724229626152897</v>
      </c>
      <c r="F174" s="49">
        <f>VLOOKUP($A174,'Data shares'!$C:$FB,98)</f>
        <v>118305400</v>
      </c>
      <c r="G174" s="49">
        <f>VLOOKUP($A174,'Data shares'!$C:$FB,99)</f>
        <v>115689100</v>
      </c>
      <c r="H174" s="50">
        <f t="shared" si="10"/>
        <v>2.2614922235543364</v>
      </c>
      <c r="I174" s="49">
        <f>VLOOKUP($A174,'Data shares'!$C:$FB,66)</f>
        <v>38435100</v>
      </c>
      <c r="J174" s="49">
        <f>VLOOKUP($A174,'Data shares'!$C:$FB,67)</f>
        <v>48533600</v>
      </c>
      <c r="K174" s="50">
        <f t="shared" si="11"/>
        <v>-26.274160858173907</v>
      </c>
      <c r="L174" s="50">
        <f>VLOOKUP($A174,'Data shares'!$C:$FB,118)</f>
        <v>0.5</v>
      </c>
      <c r="M174" s="50">
        <f>VLOOKUP($A174,'Data shares'!$C:$FB,119)</f>
        <v>0.53</v>
      </c>
      <c r="N174" s="50">
        <f>VLOOKUP($A174,'Data shares'!$C:$FB,121)*100</f>
        <v>-5.66</v>
      </c>
      <c r="O174" s="50">
        <f>VLOOKUP($A174,'Data shares'!$C:$FB,124)</f>
        <v>0.45</v>
      </c>
      <c r="P174" s="50">
        <f>VLOOKUP($A174,'Data shares'!$C:$FB,125)</f>
        <v>0.4</v>
      </c>
      <c r="Q174" s="50">
        <f>VLOOKUP($A174,'Data shares'!$C:$FB,127)*100</f>
        <v>12.5</v>
      </c>
    </row>
    <row r="175" spans="1:17" x14ac:dyDescent="0.25">
      <c r="A175" s="97" t="str">
        <f>'Data Vlaue (Cr)'!C170</f>
        <v>POWERINDIA</v>
      </c>
      <c r="B175" s="140">
        <f>VLOOKUP($A175,'Data shares'!$C:$FB,7)</f>
        <v>33380</v>
      </c>
      <c r="C175" s="140">
        <f>VLOOKUP($A175,'Data shares'!$C:$FB,3)</f>
        <v>33600</v>
      </c>
      <c r="D175" s="140">
        <f>VLOOKUP($A175,'Data shares'!$C:$FB,4)</f>
        <v>34315</v>
      </c>
      <c r="E175" s="50">
        <f t="shared" si="9"/>
        <v>-2.0836368934868132</v>
      </c>
      <c r="F175" s="49">
        <f>VLOOKUP($A175,'Data shares'!$C:$FB,98)</f>
        <v>842300</v>
      </c>
      <c r="G175" s="49">
        <f>VLOOKUP($A175,'Data shares'!$C:$FB,99)</f>
        <v>841275</v>
      </c>
      <c r="H175" s="50">
        <f t="shared" si="10"/>
        <v>0.12183887551632938</v>
      </c>
      <c r="I175" s="49">
        <f>VLOOKUP($A175,'Data shares'!$C:$FB,66)</f>
        <v>893275</v>
      </c>
      <c r="J175" s="49">
        <f>VLOOKUP($A175,'Data shares'!$C:$FB,67)</f>
        <v>710125</v>
      </c>
      <c r="K175" s="50">
        <f t="shared" si="11"/>
        <v>20.503204500293862</v>
      </c>
      <c r="L175" s="50">
        <f>VLOOKUP($A175,'Data shares'!$C:$FB,118)</f>
        <v>0.86</v>
      </c>
      <c r="M175" s="50">
        <f>VLOOKUP($A175,'Data shares'!$C:$FB,119)</f>
        <v>0.96</v>
      </c>
      <c r="N175" s="50">
        <f>VLOOKUP($A175,'Data shares'!$C:$FB,121)*100</f>
        <v>-10.42</v>
      </c>
      <c r="O175" s="50">
        <f>VLOOKUP($A175,'Data shares'!$C:$FB,124)</f>
        <v>1.4</v>
      </c>
      <c r="P175" s="50">
        <f>VLOOKUP($A175,'Data shares'!$C:$FB,125)</f>
        <v>2.42</v>
      </c>
      <c r="Q175" s="50">
        <f>VLOOKUP($A175,'Data shares'!$C:$FB,127)*100</f>
        <v>-42.15</v>
      </c>
    </row>
    <row r="176" spans="1:17" x14ac:dyDescent="0.25">
      <c r="A176" s="97" t="str">
        <f>'Data Vlaue (Cr)'!C171</f>
        <v>PREMIERENE</v>
      </c>
      <c r="B176" s="140">
        <f>VLOOKUP($A176,'Data shares'!$C:$FB,7)</f>
        <v>1033</v>
      </c>
      <c r="C176" s="140">
        <f>VLOOKUP($A176,'Data shares'!$C:$FB,3)</f>
        <v>1019.7</v>
      </c>
      <c r="D176" s="140">
        <f>VLOOKUP($A176,'Data shares'!$C:$FB,4)</f>
        <v>1030.3</v>
      </c>
      <c r="E176" s="50">
        <f t="shared" si="9"/>
        <v>-1.0288265553722129</v>
      </c>
      <c r="F176" s="49">
        <f>VLOOKUP($A176,'Data shares'!$C:$FB,98)</f>
        <v>15211275</v>
      </c>
      <c r="G176" s="49">
        <f>VLOOKUP($A176,'Data shares'!$C:$FB,99)</f>
        <v>14656975</v>
      </c>
      <c r="H176" s="50">
        <f t="shared" si="10"/>
        <v>3.7818171894268766</v>
      </c>
      <c r="I176" s="49">
        <f>VLOOKUP($A176,'Data shares'!$C:$FB,66)</f>
        <v>5515975</v>
      </c>
      <c r="J176" s="49">
        <f>VLOOKUP($A176,'Data shares'!$C:$FB,67)</f>
        <v>6787875</v>
      </c>
      <c r="K176" s="50">
        <f t="shared" si="11"/>
        <v>-23.05848014177004</v>
      </c>
      <c r="L176" s="50">
        <f>VLOOKUP($A176,'Data shares'!$C:$FB,118)</f>
        <v>0.89</v>
      </c>
      <c r="M176" s="50">
        <f>VLOOKUP($A176,'Data shares'!$C:$FB,119)</f>
        <v>0.96</v>
      </c>
      <c r="N176" s="50">
        <f>VLOOKUP($A176,'Data shares'!$C:$FB,121)*100</f>
        <v>-7.2900000000000009</v>
      </c>
      <c r="O176" s="50">
        <f>VLOOKUP($A176,'Data shares'!$C:$FB,124)</f>
        <v>0.55000000000000004</v>
      </c>
      <c r="P176" s="50">
        <f>VLOOKUP($A176,'Data shares'!$C:$FB,125)</f>
        <v>0.53</v>
      </c>
      <c r="Q176" s="50">
        <f>VLOOKUP($A176,'Data shares'!$C:$FB,127)*100</f>
        <v>3.7699999999999996</v>
      </c>
    </row>
    <row r="177" spans="1:17" x14ac:dyDescent="0.25">
      <c r="A177" s="97" t="str">
        <f>'Data Vlaue (Cr)'!C172</f>
        <v>PRESTIGE</v>
      </c>
      <c r="B177" s="140">
        <f>VLOOKUP($A177,'Data shares'!$C:$FB,7)</f>
        <v>1455.2</v>
      </c>
      <c r="C177" s="140">
        <f>VLOOKUP($A177,'Data shares'!$C:$FB,3)</f>
        <v>1464.9</v>
      </c>
      <c r="D177" s="140">
        <f>VLOOKUP($A177,'Data shares'!$C:$FB,4)</f>
        <v>1440.2</v>
      </c>
      <c r="E177" s="50">
        <f t="shared" si="9"/>
        <v>1.7150395778364147</v>
      </c>
      <c r="F177" s="49">
        <f>VLOOKUP($A177,'Data shares'!$C:$FB,98)</f>
        <v>7766550</v>
      </c>
      <c r="G177" s="49">
        <f>VLOOKUP($A177,'Data shares'!$C:$FB,99)</f>
        <v>7702200</v>
      </c>
      <c r="H177" s="50">
        <f t="shared" si="10"/>
        <v>0.83547557840616959</v>
      </c>
      <c r="I177" s="49">
        <f>VLOOKUP($A177,'Data shares'!$C:$FB,66)</f>
        <v>1628550</v>
      </c>
      <c r="J177" s="49">
        <f>VLOOKUP($A177,'Data shares'!$C:$FB,67)</f>
        <v>2048400</v>
      </c>
      <c r="K177" s="50">
        <f t="shared" si="11"/>
        <v>-25.780602376347055</v>
      </c>
      <c r="L177" s="50">
        <f>VLOOKUP($A177,'Data shares'!$C:$FB,118)</f>
        <v>0.74</v>
      </c>
      <c r="M177" s="50">
        <f>VLOOKUP($A177,'Data shares'!$C:$FB,119)</f>
        <v>0.81</v>
      </c>
      <c r="N177" s="50">
        <f>VLOOKUP($A177,'Data shares'!$C:$FB,121)*100</f>
        <v>-8.64</v>
      </c>
      <c r="O177" s="50">
        <f>VLOOKUP($A177,'Data shares'!$C:$FB,124)</f>
        <v>0.25</v>
      </c>
      <c r="P177" s="50">
        <f>VLOOKUP($A177,'Data shares'!$C:$FB,125)</f>
        <v>0.49</v>
      </c>
      <c r="Q177" s="50">
        <f>VLOOKUP($A177,'Data shares'!$C:$FB,127)*100</f>
        <v>-48.980000000000004</v>
      </c>
    </row>
    <row r="178" spans="1:17" x14ac:dyDescent="0.25">
      <c r="A178" s="97" t="str">
        <f>'Data Vlaue (Cr)'!C173</f>
        <v>RBLBANK</v>
      </c>
      <c r="B178" s="140">
        <f>VLOOKUP($A178,'Data shares'!$C:$FB,7)</f>
        <v>335.85</v>
      </c>
      <c r="C178" s="140">
        <f>VLOOKUP($A178,'Data shares'!$C:$FB,3)</f>
        <v>338.15</v>
      </c>
      <c r="D178" s="140">
        <f>VLOOKUP($A178,'Data shares'!$C:$FB,4)</f>
        <v>333.7</v>
      </c>
      <c r="E178" s="50">
        <f t="shared" si="9"/>
        <v>1.3335331135750641</v>
      </c>
      <c r="F178" s="49">
        <f>VLOOKUP($A178,'Data shares'!$C:$FB,98)</f>
        <v>101831775</v>
      </c>
      <c r="G178" s="49">
        <f>VLOOKUP($A178,'Data shares'!$C:$FB,99)</f>
        <v>100012500</v>
      </c>
      <c r="H178" s="50">
        <f t="shared" si="10"/>
        <v>1.819047619047619</v>
      </c>
      <c r="I178" s="49">
        <f>VLOOKUP($A178,'Data shares'!$C:$FB,66)</f>
        <v>68497450</v>
      </c>
      <c r="J178" s="49">
        <f>VLOOKUP($A178,'Data shares'!$C:$FB,67)</f>
        <v>39566850</v>
      </c>
      <c r="K178" s="50">
        <f t="shared" si="11"/>
        <v>42.236024844720497</v>
      </c>
      <c r="L178" s="50">
        <f>VLOOKUP($A178,'Data shares'!$C:$FB,118)</f>
        <v>0.76</v>
      </c>
      <c r="M178" s="50">
        <f>VLOOKUP($A178,'Data shares'!$C:$FB,119)</f>
        <v>0.73</v>
      </c>
      <c r="N178" s="50">
        <f>VLOOKUP($A178,'Data shares'!$C:$FB,121)*100</f>
        <v>4.1099999999999994</v>
      </c>
      <c r="O178" s="50">
        <f>VLOOKUP($A178,'Data shares'!$C:$FB,124)</f>
        <v>0.4</v>
      </c>
      <c r="P178" s="50">
        <f>VLOOKUP($A178,'Data shares'!$C:$FB,125)</f>
        <v>0.48</v>
      </c>
      <c r="Q178" s="50">
        <f>VLOOKUP($A178,'Data shares'!$C:$FB,127)*100</f>
        <v>-16.669999999999998</v>
      </c>
    </row>
    <row r="179" spans="1:17" x14ac:dyDescent="0.25">
      <c r="A179" s="97" t="str">
        <f>'Data Vlaue (Cr)'!C174</f>
        <v>RECLTD</v>
      </c>
      <c r="B179" s="140">
        <f>VLOOKUP($A179,'Data shares'!$C:$FB,7)</f>
        <v>359.1</v>
      </c>
      <c r="C179" s="140">
        <f>VLOOKUP($A179,'Data shares'!$C:$FB,3)</f>
        <v>361.45</v>
      </c>
      <c r="D179" s="140">
        <f>VLOOKUP($A179,'Data shares'!$C:$FB,4)</f>
        <v>358.6</v>
      </c>
      <c r="E179" s="50">
        <f t="shared" si="9"/>
        <v>0.79475738984940481</v>
      </c>
      <c r="F179" s="49">
        <f>VLOOKUP($A179,'Data shares'!$C:$FB,98)</f>
        <v>113958775</v>
      </c>
      <c r="G179" s="49">
        <f>VLOOKUP($A179,'Data shares'!$C:$FB,99)</f>
        <v>112024500</v>
      </c>
      <c r="H179" s="50">
        <f t="shared" si="10"/>
        <v>1.7266535445371327</v>
      </c>
      <c r="I179" s="49">
        <f>VLOOKUP($A179,'Data shares'!$C:$FB,66)</f>
        <v>45677800</v>
      </c>
      <c r="J179" s="49">
        <f>VLOOKUP($A179,'Data shares'!$C:$FB,67)</f>
        <v>40313000</v>
      </c>
      <c r="K179" s="50">
        <f t="shared" si="11"/>
        <v>11.744873877463451</v>
      </c>
      <c r="L179" s="50">
        <f>VLOOKUP($A179,'Data shares'!$C:$FB,118)</f>
        <v>0.61</v>
      </c>
      <c r="M179" s="50">
        <f>VLOOKUP($A179,'Data shares'!$C:$FB,119)</f>
        <v>0.6</v>
      </c>
      <c r="N179" s="50">
        <f>VLOOKUP($A179,'Data shares'!$C:$FB,121)*100</f>
        <v>1.67</v>
      </c>
      <c r="O179" s="50">
        <f>VLOOKUP($A179,'Data shares'!$C:$FB,124)</f>
        <v>0.49</v>
      </c>
      <c r="P179" s="50">
        <f>VLOOKUP($A179,'Data shares'!$C:$FB,125)</f>
        <v>0.37</v>
      </c>
      <c r="Q179" s="50">
        <f>VLOOKUP($A179,'Data shares'!$C:$FB,127)*100</f>
        <v>32.43</v>
      </c>
    </row>
    <row r="180" spans="1:17" x14ac:dyDescent="0.25">
      <c r="A180" s="97" t="str">
        <f>'Data Vlaue (Cr)'!C175</f>
        <v>RELIANCE</v>
      </c>
      <c r="B180" s="140">
        <f>VLOOKUP($A180,'Data shares'!$C:$FB,7)</f>
        <v>1437.9</v>
      </c>
      <c r="C180" s="140">
        <f>VLOOKUP($A180,'Data shares'!$C:$FB,3)</f>
        <v>1446.2</v>
      </c>
      <c r="D180" s="140">
        <f>VLOOKUP($A180,'Data shares'!$C:$FB,4)</f>
        <v>1467.4</v>
      </c>
      <c r="E180" s="50">
        <f t="shared" si="9"/>
        <v>-1.444732179364866</v>
      </c>
      <c r="F180" s="49">
        <f>VLOOKUP($A180,'Data shares'!$C:$FB,98)</f>
        <v>180792000</v>
      </c>
      <c r="G180" s="49">
        <f>VLOOKUP($A180,'Data shares'!$C:$FB,99)</f>
        <v>172977000</v>
      </c>
      <c r="H180" s="50">
        <f t="shared" si="10"/>
        <v>4.517941691669991</v>
      </c>
      <c r="I180" s="49">
        <f>VLOOKUP($A180,'Data shares'!$C:$FB,66)</f>
        <v>172352000</v>
      </c>
      <c r="J180" s="49">
        <f>VLOOKUP($A180,'Data shares'!$C:$FB,67)</f>
        <v>120553500</v>
      </c>
      <c r="K180" s="50">
        <f t="shared" si="11"/>
        <v>30.053901318232455</v>
      </c>
      <c r="L180" s="50">
        <f>VLOOKUP($A180,'Data shares'!$C:$FB,118)</f>
        <v>0.72</v>
      </c>
      <c r="M180" s="50">
        <f>VLOOKUP($A180,'Data shares'!$C:$FB,119)</f>
        <v>0.93</v>
      </c>
      <c r="N180" s="50">
        <f>VLOOKUP($A180,'Data shares'!$C:$FB,121)*100</f>
        <v>-22.58</v>
      </c>
      <c r="O180" s="50">
        <f>VLOOKUP($A180,'Data shares'!$C:$FB,124)</f>
        <v>0.61</v>
      </c>
      <c r="P180" s="50">
        <f>VLOOKUP($A180,'Data shares'!$C:$FB,125)</f>
        <v>0.74</v>
      </c>
      <c r="Q180" s="50">
        <f>VLOOKUP($A180,'Data shares'!$C:$FB,127)*100</f>
        <v>-17.57</v>
      </c>
    </row>
    <row r="181" spans="1:17" x14ac:dyDescent="0.25">
      <c r="A181" s="97" t="str">
        <f>'Data Vlaue (Cr)'!C176</f>
        <v>RVNL</v>
      </c>
      <c r="B181" s="140">
        <f>VLOOKUP($A181,'Data shares'!$C:$FB,7)</f>
        <v>305.10000000000002</v>
      </c>
      <c r="C181" s="140">
        <f>VLOOKUP($A181,'Data shares'!$C:$FB,3)</f>
        <v>304.25</v>
      </c>
      <c r="D181" s="140">
        <f>VLOOKUP($A181,'Data shares'!$C:$FB,4)</f>
        <v>298.3</v>
      </c>
      <c r="E181" s="50">
        <f t="shared" si="9"/>
        <v>1.9946362722091815</v>
      </c>
      <c r="F181" s="49">
        <f>VLOOKUP($A181,'Data shares'!$C:$FB,98)</f>
        <v>78899675</v>
      </c>
      <c r="G181" s="49">
        <f>VLOOKUP($A181,'Data shares'!$C:$FB,99)</f>
        <v>78426475</v>
      </c>
      <c r="H181" s="50">
        <f t="shared" si="10"/>
        <v>0.60336767654035195</v>
      </c>
      <c r="I181" s="49">
        <f>VLOOKUP($A181,'Data shares'!$C:$FB,66)</f>
        <v>27408825</v>
      </c>
      <c r="J181" s="49">
        <f>VLOOKUP($A181,'Data shares'!$C:$FB,67)</f>
        <v>29089375</v>
      </c>
      <c r="K181" s="50">
        <f t="shared" si="11"/>
        <v>-6.1314193512490958</v>
      </c>
      <c r="L181" s="50">
        <f>VLOOKUP($A181,'Data shares'!$C:$FB,118)</f>
        <v>0.61</v>
      </c>
      <c r="M181" s="50">
        <f>VLOOKUP($A181,'Data shares'!$C:$FB,119)</f>
        <v>0.56999999999999995</v>
      </c>
      <c r="N181" s="50">
        <f>VLOOKUP($A181,'Data shares'!$C:$FB,121)*100</f>
        <v>7.02</v>
      </c>
      <c r="O181" s="50">
        <f>VLOOKUP($A181,'Data shares'!$C:$FB,124)</f>
        <v>0.19</v>
      </c>
      <c r="P181" s="50">
        <f>VLOOKUP($A181,'Data shares'!$C:$FB,125)</f>
        <v>0.25</v>
      </c>
      <c r="Q181" s="50">
        <f>VLOOKUP($A181,'Data shares'!$C:$FB,127)*100</f>
        <v>-24</v>
      </c>
    </row>
    <row r="182" spans="1:17" x14ac:dyDescent="0.25">
      <c r="A182" s="97" t="str">
        <f>'Data Vlaue (Cr)'!C177</f>
        <v>SAIL</v>
      </c>
      <c r="B182" s="140">
        <f>VLOOKUP($A182,'Data shares'!$C:$FB,7)</f>
        <v>186.04</v>
      </c>
      <c r="C182" s="140">
        <f>VLOOKUP($A182,'Data shares'!$C:$FB,3)</f>
        <v>187.47</v>
      </c>
      <c r="D182" s="140">
        <f>VLOOKUP($A182,'Data shares'!$C:$FB,4)</f>
        <v>188.5</v>
      </c>
      <c r="E182" s="50">
        <f t="shared" si="9"/>
        <v>-0.54641909814323664</v>
      </c>
      <c r="F182" s="49">
        <f>VLOOKUP($A182,'Data shares'!$C:$FB,98)</f>
        <v>213065100</v>
      </c>
      <c r="G182" s="49">
        <f>VLOOKUP($A182,'Data shares'!$C:$FB,99)</f>
        <v>209756300</v>
      </c>
      <c r="H182" s="50">
        <f t="shared" si="10"/>
        <v>1.5774496403683704</v>
      </c>
      <c r="I182" s="49">
        <f>VLOOKUP($A182,'Data shares'!$C:$FB,66)</f>
        <v>20473200</v>
      </c>
      <c r="J182" s="49">
        <f>VLOOKUP($A182,'Data shares'!$C:$FB,67)</f>
        <v>23970000</v>
      </c>
      <c r="K182" s="50">
        <f t="shared" si="11"/>
        <v>-17.079889807162534</v>
      </c>
      <c r="L182" s="50">
        <f>VLOOKUP($A182,'Data shares'!$C:$FB,118)</f>
        <v>0.69</v>
      </c>
      <c r="M182" s="50">
        <f>VLOOKUP($A182,'Data shares'!$C:$FB,119)</f>
        <v>0.71</v>
      </c>
      <c r="N182" s="50">
        <f>VLOOKUP($A182,'Data shares'!$C:$FB,121)*100</f>
        <v>-2.82</v>
      </c>
      <c r="O182" s="50">
        <f>VLOOKUP($A182,'Data shares'!$C:$FB,124)</f>
        <v>0.44</v>
      </c>
      <c r="P182" s="50">
        <f>VLOOKUP($A182,'Data shares'!$C:$FB,125)</f>
        <v>0.43</v>
      </c>
      <c r="Q182" s="50">
        <f>VLOOKUP($A182,'Data shares'!$C:$FB,127)*100</f>
        <v>2.33</v>
      </c>
    </row>
    <row r="183" spans="1:17" x14ac:dyDescent="0.25">
      <c r="A183" s="97" t="str">
        <f>'Data Vlaue (Cr)'!C178</f>
        <v>SAMMAANCAP</v>
      </c>
      <c r="B183" s="140">
        <f>VLOOKUP($A183,'Data shares'!$C:$FB,7)</f>
        <v>149.78</v>
      </c>
      <c r="C183" s="140">
        <f>VLOOKUP($A183,'Data shares'!$C:$FB,3)</f>
        <v>150.6</v>
      </c>
      <c r="D183" s="140">
        <f>VLOOKUP($A183,'Data shares'!$C:$FB,4)</f>
        <v>145.25</v>
      </c>
      <c r="E183" s="50">
        <f>(C183-D183)/D183*100</f>
        <v>3.6833046471600648</v>
      </c>
      <c r="F183" s="49">
        <f>VLOOKUP($A183,'Data shares'!$C:$FB,98)</f>
        <v>140003700</v>
      </c>
      <c r="G183" s="49">
        <f>VLOOKUP($A183,'Data shares'!$C:$FB,99)</f>
        <v>142755700</v>
      </c>
      <c r="H183" s="50">
        <f>(F183-G183)/G183*100</f>
        <v>-1.9277689087020693</v>
      </c>
      <c r="I183" s="49">
        <f>VLOOKUP($A183,'Data shares'!$C:$FB,66)</f>
        <v>63093900</v>
      </c>
      <c r="J183" s="49">
        <f>VLOOKUP($A183,'Data shares'!$C:$FB,67)</f>
        <v>22299800</v>
      </c>
      <c r="K183" s="50">
        <f>(I183-J183)/I183*100</f>
        <v>64.656171198800521</v>
      </c>
      <c r="L183" s="50">
        <f>VLOOKUP($A183,'Data shares'!$C:$FB,118)</f>
        <v>0.61</v>
      </c>
      <c r="M183" s="50">
        <f>VLOOKUP($A183,'Data shares'!$C:$FB,119)</f>
        <v>0.63</v>
      </c>
      <c r="N183" s="50">
        <f>VLOOKUP($A183,'Data shares'!$C:$FB,121)*100</f>
        <v>-3.17</v>
      </c>
      <c r="O183" s="50">
        <f>VLOOKUP($A183,'Data shares'!$C:$FB,124)</f>
        <v>0.19</v>
      </c>
      <c r="P183" s="50">
        <f>VLOOKUP($A183,'Data shares'!$C:$FB,125)</f>
        <v>0.26</v>
      </c>
      <c r="Q183" s="50">
        <f>VLOOKUP($A183,'Data shares'!$C:$FB,127)*100</f>
        <v>-26.919999999999998</v>
      </c>
    </row>
    <row r="184" spans="1:17" x14ac:dyDescent="0.25">
      <c r="A184" s="97" t="str">
        <f>'Data Vlaue (Cr)'!C179</f>
        <v>SBICARD</v>
      </c>
      <c r="B184" s="140">
        <f>VLOOKUP($A184,'Data shares'!$C:$FB,7)</f>
        <v>649.65</v>
      </c>
      <c r="C184" s="140">
        <f>VLOOKUP($A184,'Data shares'!$C:$FB,3)</f>
        <v>654</v>
      </c>
      <c r="D184" s="140">
        <f>VLOOKUP($A184,'Data shares'!$C:$FB,4)</f>
        <v>647.79999999999995</v>
      </c>
      <c r="E184" s="50">
        <f t="shared" ref="E184:E188" si="12">(C184-D184)/D184*100</f>
        <v>0.95708552022229798</v>
      </c>
      <c r="F184" s="49">
        <f>VLOOKUP($A184,'Data shares'!$C:$FB,98)</f>
        <v>40416000</v>
      </c>
      <c r="G184" s="49">
        <f>VLOOKUP($A184,'Data shares'!$C:$FB,99)</f>
        <v>39915200</v>
      </c>
      <c r="H184" s="50">
        <f t="shared" ref="H184:H188" si="13">(F184-G184)/G184*100</f>
        <v>1.2546598789433598</v>
      </c>
      <c r="I184" s="49">
        <f>VLOOKUP($A184,'Data shares'!$C:$FB,66)</f>
        <v>16544800</v>
      </c>
      <c r="J184" s="49">
        <f>VLOOKUP($A184,'Data shares'!$C:$FB,67)</f>
        <v>12155200</v>
      </c>
      <c r="K184" s="50">
        <f t="shared" ref="K184:K188" si="14">(I184-J184)/I184*100</f>
        <v>26.531599052270199</v>
      </c>
      <c r="L184" s="50">
        <f>VLOOKUP($A184,'Data shares'!$C:$FB,118)</f>
        <v>0.65</v>
      </c>
      <c r="M184" s="50">
        <f>VLOOKUP($A184,'Data shares'!$C:$FB,119)</f>
        <v>0.59</v>
      </c>
      <c r="N184" s="50">
        <f>VLOOKUP($A184,'Data shares'!$C:$FB,121)*100</f>
        <v>10.17</v>
      </c>
      <c r="O184" s="50">
        <f>VLOOKUP($A184,'Data shares'!$C:$FB,124)</f>
        <v>0.57999999999999996</v>
      </c>
      <c r="P184" s="50">
        <f>VLOOKUP($A184,'Data shares'!$C:$FB,125)</f>
        <v>0.49</v>
      </c>
      <c r="Q184" s="50">
        <f>VLOOKUP($A184,'Data shares'!$C:$FB,127)*100</f>
        <v>18.37</v>
      </c>
    </row>
    <row r="185" spans="1:17" x14ac:dyDescent="0.25">
      <c r="A185" s="97" t="str">
        <f>'Data Vlaue (Cr)'!C180</f>
        <v>SBILIFE</v>
      </c>
      <c r="B185" s="140">
        <f>VLOOKUP($A185,'Data shares'!$C:$FB,7)</f>
        <v>1859</v>
      </c>
      <c r="C185" s="140">
        <f>VLOOKUP($A185,'Data shares'!$C:$FB,3)</f>
        <v>1866.4</v>
      </c>
      <c r="D185" s="140">
        <f>VLOOKUP($A185,'Data shares'!$C:$FB,4)</f>
        <v>1825.5</v>
      </c>
      <c r="E185" s="50">
        <f t="shared" si="12"/>
        <v>2.2404820597096737</v>
      </c>
      <c r="F185" s="49">
        <f>VLOOKUP($A185,'Data shares'!$C:$FB,98)</f>
        <v>16586625</v>
      </c>
      <c r="G185" s="49">
        <f>VLOOKUP($A185,'Data shares'!$C:$FB,99)</f>
        <v>16738875</v>
      </c>
      <c r="H185" s="50">
        <f t="shared" si="13"/>
        <v>-0.90955933418464496</v>
      </c>
      <c r="I185" s="49">
        <f>VLOOKUP($A185,'Data shares'!$C:$FB,66)</f>
        <v>8204625</v>
      </c>
      <c r="J185" s="49">
        <f>VLOOKUP($A185,'Data shares'!$C:$FB,67)</f>
        <v>7147875</v>
      </c>
      <c r="K185" s="50">
        <f t="shared" si="14"/>
        <v>12.87993052698935</v>
      </c>
      <c r="L185" s="50">
        <f>VLOOKUP($A185,'Data shares'!$C:$FB,118)</f>
        <v>0.53</v>
      </c>
      <c r="M185" s="50">
        <f>VLOOKUP($A185,'Data shares'!$C:$FB,119)</f>
        <v>0.46</v>
      </c>
      <c r="N185" s="50">
        <f>VLOOKUP($A185,'Data shares'!$C:$FB,121)*100</f>
        <v>15.22</v>
      </c>
      <c r="O185" s="50">
        <f>VLOOKUP($A185,'Data shares'!$C:$FB,124)</f>
        <v>0.47</v>
      </c>
      <c r="P185" s="50">
        <f>VLOOKUP($A185,'Data shares'!$C:$FB,125)</f>
        <v>0.41</v>
      </c>
      <c r="Q185" s="50">
        <f>VLOOKUP($A185,'Data shares'!$C:$FB,127)*100</f>
        <v>14.63</v>
      </c>
    </row>
    <row r="186" spans="1:17" x14ac:dyDescent="0.25">
      <c r="A186" s="97" t="str">
        <f>'Data Vlaue (Cr)'!C181</f>
        <v>SBIN</v>
      </c>
      <c r="B186" s="140">
        <f>VLOOKUP($A186,'Data shares'!$C:$FB,7)</f>
        <v>1096</v>
      </c>
      <c r="C186" s="140">
        <f>VLOOKUP($A186,'Data shares'!$C:$FB,3)</f>
        <v>1090.2</v>
      </c>
      <c r="D186" s="140">
        <f>VLOOKUP($A186,'Data shares'!$C:$FB,4)</f>
        <v>1051.8</v>
      </c>
      <c r="E186" s="50">
        <f t="shared" si="12"/>
        <v>3.6508841985168372</v>
      </c>
      <c r="F186" s="49">
        <f>VLOOKUP($A186,'Data shares'!$C:$FB,98)</f>
        <v>158479500</v>
      </c>
      <c r="G186" s="49">
        <f>VLOOKUP($A186,'Data shares'!$C:$FB,99)</f>
        <v>155319000</v>
      </c>
      <c r="H186" s="50">
        <f t="shared" si="13"/>
        <v>2.0348444169740985</v>
      </c>
      <c r="I186" s="49">
        <f>VLOOKUP($A186,'Data shares'!$C:$FB,66)</f>
        <v>136813500</v>
      </c>
      <c r="J186" s="49">
        <f>VLOOKUP($A186,'Data shares'!$C:$FB,67)</f>
        <v>64799250</v>
      </c>
      <c r="K186" s="50">
        <f t="shared" si="14"/>
        <v>52.636801192864738</v>
      </c>
      <c r="L186" s="50">
        <f>VLOOKUP($A186,'Data shares'!$C:$FB,118)</f>
        <v>0.76</v>
      </c>
      <c r="M186" s="50">
        <f>VLOOKUP($A186,'Data shares'!$C:$FB,119)</f>
        <v>0.68</v>
      </c>
      <c r="N186" s="50">
        <f>VLOOKUP($A186,'Data shares'!$C:$FB,121)*100</f>
        <v>11.76</v>
      </c>
      <c r="O186" s="50">
        <f>VLOOKUP($A186,'Data shares'!$C:$FB,124)</f>
        <v>0.48</v>
      </c>
      <c r="P186" s="50">
        <f>VLOOKUP($A186,'Data shares'!$C:$FB,125)</f>
        <v>0.6</v>
      </c>
      <c r="Q186" s="50">
        <f>VLOOKUP($A186,'Data shares'!$C:$FB,127)*100</f>
        <v>-20</v>
      </c>
    </row>
    <row r="187" spans="1:17" x14ac:dyDescent="0.25">
      <c r="A187" s="97" t="str">
        <f>'Data Vlaue (Cr)'!C182</f>
        <v>SHREECEM</v>
      </c>
      <c r="B187" s="140">
        <f>VLOOKUP($A187,'Data shares'!$C:$FB,7)</f>
        <v>24975</v>
      </c>
      <c r="C187" s="140">
        <f>VLOOKUP($A187,'Data shares'!$C:$FB,3)</f>
        <v>24795</v>
      </c>
      <c r="D187" s="140">
        <f>VLOOKUP($A187,'Data shares'!$C:$FB,4)</f>
        <v>24510</v>
      </c>
      <c r="E187" s="50">
        <f t="shared" si="12"/>
        <v>1.1627906976744187</v>
      </c>
      <c r="F187" s="49">
        <f>VLOOKUP($A187,'Data shares'!$C:$FB,98)</f>
        <v>557575</v>
      </c>
      <c r="G187" s="49">
        <f>VLOOKUP($A187,'Data shares'!$C:$FB,99)</f>
        <v>502500</v>
      </c>
      <c r="H187" s="50">
        <f t="shared" si="13"/>
        <v>10.960199004975124</v>
      </c>
      <c r="I187" s="49">
        <f>VLOOKUP($A187,'Data shares'!$C:$FB,66)</f>
        <v>308800</v>
      </c>
      <c r="J187" s="49">
        <f>VLOOKUP($A187,'Data shares'!$C:$FB,67)</f>
        <v>128225</v>
      </c>
      <c r="K187" s="50">
        <f t="shared" si="14"/>
        <v>58.476360103626945</v>
      </c>
      <c r="L187" s="50">
        <f>VLOOKUP($A187,'Data shares'!$C:$FB,118)</f>
        <v>0.87</v>
      </c>
      <c r="M187" s="50">
        <f>VLOOKUP($A187,'Data shares'!$C:$FB,119)</f>
        <v>0.88</v>
      </c>
      <c r="N187" s="50">
        <f>VLOOKUP($A187,'Data shares'!$C:$FB,121)*100</f>
        <v>-1.1400000000000001</v>
      </c>
      <c r="O187" s="50">
        <f>VLOOKUP($A187,'Data shares'!$C:$FB,124)</f>
        <v>0.48</v>
      </c>
      <c r="P187" s="50">
        <f>VLOOKUP($A187,'Data shares'!$C:$FB,125)</f>
        <v>0.3</v>
      </c>
      <c r="Q187" s="50">
        <f>VLOOKUP($A187,'Data shares'!$C:$FB,127)*100</f>
        <v>60</v>
      </c>
    </row>
    <row r="188" spans="1:17" x14ac:dyDescent="0.25">
      <c r="A188" s="97" t="str">
        <f>'Data Vlaue (Cr)'!C183</f>
        <v>SHRIRAMFIN</v>
      </c>
      <c r="B188" s="140">
        <f>VLOOKUP($A188,'Data shares'!$C:$FB,7)</f>
        <v>1004.1</v>
      </c>
      <c r="C188" s="140">
        <f>VLOOKUP($A188,'Data shares'!$C:$FB,3)</f>
        <v>1010.5</v>
      </c>
      <c r="D188" s="140">
        <f>VLOOKUP($A188,'Data shares'!$C:$FB,4)</f>
        <v>967.4</v>
      </c>
      <c r="E188" s="50">
        <f t="shared" si="12"/>
        <v>4.455240851767627</v>
      </c>
      <c r="F188" s="49">
        <f>VLOOKUP($A188,'Data shares'!$C:$FB,98)</f>
        <v>69510375</v>
      </c>
      <c r="G188" s="49">
        <f>VLOOKUP($A188,'Data shares'!$C:$FB,99)</f>
        <v>72771600</v>
      </c>
      <c r="H188" s="50">
        <f t="shared" si="13"/>
        <v>-4.4814529294395067</v>
      </c>
      <c r="I188" s="49">
        <f>VLOOKUP($A188,'Data shares'!$C:$FB,66)</f>
        <v>51998925</v>
      </c>
      <c r="J188" s="49">
        <f>VLOOKUP($A188,'Data shares'!$C:$FB,67)</f>
        <v>24973575</v>
      </c>
      <c r="K188" s="50">
        <f t="shared" si="14"/>
        <v>51.972901362864711</v>
      </c>
      <c r="L188" s="50">
        <f>VLOOKUP($A188,'Data shares'!$C:$FB,118)</f>
        <v>0.59</v>
      </c>
      <c r="M188" s="50">
        <f>VLOOKUP($A188,'Data shares'!$C:$FB,119)</f>
        <v>0.49</v>
      </c>
      <c r="N188" s="50">
        <f>VLOOKUP($A188,'Data shares'!$C:$FB,121)*100</f>
        <v>20.41</v>
      </c>
      <c r="O188" s="50">
        <f>VLOOKUP($A188,'Data shares'!$C:$FB,124)</f>
        <v>0.53</v>
      </c>
      <c r="P188" s="50">
        <f>VLOOKUP($A188,'Data shares'!$C:$FB,125)</f>
        <v>0.56000000000000005</v>
      </c>
      <c r="Q188" s="50">
        <f>VLOOKUP($A188,'Data shares'!$C:$FB,127)*100</f>
        <v>-5.36</v>
      </c>
    </row>
    <row r="189" spans="1:17" x14ac:dyDescent="0.25">
      <c r="A189" s="97" t="str">
        <f>'Data Vlaue (Cr)'!C184</f>
        <v>SIEMENS</v>
      </c>
      <c r="B189" s="140">
        <f>VLOOKUP($A189,'Data shares'!$C:$FB,7)</f>
        <v>3841.8</v>
      </c>
      <c r="C189" s="140">
        <f>VLOOKUP($A189,'Data shares'!$C:$FB,3)</f>
        <v>3839.6</v>
      </c>
      <c r="D189" s="140">
        <f>VLOOKUP($A189,'Data shares'!$C:$FB,4)</f>
        <v>3862.4</v>
      </c>
      <c r="E189" s="50">
        <f t="shared" ref="E189:E209" si="15">(C189-D189)/D189*100</f>
        <v>-0.5903065451532773</v>
      </c>
      <c r="F189" s="49">
        <f>VLOOKUP($A189,'Data shares'!$C:$FB,98)</f>
        <v>4599175</v>
      </c>
      <c r="G189" s="49">
        <f>VLOOKUP($A189,'Data shares'!$C:$FB,99)</f>
        <v>4580800</v>
      </c>
      <c r="H189" s="50">
        <f t="shared" ref="H189:H209" si="16">(F189-G189)/G189*100</f>
        <v>0.4011308068459658</v>
      </c>
      <c r="I189" s="49">
        <f>VLOOKUP($A189,'Data shares'!$C:$FB,66)</f>
        <v>1865150</v>
      </c>
      <c r="J189" s="49">
        <f>VLOOKUP($A189,'Data shares'!$C:$FB,67)</f>
        <v>1121575</v>
      </c>
      <c r="K189" s="50">
        <f t="shared" ref="K189:K209" si="17">(I189-J189)/I189*100</f>
        <v>39.866766747982737</v>
      </c>
      <c r="L189" s="50">
        <f>VLOOKUP($A189,'Data shares'!$C:$FB,118)</f>
        <v>0.5</v>
      </c>
      <c r="M189" s="50">
        <f>VLOOKUP($A189,'Data shares'!$C:$FB,119)</f>
        <v>0.52</v>
      </c>
      <c r="N189" s="50">
        <f>VLOOKUP($A189,'Data shares'!$C:$FB,121)*100</f>
        <v>-3.85</v>
      </c>
      <c r="O189" s="50">
        <f>VLOOKUP($A189,'Data shares'!$C:$FB,124)</f>
        <v>0.45</v>
      </c>
      <c r="P189" s="50">
        <f>VLOOKUP($A189,'Data shares'!$C:$FB,125)</f>
        <v>0.35</v>
      </c>
      <c r="Q189" s="50">
        <f>VLOOKUP($A189,'Data shares'!$C:$FB,127)*100</f>
        <v>28.57</v>
      </c>
    </row>
    <row r="190" spans="1:17" x14ac:dyDescent="0.25">
      <c r="A190" s="97" t="str">
        <f>'Data Vlaue (Cr)'!C185</f>
        <v>SOLARINDS</v>
      </c>
      <c r="B190" s="140">
        <f>VLOOKUP($A190,'Data shares'!$C:$FB,7)</f>
        <v>15740</v>
      </c>
      <c r="C190" s="140">
        <f>VLOOKUP($A190,'Data shares'!$C:$FB,3)</f>
        <v>15785</v>
      </c>
      <c r="D190" s="140">
        <f>VLOOKUP($A190,'Data shares'!$C:$FB,4)</f>
        <v>15919</v>
      </c>
      <c r="E190" s="50">
        <f t="shared" si="15"/>
        <v>-0.84176141717444564</v>
      </c>
      <c r="F190" s="49">
        <f>VLOOKUP($A190,'Data shares'!$C:$FB,98)</f>
        <v>950050</v>
      </c>
      <c r="G190" s="49">
        <f>VLOOKUP($A190,'Data shares'!$C:$FB,99)</f>
        <v>954500</v>
      </c>
      <c r="H190" s="50">
        <f t="shared" si="16"/>
        <v>-0.46621267679413303</v>
      </c>
      <c r="I190" s="49">
        <f>VLOOKUP($A190,'Data shares'!$C:$FB,66)</f>
        <v>498200</v>
      </c>
      <c r="J190" s="49">
        <f>VLOOKUP($A190,'Data shares'!$C:$FB,67)</f>
        <v>415350</v>
      </c>
      <c r="K190" s="50">
        <f t="shared" si="17"/>
        <v>16.629867523083099</v>
      </c>
      <c r="L190" s="50">
        <f>VLOOKUP($A190,'Data shares'!$C:$FB,118)</f>
        <v>0.76</v>
      </c>
      <c r="M190" s="50">
        <f>VLOOKUP($A190,'Data shares'!$C:$FB,119)</f>
        <v>0.8</v>
      </c>
      <c r="N190" s="50">
        <f>VLOOKUP($A190,'Data shares'!$C:$FB,121)*100</f>
        <v>-5</v>
      </c>
      <c r="O190" s="50">
        <f>VLOOKUP($A190,'Data shares'!$C:$FB,124)</f>
        <v>0.63</v>
      </c>
      <c r="P190" s="50">
        <f>VLOOKUP($A190,'Data shares'!$C:$FB,125)</f>
        <v>0.77</v>
      </c>
      <c r="Q190" s="50">
        <f>VLOOKUP($A190,'Data shares'!$C:$FB,127)*100</f>
        <v>-18.18</v>
      </c>
    </row>
    <row r="191" spans="1:17" x14ac:dyDescent="0.25">
      <c r="A191" s="97" t="str">
        <f>'Data Vlaue (Cr)'!C186</f>
        <v>SONACOMS</v>
      </c>
      <c r="B191" s="140">
        <f>VLOOKUP($A191,'Data shares'!$C:$FB,7)</f>
        <v>582.6</v>
      </c>
      <c r="C191" s="140">
        <f>VLOOKUP($A191,'Data shares'!$C:$FB,3)</f>
        <v>586.45000000000005</v>
      </c>
      <c r="D191" s="140">
        <f>VLOOKUP($A191,'Data shares'!$C:$FB,4)</f>
        <v>578.54999999999995</v>
      </c>
      <c r="E191" s="50">
        <f t="shared" si="15"/>
        <v>1.3654826721977515</v>
      </c>
      <c r="F191" s="49">
        <f>VLOOKUP($A191,'Data shares'!$C:$FB,98)</f>
        <v>23244375</v>
      </c>
      <c r="G191" s="49">
        <f>VLOOKUP($A191,'Data shares'!$C:$FB,99)</f>
        <v>23593500</v>
      </c>
      <c r="H191" s="50">
        <f t="shared" si="16"/>
        <v>-1.4797507788161994</v>
      </c>
      <c r="I191" s="49">
        <f>VLOOKUP($A191,'Data shares'!$C:$FB,66)</f>
        <v>9073575</v>
      </c>
      <c r="J191" s="49">
        <f>VLOOKUP($A191,'Data shares'!$C:$FB,67)</f>
        <v>12245100</v>
      </c>
      <c r="K191" s="50">
        <f t="shared" si="17"/>
        <v>-34.953422438234107</v>
      </c>
      <c r="L191" s="50">
        <f>VLOOKUP($A191,'Data shares'!$C:$FB,118)</f>
        <v>0.57999999999999996</v>
      </c>
      <c r="M191" s="50">
        <f>VLOOKUP($A191,'Data shares'!$C:$FB,119)</f>
        <v>0.56999999999999995</v>
      </c>
      <c r="N191" s="50">
        <f>VLOOKUP($A191,'Data shares'!$C:$FB,121)*100</f>
        <v>1.7500000000000002</v>
      </c>
      <c r="O191" s="50">
        <f>VLOOKUP($A191,'Data shares'!$C:$FB,124)</f>
        <v>0.39</v>
      </c>
      <c r="P191" s="50">
        <f>VLOOKUP($A191,'Data shares'!$C:$FB,125)</f>
        <v>0.5</v>
      </c>
      <c r="Q191" s="50">
        <f>VLOOKUP($A191,'Data shares'!$C:$FB,127)*100</f>
        <v>-22</v>
      </c>
    </row>
    <row r="192" spans="1:17" x14ac:dyDescent="0.25">
      <c r="A192" s="97" t="str">
        <f>'Data Vlaue (Cr)'!C187</f>
        <v>SRF</v>
      </c>
      <c r="B192" s="140">
        <f>VLOOKUP($A192,'Data shares'!$C:$FB,7)</f>
        <v>2719.6</v>
      </c>
      <c r="C192" s="140">
        <f>VLOOKUP($A192,'Data shares'!$C:$FB,3)</f>
        <v>2735.6</v>
      </c>
      <c r="D192" s="140">
        <f>VLOOKUP($A192,'Data shares'!$C:$FB,4)</f>
        <v>2542.5</v>
      </c>
      <c r="E192" s="50">
        <f t="shared" si="15"/>
        <v>7.5948869223205469</v>
      </c>
      <c r="F192" s="49">
        <f>VLOOKUP($A192,'Data shares'!$C:$FB,98)</f>
        <v>7634400</v>
      </c>
      <c r="G192" s="49">
        <f>VLOOKUP($A192,'Data shares'!$C:$FB,99)</f>
        <v>6358600</v>
      </c>
      <c r="H192" s="50">
        <f t="shared" si="16"/>
        <v>20.064165067782216</v>
      </c>
      <c r="I192" s="49">
        <f>VLOOKUP($A192,'Data shares'!$C:$FB,66)</f>
        <v>43182000</v>
      </c>
      <c r="J192" s="49">
        <f>VLOOKUP($A192,'Data shares'!$C:$FB,67)</f>
        <v>5702000</v>
      </c>
      <c r="K192" s="50">
        <f t="shared" si="17"/>
        <v>86.795424019267287</v>
      </c>
      <c r="L192" s="50">
        <f>VLOOKUP($A192,'Data shares'!$C:$FB,118)</f>
        <v>0.99</v>
      </c>
      <c r="M192" s="50">
        <f>VLOOKUP($A192,'Data shares'!$C:$FB,119)</f>
        <v>0.76</v>
      </c>
      <c r="N192" s="50">
        <f>VLOOKUP($A192,'Data shares'!$C:$FB,121)*100</f>
        <v>30.259999999999998</v>
      </c>
      <c r="O192" s="50">
        <f>VLOOKUP($A192,'Data shares'!$C:$FB,124)</f>
        <v>0.43</v>
      </c>
      <c r="P192" s="50">
        <f>VLOOKUP($A192,'Data shares'!$C:$FB,125)</f>
        <v>0.48</v>
      </c>
      <c r="Q192" s="50">
        <f>VLOOKUP($A192,'Data shares'!$C:$FB,127)*100</f>
        <v>-10.42</v>
      </c>
    </row>
    <row r="193" spans="1:17" x14ac:dyDescent="0.25">
      <c r="A193" s="97" t="str">
        <f>'Data Vlaue (Cr)'!C188</f>
        <v>SUNPHARMA</v>
      </c>
      <c r="B193" s="140">
        <f>VLOOKUP($A193,'Data shares'!$C:$FB,7)</f>
        <v>1850.2</v>
      </c>
      <c r="C193" s="140">
        <f>VLOOKUP($A193,'Data shares'!$C:$FB,3)</f>
        <v>1857.5</v>
      </c>
      <c r="D193" s="140">
        <f>VLOOKUP($A193,'Data shares'!$C:$FB,4)</f>
        <v>1825.4</v>
      </c>
      <c r="E193" s="50">
        <f t="shared" si="15"/>
        <v>1.7585186808370716</v>
      </c>
      <c r="F193" s="49">
        <f>VLOOKUP($A193,'Data shares'!$C:$FB,98)</f>
        <v>45308200</v>
      </c>
      <c r="G193" s="49">
        <f>VLOOKUP($A193,'Data shares'!$C:$FB,99)</f>
        <v>44541000</v>
      </c>
      <c r="H193" s="50">
        <f t="shared" si="16"/>
        <v>1.7224579600817227</v>
      </c>
      <c r="I193" s="49">
        <f>VLOOKUP($A193,'Data shares'!$C:$FB,66)</f>
        <v>28954800</v>
      </c>
      <c r="J193" s="49">
        <f>VLOOKUP($A193,'Data shares'!$C:$FB,67)</f>
        <v>15031800</v>
      </c>
      <c r="K193" s="50">
        <f t="shared" si="17"/>
        <v>48.085291557876417</v>
      </c>
      <c r="L193" s="50">
        <f>VLOOKUP($A193,'Data shares'!$C:$FB,118)</f>
        <v>0.77</v>
      </c>
      <c r="M193" s="50">
        <f>VLOOKUP($A193,'Data shares'!$C:$FB,119)</f>
        <v>0.71</v>
      </c>
      <c r="N193" s="50">
        <f>VLOOKUP($A193,'Data shares'!$C:$FB,121)*100</f>
        <v>8.4500000000000011</v>
      </c>
      <c r="O193" s="50">
        <f>VLOOKUP($A193,'Data shares'!$C:$FB,124)</f>
        <v>0.51</v>
      </c>
      <c r="P193" s="50">
        <f>VLOOKUP($A193,'Data shares'!$C:$FB,125)</f>
        <v>0.68</v>
      </c>
      <c r="Q193" s="50">
        <f>VLOOKUP($A193,'Data shares'!$C:$FB,127)*100</f>
        <v>-25</v>
      </c>
    </row>
    <row r="194" spans="1:17" x14ac:dyDescent="0.25">
      <c r="A194" s="97" t="str">
        <f>'Data Vlaue (Cr)'!C189</f>
        <v>SUPREMEIND</v>
      </c>
      <c r="B194" s="140">
        <f>VLOOKUP($A194,'Data shares'!$C:$FB,7)</f>
        <v>3709.4</v>
      </c>
      <c r="C194" s="140">
        <f>VLOOKUP($A194,'Data shares'!$C:$FB,3)</f>
        <v>3735.7</v>
      </c>
      <c r="D194" s="140">
        <f>VLOOKUP($A194,'Data shares'!$C:$FB,4)</f>
        <v>3650.6</v>
      </c>
      <c r="E194" s="50">
        <f t="shared" si="15"/>
        <v>2.3311236509066977</v>
      </c>
      <c r="F194" s="49">
        <f>VLOOKUP($A194,'Data shares'!$C:$FB,98)</f>
        <v>3511025</v>
      </c>
      <c r="G194" s="49">
        <f>VLOOKUP($A194,'Data shares'!$C:$FB,99)</f>
        <v>3571400</v>
      </c>
      <c r="H194" s="50">
        <f t="shared" si="16"/>
        <v>-1.6905135241081928</v>
      </c>
      <c r="I194" s="49">
        <f>VLOOKUP($A194,'Data shares'!$C:$FB,66)</f>
        <v>2127825</v>
      </c>
      <c r="J194" s="49">
        <f>VLOOKUP($A194,'Data shares'!$C:$FB,67)</f>
        <v>1036350</v>
      </c>
      <c r="K194" s="50">
        <f t="shared" si="17"/>
        <v>51.295336787564771</v>
      </c>
      <c r="L194" s="50">
        <f>VLOOKUP($A194,'Data shares'!$C:$FB,118)</f>
        <v>0.43</v>
      </c>
      <c r="M194" s="50">
        <f>VLOOKUP($A194,'Data shares'!$C:$FB,119)</f>
        <v>0.42</v>
      </c>
      <c r="N194" s="50">
        <f>VLOOKUP($A194,'Data shares'!$C:$FB,121)*100</f>
        <v>2.3800000000000003</v>
      </c>
      <c r="O194" s="50">
        <f>VLOOKUP($A194,'Data shares'!$C:$FB,124)</f>
        <v>0.64</v>
      </c>
      <c r="P194" s="50">
        <f>VLOOKUP($A194,'Data shares'!$C:$FB,125)</f>
        <v>0.28000000000000003</v>
      </c>
      <c r="Q194" s="50">
        <f>VLOOKUP($A194,'Data shares'!$C:$FB,127)*100</f>
        <v>128.57</v>
      </c>
    </row>
    <row r="195" spans="1:17" x14ac:dyDescent="0.25">
      <c r="A195" s="97" t="str">
        <f>'Data Vlaue (Cr)'!C190</f>
        <v>SUZLON</v>
      </c>
      <c r="B195" s="140">
        <f>VLOOKUP($A195,'Data shares'!$C:$FB,7)</f>
        <v>54.32</v>
      </c>
      <c r="C195" s="140">
        <f>VLOOKUP($A195,'Data shares'!$C:$FB,3)</f>
        <v>54.62</v>
      </c>
      <c r="D195" s="140">
        <f>VLOOKUP($A195,'Data shares'!$C:$FB,4)</f>
        <v>55.07</v>
      </c>
      <c r="E195" s="50">
        <f t="shared" si="15"/>
        <v>-0.81714181950245657</v>
      </c>
      <c r="F195" s="49">
        <f>VLOOKUP($A195,'Data shares'!$C:$FB,98)</f>
        <v>518198350</v>
      </c>
      <c r="G195" s="49">
        <f>VLOOKUP($A195,'Data shares'!$C:$FB,99)</f>
        <v>506144450</v>
      </c>
      <c r="H195" s="50">
        <f t="shared" si="16"/>
        <v>2.3815138148803174</v>
      </c>
      <c r="I195" s="49">
        <f>VLOOKUP($A195,'Data shares'!$C:$FB,66)</f>
        <v>233621150</v>
      </c>
      <c r="J195" s="49">
        <f>VLOOKUP($A195,'Data shares'!$C:$FB,67)</f>
        <v>197692625</v>
      </c>
      <c r="K195" s="50">
        <f t="shared" si="17"/>
        <v>15.378969327049372</v>
      </c>
      <c r="L195" s="50">
        <f>VLOOKUP($A195,'Data shares'!$C:$FB,118)</f>
        <v>0.38</v>
      </c>
      <c r="M195" s="50">
        <f>VLOOKUP($A195,'Data shares'!$C:$FB,119)</f>
        <v>0.39</v>
      </c>
      <c r="N195" s="50">
        <f>VLOOKUP($A195,'Data shares'!$C:$FB,121)*100</f>
        <v>-2.56</v>
      </c>
      <c r="O195" s="50">
        <f>VLOOKUP($A195,'Data shares'!$C:$FB,124)</f>
        <v>0.28999999999999998</v>
      </c>
      <c r="P195" s="50">
        <f>VLOOKUP($A195,'Data shares'!$C:$FB,125)</f>
        <v>0.31</v>
      </c>
      <c r="Q195" s="50">
        <f>VLOOKUP($A195,'Data shares'!$C:$FB,127)*100</f>
        <v>-6.45</v>
      </c>
    </row>
    <row r="196" spans="1:17" x14ac:dyDescent="0.25">
      <c r="A196" s="97" t="str">
        <f>'Data Vlaue (Cr)'!C191</f>
        <v>SWIGGY</v>
      </c>
      <c r="B196" s="140">
        <f>VLOOKUP($A196,'Data shares'!$C:$FB,7)</f>
        <v>279.85000000000002</v>
      </c>
      <c r="C196" s="140">
        <f>VLOOKUP($A196,'Data shares'!$C:$FB,3)</f>
        <v>281.60000000000002</v>
      </c>
      <c r="D196" s="140">
        <f>VLOOKUP($A196,'Data shares'!$C:$FB,4)</f>
        <v>274.8</v>
      </c>
      <c r="E196" s="50">
        <f t="shared" si="15"/>
        <v>2.4745269286754046</v>
      </c>
      <c r="F196" s="49">
        <f>VLOOKUP($A196,'Data shares'!$C:$FB,98)</f>
        <v>59397850</v>
      </c>
      <c r="G196" s="49">
        <f>VLOOKUP($A196,'Data shares'!$C:$FB,99)</f>
        <v>59079775</v>
      </c>
      <c r="H196" s="50">
        <f t="shared" si="16"/>
        <v>0.53838221286387766</v>
      </c>
      <c r="I196" s="49">
        <f>VLOOKUP($A196,'Data shares'!$C:$FB,66)</f>
        <v>15607800</v>
      </c>
      <c r="J196" s="49">
        <f>VLOOKUP($A196,'Data shares'!$C:$FB,67)</f>
        <v>15129400</v>
      </c>
      <c r="K196" s="50">
        <f t="shared" si="17"/>
        <v>3.0651340996168579</v>
      </c>
      <c r="L196" s="50">
        <f>VLOOKUP($A196,'Data shares'!$C:$FB,118)</f>
        <v>0.59</v>
      </c>
      <c r="M196" s="50">
        <f>VLOOKUP($A196,'Data shares'!$C:$FB,119)</f>
        <v>0.59</v>
      </c>
      <c r="N196" s="50">
        <f>VLOOKUP($A196,'Data shares'!$C:$FB,121)*100</f>
        <v>0</v>
      </c>
      <c r="O196" s="50">
        <f>VLOOKUP($A196,'Data shares'!$C:$FB,124)</f>
        <v>0.42</v>
      </c>
      <c r="P196" s="50">
        <f>VLOOKUP($A196,'Data shares'!$C:$FB,125)</f>
        <v>0.34</v>
      </c>
      <c r="Q196" s="50">
        <f>VLOOKUP($A196,'Data shares'!$C:$FB,127)*100</f>
        <v>23.53</v>
      </c>
    </row>
    <row r="197" spans="1:17" x14ac:dyDescent="0.25">
      <c r="A197" s="97" t="str">
        <f>'Data Vlaue (Cr)'!C192</f>
        <v>TATACONSUM</v>
      </c>
      <c r="B197" s="140">
        <f>VLOOKUP($A197,'Data shares'!$C:$FB,7)</f>
        <v>1152.2</v>
      </c>
      <c r="C197" s="140">
        <f>VLOOKUP($A197,'Data shares'!$C:$FB,3)</f>
        <v>1158.5</v>
      </c>
      <c r="D197" s="140">
        <f>VLOOKUP($A197,'Data shares'!$C:$FB,4)</f>
        <v>1158.9000000000001</v>
      </c>
      <c r="E197" s="50">
        <f t="shared" si="15"/>
        <v>-3.4515488825618335E-2</v>
      </c>
      <c r="F197" s="49">
        <f>VLOOKUP($A197,'Data shares'!$C:$FB,98)</f>
        <v>13996400</v>
      </c>
      <c r="G197" s="49">
        <f>VLOOKUP($A197,'Data shares'!$C:$FB,99)</f>
        <v>13428250</v>
      </c>
      <c r="H197" s="50">
        <f t="shared" si="16"/>
        <v>4.2310055293876712</v>
      </c>
      <c r="I197" s="49">
        <f>VLOOKUP($A197,'Data shares'!$C:$FB,66)</f>
        <v>6630250</v>
      </c>
      <c r="J197" s="49">
        <f>VLOOKUP($A197,'Data shares'!$C:$FB,67)</f>
        <v>3089350</v>
      </c>
      <c r="K197" s="50">
        <f t="shared" si="17"/>
        <v>53.405226047283286</v>
      </c>
      <c r="L197" s="50">
        <f>VLOOKUP($A197,'Data shares'!$C:$FB,118)</f>
        <v>0.47</v>
      </c>
      <c r="M197" s="50">
        <f>VLOOKUP($A197,'Data shares'!$C:$FB,119)</f>
        <v>0.53</v>
      </c>
      <c r="N197" s="50">
        <f>VLOOKUP($A197,'Data shares'!$C:$FB,121)*100</f>
        <v>-11.32</v>
      </c>
      <c r="O197" s="50">
        <f>VLOOKUP($A197,'Data shares'!$C:$FB,124)</f>
        <v>0.26</v>
      </c>
      <c r="P197" s="50">
        <f>VLOOKUP($A197,'Data shares'!$C:$FB,125)</f>
        <v>0.3</v>
      </c>
      <c r="Q197" s="50">
        <f>VLOOKUP($A197,'Data shares'!$C:$FB,127)*100</f>
        <v>-13.33</v>
      </c>
    </row>
    <row r="198" spans="1:17" x14ac:dyDescent="0.25">
      <c r="A198" s="97" t="str">
        <f>'Data Vlaue (Cr)'!C193</f>
        <v>TATAELXSI</v>
      </c>
      <c r="B198" s="140">
        <f>VLOOKUP($A198,'Data shares'!$C:$FB,7)</f>
        <v>4281.3</v>
      </c>
      <c r="C198" s="140">
        <f>VLOOKUP($A198,'Data shares'!$C:$FB,3)</f>
        <v>4284.7</v>
      </c>
      <c r="D198" s="140">
        <f>VLOOKUP($A198,'Data shares'!$C:$FB,4)</f>
        <v>4218.6000000000004</v>
      </c>
      <c r="E198" s="50">
        <f t="shared" si="15"/>
        <v>1.5668705257668292</v>
      </c>
      <c r="F198" s="49">
        <f>VLOOKUP($A198,'Data shares'!$C:$FB,98)</f>
        <v>4334725</v>
      </c>
      <c r="G198" s="49">
        <f>VLOOKUP($A198,'Data shares'!$C:$FB,99)</f>
        <v>4349125</v>
      </c>
      <c r="H198" s="50">
        <f t="shared" si="16"/>
        <v>-0.33110108355128909</v>
      </c>
      <c r="I198" s="49">
        <f>VLOOKUP($A198,'Data shares'!$C:$FB,66)</f>
        <v>3058400</v>
      </c>
      <c r="J198" s="49">
        <f>VLOOKUP($A198,'Data shares'!$C:$FB,67)</f>
        <v>1505600</v>
      </c>
      <c r="K198" s="50">
        <f t="shared" si="17"/>
        <v>50.771645304734506</v>
      </c>
      <c r="L198" s="50">
        <f>VLOOKUP($A198,'Data shares'!$C:$FB,118)</f>
        <v>0.45</v>
      </c>
      <c r="M198" s="50">
        <f>VLOOKUP($A198,'Data shares'!$C:$FB,119)</f>
        <v>0.43</v>
      </c>
      <c r="N198" s="50">
        <f>VLOOKUP($A198,'Data shares'!$C:$FB,121)*100</f>
        <v>4.6500000000000004</v>
      </c>
      <c r="O198" s="50">
        <f>VLOOKUP($A198,'Data shares'!$C:$FB,124)</f>
        <v>0.3</v>
      </c>
      <c r="P198" s="50">
        <f>VLOOKUP($A198,'Data shares'!$C:$FB,125)</f>
        <v>0.34</v>
      </c>
      <c r="Q198" s="50">
        <f>VLOOKUP($A198,'Data shares'!$C:$FB,127)*100</f>
        <v>-11.76</v>
      </c>
    </row>
    <row r="199" spans="1:17" x14ac:dyDescent="0.25">
      <c r="A199" s="97" t="str">
        <f>'Data Vlaue (Cr)'!C194</f>
        <v>TATAPOWER</v>
      </c>
      <c r="B199" s="140">
        <f>VLOOKUP($A199,'Data shares'!$C:$FB,7)</f>
        <v>443.25</v>
      </c>
      <c r="C199" s="140">
        <f>VLOOKUP($A199,'Data shares'!$C:$FB,3)</f>
        <v>445.05</v>
      </c>
      <c r="D199" s="140">
        <f>VLOOKUP($A199,'Data shares'!$C:$FB,4)</f>
        <v>443.75</v>
      </c>
      <c r="E199" s="50">
        <f t="shared" si="15"/>
        <v>0.29295774647887579</v>
      </c>
      <c r="F199" s="49">
        <f>VLOOKUP($A199,'Data shares'!$C:$FB,98)</f>
        <v>96699050</v>
      </c>
      <c r="G199" s="49">
        <f>VLOOKUP($A199,'Data shares'!$C:$FB,99)</f>
        <v>96197350</v>
      </c>
      <c r="H199" s="50">
        <f t="shared" si="16"/>
        <v>0.52153203804470705</v>
      </c>
      <c r="I199" s="49">
        <f>VLOOKUP($A199,'Data shares'!$C:$FB,66)</f>
        <v>35227750</v>
      </c>
      <c r="J199" s="49">
        <f>VLOOKUP($A199,'Data shares'!$C:$FB,67)</f>
        <v>65609600</v>
      </c>
      <c r="K199" s="50">
        <f t="shared" si="17"/>
        <v>-86.244083144679976</v>
      </c>
      <c r="L199" s="50">
        <f>VLOOKUP($A199,'Data shares'!$C:$FB,118)</f>
        <v>0.6</v>
      </c>
      <c r="M199" s="50">
        <f>VLOOKUP($A199,'Data shares'!$C:$FB,119)</f>
        <v>0.63</v>
      </c>
      <c r="N199" s="50">
        <f>VLOOKUP($A199,'Data shares'!$C:$FB,121)*100</f>
        <v>-4.7600000000000007</v>
      </c>
      <c r="O199" s="50">
        <f>VLOOKUP($A199,'Data shares'!$C:$FB,124)</f>
        <v>0.36</v>
      </c>
      <c r="P199" s="50">
        <f>VLOOKUP($A199,'Data shares'!$C:$FB,125)</f>
        <v>0.41</v>
      </c>
      <c r="Q199" s="50">
        <f>VLOOKUP($A199,'Data shares'!$C:$FB,127)*100</f>
        <v>-12.2</v>
      </c>
    </row>
    <row r="200" spans="1:17" x14ac:dyDescent="0.25">
      <c r="A200" s="97" t="str">
        <f>'Data Vlaue (Cr)'!C195</f>
        <v>TATASTEEL</v>
      </c>
      <c r="B200" s="140">
        <f>VLOOKUP($A200,'Data shares'!$C:$FB,7)</f>
        <v>215.47</v>
      </c>
      <c r="C200" s="140">
        <f>VLOOKUP($A200,'Data shares'!$C:$FB,3)</f>
        <v>216.73</v>
      </c>
      <c r="D200" s="140">
        <f>VLOOKUP($A200,'Data shares'!$C:$FB,4)</f>
        <v>212.45</v>
      </c>
      <c r="E200" s="50">
        <f t="shared" si="15"/>
        <v>2.0145916686279133</v>
      </c>
      <c r="F200" s="49">
        <f>VLOOKUP($A200,'Data shares'!$C:$FB,98)</f>
        <v>324197500</v>
      </c>
      <c r="G200" s="49">
        <f>VLOOKUP($A200,'Data shares'!$C:$FB,99)</f>
        <v>322910500</v>
      </c>
      <c r="H200" s="50">
        <f t="shared" si="16"/>
        <v>0.39856244996678647</v>
      </c>
      <c r="I200" s="49">
        <f>VLOOKUP($A200,'Data shares'!$C:$FB,66)</f>
        <v>152490250</v>
      </c>
      <c r="J200" s="49">
        <f>VLOOKUP($A200,'Data shares'!$C:$FB,67)</f>
        <v>90524500</v>
      </c>
      <c r="K200" s="50">
        <f t="shared" si="17"/>
        <v>40.63587671998701</v>
      </c>
      <c r="L200" s="50">
        <f>VLOOKUP($A200,'Data shares'!$C:$FB,118)</f>
        <v>0.71</v>
      </c>
      <c r="M200" s="50">
        <f>VLOOKUP($A200,'Data shares'!$C:$FB,119)</f>
        <v>0.65</v>
      </c>
      <c r="N200" s="50">
        <f>VLOOKUP($A200,'Data shares'!$C:$FB,121)*100</f>
        <v>9.2299999999999986</v>
      </c>
      <c r="O200" s="50">
        <f>VLOOKUP($A200,'Data shares'!$C:$FB,124)</f>
        <v>0.69</v>
      </c>
      <c r="P200" s="50">
        <f>VLOOKUP($A200,'Data shares'!$C:$FB,125)</f>
        <v>0.69</v>
      </c>
      <c r="Q200" s="50">
        <f>VLOOKUP($A200,'Data shares'!$C:$FB,127)*100</f>
        <v>0</v>
      </c>
    </row>
    <row r="201" spans="1:17" x14ac:dyDescent="0.25">
      <c r="A201" s="97" t="str">
        <f>'Data Vlaue (Cr)'!C196</f>
        <v>TCS</v>
      </c>
      <c r="B201" s="140">
        <f>VLOOKUP($A201,'Data shares'!$C:$FB,7)</f>
        <v>2435.4</v>
      </c>
      <c r="C201" s="140">
        <f>VLOOKUP($A201,'Data shares'!$C:$FB,3)</f>
        <v>2409.5</v>
      </c>
      <c r="D201" s="140">
        <f>VLOOKUP($A201,'Data shares'!$C:$FB,4)</f>
        <v>2418.1999999999998</v>
      </c>
      <c r="E201" s="50">
        <f t="shared" si="15"/>
        <v>-0.35977173103960874</v>
      </c>
      <c r="F201" s="49">
        <f>VLOOKUP($A201,'Data shares'!$C:$FB,98)</f>
        <v>61245500</v>
      </c>
      <c r="G201" s="49">
        <f>VLOOKUP($A201,'Data shares'!$C:$FB,99)</f>
        <v>57933150</v>
      </c>
      <c r="H201" s="50">
        <f t="shared" si="16"/>
        <v>5.7175382315651744</v>
      </c>
      <c r="I201" s="49">
        <f>VLOOKUP($A201,'Data shares'!$C:$FB,66)</f>
        <v>28228025</v>
      </c>
      <c r="J201" s="49">
        <f>VLOOKUP($A201,'Data shares'!$C:$FB,67)</f>
        <v>13419875</v>
      </c>
      <c r="K201" s="50">
        <f t="shared" si="17"/>
        <v>52.459036719713822</v>
      </c>
      <c r="L201" s="50">
        <f>VLOOKUP($A201,'Data shares'!$C:$FB,118)</f>
        <v>0.68</v>
      </c>
      <c r="M201" s="50">
        <f>VLOOKUP($A201,'Data shares'!$C:$FB,119)</f>
        <v>0.71</v>
      </c>
      <c r="N201" s="50">
        <f>VLOOKUP($A201,'Data shares'!$C:$FB,121)*100</f>
        <v>-4.2299999999999995</v>
      </c>
      <c r="O201" s="50">
        <f>VLOOKUP($A201,'Data shares'!$C:$FB,124)</f>
        <v>0.5</v>
      </c>
      <c r="P201" s="50">
        <f>VLOOKUP($A201,'Data shares'!$C:$FB,125)</f>
        <v>0.43</v>
      </c>
      <c r="Q201" s="50">
        <f>VLOOKUP($A201,'Data shares'!$C:$FB,127)*100</f>
        <v>16.28</v>
      </c>
    </row>
    <row r="202" spans="1:17" x14ac:dyDescent="0.25">
      <c r="A202" s="97" t="str">
        <f>'Data Vlaue (Cr)'!C197</f>
        <v>TECHM</v>
      </c>
      <c r="B202" s="140">
        <f>VLOOKUP($A202,'Data shares'!$C:$FB,7)</f>
        <v>1466.7</v>
      </c>
      <c r="C202" s="140">
        <f>VLOOKUP($A202,'Data shares'!$C:$FB,3)</f>
        <v>1466</v>
      </c>
      <c r="D202" s="140">
        <f>VLOOKUP($A202,'Data shares'!$C:$FB,4)</f>
        <v>1453.8</v>
      </c>
      <c r="E202" s="50">
        <f t="shared" si="15"/>
        <v>0.83918007979089604</v>
      </c>
      <c r="F202" s="49">
        <f>VLOOKUP($A202,'Data shares'!$C:$FB,98)</f>
        <v>30812400</v>
      </c>
      <c r="G202" s="49">
        <f>VLOOKUP($A202,'Data shares'!$C:$FB,99)</f>
        <v>30714600</v>
      </c>
      <c r="H202" s="50">
        <f t="shared" si="16"/>
        <v>0.31841534644761776</v>
      </c>
      <c r="I202" s="49">
        <f>VLOOKUP($A202,'Data shares'!$C:$FB,66)</f>
        <v>9141000</v>
      </c>
      <c r="J202" s="49">
        <f>VLOOKUP($A202,'Data shares'!$C:$FB,67)</f>
        <v>7360800</v>
      </c>
      <c r="K202" s="50">
        <f t="shared" si="17"/>
        <v>19.474893337709222</v>
      </c>
      <c r="L202" s="50">
        <f>VLOOKUP($A202,'Data shares'!$C:$FB,118)</f>
        <v>0.68</v>
      </c>
      <c r="M202" s="50">
        <f>VLOOKUP($A202,'Data shares'!$C:$FB,119)</f>
        <v>0.7</v>
      </c>
      <c r="N202" s="50">
        <f>VLOOKUP($A202,'Data shares'!$C:$FB,121)*100</f>
        <v>-2.86</v>
      </c>
      <c r="O202" s="50">
        <f>VLOOKUP($A202,'Data shares'!$C:$FB,124)</f>
        <v>0.49</v>
      </c>
      <c r="P202" s="50">
        <f>VLOOKUP($A202,'Data shares'!$C:$FB,125)</f>
        <v>0.57999999999999996</v>
      </c>
      <c r="Q202" s="50">
        <f>VLOOKUP($A202,'Data shares'!$C:$FB,127)*100</f>
        <v>-15.52</v>
      </c>
    </row>
    <row r="203" spans="1:17" x14ac:dyDescent="0.25">
      <c r="A203" s="97" t="str">
        <f>'Data Vlaue (Cr)'!C198</f>
        <v>TIINDIA</v>
      </c>
      <c r="B203" s="140">
        <f>VLOOKUP($A203,'Data shares'!$C:$FB,7)</f>
        <v>2917</v>
      </c>
      <c r="C203" s="140">
        <f>VLOOKUP($A203,'Data shares'!$C:$FB,3)</f>
        <v>2937.7</v>
      </c>
      <c r="D203" s="140">
        <f>VLOOKUP($A203,'Data shares'!$C:$FB,4)</f>
        <v>2949.9</v>
      </c>
      <c r="E203" s="50">
        <f t="shared" si="15"/>
        <v>-0.41357334146921154</v>
      </c>
      <c r="F203" s="49">
        <f>VLOOKUP($A203,'Data shares'!$C:$FB,98)</f>
        <v>3094800</v>
      </c>
      <c r="G203" s="49">
        <f>VLOOKUP($A203,'Data shares'!$C:$FB,99)</f>
        <v>3004400</v>
      </c>
      <c r="H203" s="50">
        <f t="shared" si="16"/>
        <v>3.0089202502995605</v>
      </c>
      <c r="I203" s="49">
        <f>VLOOKUP($A203,'Data shares'!$C:$FB,66)</f>
        <v>958200</v>
      </c>
      <c r="J203" s="49">
        <f>VLOOKUP($A203,'Data shares'!$C:$FB,67)</f>
        <v>396200</v>
      </c>
      <c r="K203" s="50">
        <f t="shared" si="17"/>
        <v>58.651638488833221</v>
      </c>
      <c r="L203" s="50">
        <f>VLOOKUP($A203,'Data shares'!$C:$FB,118)</f>
        <v>0.55000000000000004</v>
      </c>
      <c r="M203" s="50">
        <f>VLOOKUP($A203,'Data shares'!$C:$FB,119)</f>
        <v>0.68</v>
      </c>
      <c r="N203" s="50">
        <f>VLOOKUP($A203,'Data shares'!$C:$FB,121)*100</f>
        <v>-19.12</v>
      </c>
      <c r="O203" s="50">
        <f>VLOOKUP($A203,'Data shares'!$C:$FB,124)</f>
        <v>0.28999999999999998</v>
      </c>
      <c r="P203" s="50">
        <f>VLOOKUP($A203,'Data shares'!$C:$FB,125)</f>
        <v>0.16</v>
      </c>
      <c r="Q203" s="50">
        <f>VLOOKUP($A203,'Data shares'!$C:$FB,127)*100</f>
        <v>81.25</v>
      </c>
    </row>
    <row r="204" spans="1:17" x14ac:dyDescent="0.25">
      <c r="A204" s="97" t="str">
        <f>'Data Vlaue (Cr)'!C199</f>
        <v>TITAN</v>
      </c>
      <c r="B204" s="140">
        <f>VLOOKUP($A204,'Data shares'!$C:$FB,7)</f>
        <v>4359.6000000000004</v>
      </c>
      <c r="C204" s="140">
        <f>VLOOKUP($A204,'Data shares'!$C:$FB,3)</f>
        <v>4375.8999999999996</v>
      </c>
      <c r="D204" s="140">
        <f>VLOOKUP($A204,'Data shares'!$C:$FB,4)</f>
        <v>4387.6000000000004</v>
      </c>
      <c r="E204" s="50">
        <f t="shared" si="15"/>
        <v>-0.26666058893246253</v>
      </c>
      <c r="F204" s="49">
        <f>VLOOKUP($A204,'Data shares'!$C:$FB,98)</f>
        <v>11988200</v>
      </c>
      <c r="G204" s="49">
        <f>VLOOKUP($A204,'Data shares'!$C:$FB,99)</f>
        <v>12032475</v>
      </c>
      <c r="H204" s="50">
        <f t="shared" si="16"/>
        <v>-0.36796253472373724</v>
      </c>
      <c r="I204" s="49">
        <f>VLOOKUP($A204,'Data shares'!$C:$FB,66)</f>
        <v>9571275</v>
      </c>
      <c r="J204" s="49">
        <f>VLOOKUP($A204,'Data shares'!$C:$FB,67)</f>
        <v>4472125</v>
      </c>
      <c r="K204" s="50">
        <f t="shared" si="17"/>
        <v>53.275556286910572</v>
      </c>
      <c r="L204" s="50">
        <f>VLOOKUP($A204,'Data shares'!$C:$FB,118)</f>
        <v>0.7</v>
      </c>
      <c r="M204" s="50">
        <f>VLOOKUP($A204,'Data shares'!$C:$FB,119)</f>
        <v>0.79</v>
      </c>
      <c r="N204" s="50">
        <f>VLOOKUP($A204,'Data shares'!$C:$FB,121)*100</f>
        <v>-11.39</v>
      </c>
      <c r="O204" s="50">
        <f>VLOOKUP($A204,'Data shares'!$C:$FB,124)</f>
        <v>0.64</v>
      </c>
      <c r="P204" s="50">
        <f>VLOOKUP($A204,'Data shares'!$C:$FB,125)</f>
        <v>0.63</v>
      </c>
      <c r="Q204" s="50">
        <f>VLOOKUP($A204,'Data shares'!$C:$FB,127)*100</f>
        <v>1.59</v>
      </c>
    </row>
    <row r="205" spans="1:17" x14ac:dyDescent="0.25">
      <c r="A205" s="97" t="str">
        <f>'Data Vlaue (Cr)'!C200</f>
        <v>TMPV</v>
      </c>
      <c r="B205" s="140">
        <f>VLOOKUP($A205,'Data shares'!$C:$FB,7)</f>
        <v>358.15</v>
      </c>
      <c r="C205" s="140">
        <f>VLOOKUP($A205,'Data shares'!$C:$FB,3)</f>
        <v>360.35</v>
      </c>
      <c r="D205" s="140">
        <f>VLOOKUP($A205,'Data shares'!$C:$FB,4)</f>
        <v>342.1</v>
      </c>
      <c r="E205" s="50">
        <f t="shared" si="15"/>
        <v>5.3346974568839514</v>
      </c>
      <c r="F205" s="49">
        <f>VLOOKUP($A205,'Data shares'!$C:$FB,98)</f>
        <v>113307200</v>
      </c>
      <c r="G205" s="49">
        <f>VLOOKUP($A205,'Data shares'!$C:$FB,99)</f>
        <v>112266400</v>
      </c>
      <c r="H205" s="50">
        <f t="shared" si="16"/>
        <v>0.92708058688975514</v>
      </c>
      <c r="I205" s="49">
        <f>VLOOKUP($A205,'Data shares'!$C:$FB,66)</f>
        <v>79177600</v>
      </c>
      <c r="J205" s="49">
        <f>VLOOKUP($A205,'Data shares'!$C:$FB,67)</f>
        <v>37881600</v>
      </c>
      <c r="K205" s="50">
        <f t="shared" si="17"/>
        <v>52.156165380107502</v>
      </c>
      <c r="L205" s="50">
        <f>VLOOKUP($A205,'Data shares'!$C:$FB,118)</f>
        <v>0.65</v>
      </c>
      <c r="M205" s="50">
        <f>VLOOKUP($A205,'Data shares'!$C:$FB,119)</f>
        <v>0.63</v>
      </c>
      <c r="N205" s="50">
        <f>VLOOKUP($A205,'Data shares'!$C:$FB,121)*100</f>
        <v>3.17</v>
      </c>
      <c r="O205" s="50">
        <f>VLOOKUP($A205,'Data shares'!$C:$FB,124)</f>
        <v>0.46</v>
      </c>
      <c r="P205" s="50">
        <f>VLOOKUP($A205,'Data shares'!$C:$FB,125)</f>
        <v>0.32</v>
      </c>
      <c r="Q205" s="50">
        <f>VLOOKUP($A205,'Data shares'!$C:$FB,127)*100</f>
        <v>43.75</v>
      </c>
    </row>
    <row r="206" spans="1:17" x14ac:dyDescent="0.25">
      <c r="A206" s="97" t="str">
        <f>'Data Vlaue (Cr)'!C201</f>
        <v>TORNTPHARM</v>
      </c>
      <c r="B206" s="140">
        <f>VLOOKUP($A206,'Data shares'!$C:$FB,7)</f>
        <v>4358.3</v>
      </c>
      <c r="C206" s="140">
        <f>VLOOKUP($A206,'Data shares'!$C:$FB,3)</f>
        <v>4372.3</v>
      </c>
      <c r="D206" s="140">
        <f>VLOOKUP($A206,'Data shares'!$C:$FB,4)</f>
        <v>4291.7</v>
      </c>
      <c r="E206" s="50">
        <f t="shared" si="15"/>
        <v>1.8780436656802753</v>
      </c>
      <c r="F206" s="49">
        <f>VLOOKUP($A206,'Data shares'!$C:$FB,98)</f>
        <v>3238125</v>
      </c>
      <c r="G206" s="49">
        <f>VLOOKUP($A206,'Data shares'!$C:$FB,99)</f>
        <v>3201375</v>
      </c>
      <c r="H206" s="50">
        <f t="shared" si="16"/>
        <v>1.1479442427082114</v>
      </c>
      <c r="I206" s="49">
        <f>VLOOKUP($A206,'Data shares'!$C:$FB,66)</f>
        <v>1707625</v>
      </c>
      <c r="J206" s="49">
        <f>VLOOKUP($A206,'Data shares'!$C:$FB,67)</f>
        <v>840875</v>
      </c>
      <c r="K206" s="50">
        <f t="shared" si="17"/>
        <v>50.757631212941959</v>
      </c>
      <c r="L206" s="50">
        <f>VLOOKUP($A206,'Data shares'!$C:$FB,118)</f>
        <v>0.51</v>
      </c>
      <c r="M206" s="50">
        <f>VLOOKUP($A206,'Data shares'!$C:$FB,119)</f>
        <v>0.47</v>
      </c>
      <c r="N206" s="50">
        <f>VLOOKUP($A206,'Data shares'!$C:$FB,121)*100</f>
        <v>8.51</v>
      </c>
      <c r="O206" s="50">
        <f>VLOOKUP($A206,'Data shares'!$C:$FB,124)</f>
        <v>0.25</v>
      </c>
      <c r="P206" s="50">
        <f>VLOOKUP($A206,'Data shares'!$C:$FB,125)</f>
        <v>0.3</v>
      </c>
      <c r="Q206" s="50">
        <f>VLOOKUP($A206,'Data shares'!$C:$FB,127)*100</f>
        <v>-16.669999999999998</v>
      </c>
    </row>
    <row r="207" spans="1:17" x14ac:dyDescent="0.25">
      <c r="A207" s="97" t="str">
        <f>'Data Vlaue (Cr)'!C202</f>
        <v>TRENT</v>
      </c>
      <c r="B207" s="140">
        <f>VLOOKUP($A207,'Data shares'!$C:$FB,7)</f>
        <v>4289.8</v>
      </c>
      <c r="C207" s="140">
        <f>VLOOKUP($A207,'Data shares'!$C:$FB,3)</f>
        <v>4318.1000000000004</v>
      </c>
      <c r="D207" s="140">
        <f>VLOOKUP($A207,'Data shares'!$C:$FB,4)</f>
        <v>4143.6000000000004</v>
      </c>
      <c r="E207" s="50">
        <f t="shared" si="15"/>
        <v>4.2113138333816007</v>
      </c>
      <c r="F207" s="49">
        <f>VLOOKUP($A207,'Data shares'!$C:$FB,98)</f>
        <v>11761200</v>
      </c>
      <c r="G207" s="49">
        <f>VLOOKUP($A207,'Data shares'!$C:$FB,99)</f>
        <v>12028050</v>
      </c>
      <c r="H207" s="50">
        <f t="shared" si="16"/>
        <v>-2.2185641064012871</v>
      </c>
      <c r="I207" s="49">
        <f>VLOOKUP($A207,'Data shares'!$C:$FB,66)</f>
        <v>12043400</v>
      </c>
      <c r="J207" s="49">
        <f>VLOOKUP($A207,'Data shares'!$C:$FB,67)</f>
        <v>3576200</v>
      </c>
      <c r="K207" s="50">
        <f t="shared" si="17"/>
        <v>70.305727618446625</v>
      </c>
      <c r="L207" s="50">
        <f>VLOOKUP($A207,'Data shares'!$C:$FB,118)</f>
        <v>0.45</v>
      </c>
      <c r="M207" s="50">
        <f>VLOOKUP($A207,'Data shares'!$C:$FB,119)</f>
        <v>0.39</v>
      </c>
      <c r="N207" s="50">
        <f>VLOOKUP($A207,'Data shares'!$C:$FB,121)*100</f>
        <v>15.379999999999999</v>
      </c>
      <c r="O207" s="50">
        <f>VLOOKUP($A207,'Data shares'!$C:$FB,124)</f>
        <v>0.33</v>
      </c>
      <c r="P207" s="50">
        <f>VLOOKUP($A207,'Data shares'!$C:$FB,125)</f>
        <v>0.48</v>
      </c>
      <c r="Q207" s="50">
        <f>VLOOKUP($A207,'Data shares'!$C:$FB,127)*100</f>
        <v>-31.25</v>
      </c>
    </row>
    <row r="208" spans="1:17" x14ac:dyDescent="0.25">
      <c r="A208" s="97" t="str">
        <f>'Data Vlaue (Cr)'!C203</f>
        <v>TVSMOTOR</v>
      </c>
      <c r="B208" s="140">
        <f>VLOOKUP($A208,'Data shares'!$C:$FB,7)</f>
        <v>3617.9</v>
      </c>
      <c r="C208" s="140">
        <f>VLOOKUP($A208,'Data shares'!$C:$FB,3)</f>
        <v>3633</v>
      </c>
      <c r="D208" s="140">
        <f>VLOOKUP($A208,'Data shares'!$C:$FB,4)</f>
        <v>3543.3</v>
      </c>
      <c r="E208" s="50">
        <f t="shared" si="15"/>
        <v>2.531538396410121</v>
      </c>
      <c r="F208" s="49">
        <f>VLOOKUP($A208,'Data shares'!$C:$FB,98)</f>
        <v>11065775</v>
      </c>
      <c r="G208" s="49">
        <f>VLOOKUP($A208,'Data shares'!$C:$FB,99)</f>
        <v>11258450</v>
      </c>
      <c r="H208" s="50">
        <f t="shared" si="16"/>
        <v>-1.7113812292100601</v>
      </c>
      <c r="I208" s="49">
        <f>VLOOKUP($A208,'Data shares'!$C:$FB,66)</f>
        <v>5823475</v>
      </c>
      <c r="J208" s="49">
        <f>VLOOKUP($A208,'Data shares'!$C:$FB,67)</f>
        <v>2035250</v>
      </c>
      <c r="K208" s="50">
        <f t="shared" si="17"/>
        <v>65.050936081978534</v>
      </c>
      <c r="L208" s="50">
        <f>VLOOKUP($A208,'Data shares'!$C:$FB,118)</f>
        <v>0.6</v>
      </c>
      <c r="M208" s="50">
        <f>VLOOKUP($A208,'Data shares'!$C:$FB,119)</f>
        <v>0.59</v>
      </c>
      <c r="N208" s="50">
        <f>VLOOKUP($A208,'Data shares'!$C:$FB,121)*100</f>
        <v>1.69</v>
      </c>
      <c r="O208" s="50">
        <f>VLOOKUP($A208,'Data shares'!$C:$FB,124)</f>
        <v>0.27</v>
      </c>
      <c r="P208" s="50">
        <f>VLOOKUP($A208,'Data shares'!$C:$FB,125)</f>
        <v>0.4</v>
      </c>
      <c r="Q208" s="50">
        <f>VLOOKUP($A208,'Data shares'!$C:$FB,127)*100</f>
        <v>-32.5</v>
      </c>
    </row>
    <row r="209" spans="1:17" x14ac:dyDescent="0.25">
      <c r="A209" s="97" t="str">
        <f>'Data Vlaue (Cr)'!C204</f>
        <v>ULTRACEMCO</v>
      </c>
      <c r="B209" s="140">
        <f>VLOOKUP($A209,'Data shares'!$C:$FB,7)</f>
        <v>12093</v>
      </c>
      <c r="C209" s="140">
        <f>VLOOKUP($A209,'Data shares'!$C:$FB,3)</f>
        <v>12169</v>
      </c>
      <c r="D209" s="140">
        <f>VLOOKUP($A209,'Data shares'!$C:$FB,4)</f>
        <v>11987</v>
      </c>
      <c r="E209" s="50">
        <f t="shared" si="15"/>
        <v>1.5183115041294735</v>
      </c>
      <c r="F209" s="49">
        <f>VLOOKUP($A209,'Data shares'!$C:$FB,98)</f>
        <v>4381150</v>
      </c>
      <c r="G209" s="49">
        <f>VLOOKUP($A209,'Data shares'!$C:$FB,99)</f>
        <v>4468350</v>
      </c>
      <c r="H209" s="50">
        <f t="shared" si="16"/>
        <v>-1.9515033513489317</v>
      </c>
      <c r="I209" s="49">
        <f>VLOOKUP($A209,'Data shares'!$C:$FB,66)</f>
        <v>2808000</v>
      </c>
      <c r="J209" s="49">
        <f>VLOOKUP($A209,'Data shares'!$C:$FB,67)</f>
        <v>3089100</v>
      </c>
      <c r="K209" s="50">
        <f t="shared" si="17"/>
        <v>-10.010683760683762</v>
      </c>
      <c r="L209" s="50">
        <f>VLOOKUP($A209,'Data shares'!$C:$FB,118)</f>
        <v>0.41</v>
      </c>
      <c r="M209" s="50">
        <f>VLOOKUP($A209,'Data shares'!$C:$FB,119)</f>
        <v>0.41</v>
      </c>
      <c r="N209" s="50">
        <f>VLOOKUP($A209,'Data shares'!$C:$FB,121)*100</f>
        <v>0</v>
      </c>
      <c r="O209" s="50">
        <f>VLOOKUP($A209,'Data shares'!$C:$FB,124)</f>
        <v>0.47</v>
      </c>
      <c r="P209" s="50">
        <f>VLOOKUP($A209,'Data shares'!$C:$FB,125)</f>
        <v>0.48</v>
      </c>
      <c r="Q209" s="50">
        <f>VLOOKUP($A209,'Data shares'!$C:$FB,127)*100</f>
        <v>-2.08</v>
      </c>
    </row>
    <row r="210" spans="1:17" x14ac:dyDescent="0.25">
      <c r="A210" s="97" t="str">
        <f>'Data Vlaue (Cr)'!C205</f>
        <v>UNIONBANK</v>
      </c>
      <c r="B210" s="140">
        <f>VLOOKUP($A210,'Data shares'!$C:$FB,7)</f>
        <v>168.75</v>
      </c>
      <c r="C210" s="140">
        <f>VLOOKUP($A210,'Data shares'!$C:$FB,3)</f>
        <v>169.82</v>
      </c>
      <c r="D210" s="140">
        <f>VLOOKUP($A210,'Data shares'!$C:$FB,4)</f>
        <v>164.47</v>
      </c>
      <c r="E210" s="50">
        <f t="shared" ref="E210:E217" si="18">(C210-D210)/D210*100</f>
        <v>3.2528728643521583</v>
      </c>
      <c r="F210" s="49">
        <f>VLOOKUP($A210,'Data shares'!$C:$FB,98)</f>
        <v>240432375</v>
      </c>
      <c r="G210" s="49">
        <f>VLOOKUP($A210,'Data shares'!$C:$FB,99)</f>
        <v>239507550</v>
      </c>
      <c r="H210" s="50">
        <f t="shared" ref="H210:H217" si="19">(F210-G210)/G210*100</f>
        <v>0.38613605291357206</v>
      </c>
      <c r="I210" s="49">
        <f>VLOOKUP($A210,'Data shares'!$C:$FB,66)</f>
        <v>111173700</v>
      </c>
      <c r="J210" s="49">
        <f>VLOOKUP($A210,'Data shares'!$C:$FB,67)</f>
        <v>71906250</v>
      </c>
      <c r="K210" s="50">
        <f t="shared" ref="K210:K217" si="20">(I210-J210)/I210*100</f>
        <v>35.320808788409494</v>
      </c>
      <c r="L210" s="50">
        <f>VLOOKUP($A210,'Data shares'!$C:$FB,118)</f>
        <v>0.46</v>
      </c>
      <c r="M210" s="50">
        <f>VLOOKUP($A210,'Data shares'!$C:$FB,119)</f>
        <v>0.49</v>
      </c>
      <c r="N210" s="50">
        <f>VLOOKUP($A210,'Data shares'!$C:$FB,121)*100</f>
        <v>-6.12</v>
      </c>
      <c r="O210" s="50">
        <f>VLOOKUP($A210,'Data shares'!$C:$FB,124)</f>
        <v>0.37</v>
      </c>
      <c r="P210" s="50">
        <f>VLOOKUP($A210,'Data shares'!$C:$FB,125)</f>
        <v>0.3</v>
      </c>
      <c r="Q210" s="50">
        <f>VLOOKUP($A210,'Data shares'!$C:$FB,127)*100</f>
        <v>23.330000000000002</v>
      </c>
    </row>
    <row r="211" spans="1:17" x14ac:dyDescent="0.25">
      <c r="A211" s="97" t="str">
        <f>'Data Vlaue (Cr)'!C206</f>
        <v>UNITDSPR</v>
      </c>
      <c r="B211" s="140">
        <f>VLOOKUP($A211,'Data shares'!$C:$FB,7)</f>
        <v>1290.3</v>
      </c>
      <c r="C211" s="140">
        <f>VLOOKUP($A211,'Data shares'!$C:$FB,3)</f>
        <v>1298.7</v>
      </c>
      <c r="D211" s="140">
        <f>VLOOKUP($A211,'Data shares'!$C:$FB,4)</f>
        <v>1322.9</v>
      </c>
      <c r="E211" s="50">
        <f t="shared" si="18"/>
        <v>-1.8293143850631224</v>
      </c>
      <c r="F211" s="49">
        <f>VLOOKUP($A211,'Data shares'!$C:$FB,98)</f>
        <v>18283600</v>
      </c>
      <c r="G211" s="49">
        <f>VLOOKUP($A211,'Data shares'!$C:$FB,99)</f>
        <v>16589600</v>
      </c>
      <c r="H211" s="50">
        <f t="shared" si="19"/>
        <v>10.211216665862951</v>
      </c>
      <c r="I211" s="49">
        <f>VLOOKUP($A211,'Data shares'!$C:$FB,66)</f>
        <v>11206800</v>
      </c>
      <c r="J211" s="49">
        <f>VLOOKUP($A211,'Data shares'!$C:$FB,67)</f>
        <v>2068800</v>
      </c>
      <c r="K211" s="50">
        <f t="shared" si="20"/>
        <v>81.53977941963808</v>
      </c>
      <c r="L211" s="50">
        <f>VLOOKUP($A211,'Data shares'!$C:$FB,118)</f>
        <v>0.67</v>
      </c>
      <c r="M211" s="50">
        <f>VLOOKUP($A211,'Data shares'!$C:$FB,119)</f>
        <v>0.68</v>
      </c>
      <c r="N211" s="50">
        <f>VLOOKUP($A211,'Data shares'!$C:$FB,121)*100</f>
        <v>-1.47</v>
      </c>
      <c r="O211" s="50">
        <f>VLOOKUP($A211,'Data shares'!$C:$FB,124)</f>
        <v>0.61</v>
      </c>
      <c r="P211" s="50">
        <f>VLOOKUP($A211,'Data shares'!$C:$FB,125)</f>
        <v>0.34</v>
      </c>
      <c r="Q211" s="50">
        <f>VLOOKUP($A211,'Data shares'!$C:$FB,127)*100</f>
        <v>79.41</v>
      </c>
    </row>
    <row r="212" spans="1:17" x14ac:dyDescent="0.25">
      <c r="A212" s="97" t="str">
        <f>'Data Vlaue (Cr)'!C207</f>
        <v>UNOMINDA</v>
      </c>
      <c r="B212" s="140">
        <f>VLOOKUP($A212,'Data shares'!$C:$FB,7)</f>
        <v>1127.9000000000001</v>
      </c>
      <c r="C212" s="140">
        <f>VLOOKUP($A212,'Data shares'!$C:$FB,3)</f>
        <v>1133.5999999999999</v>
      </c>
      <c r="D212" s="140">
        <f>VLOOKUP($A212,'Data shares'!$C:$FB,4)</f>
        <v>1092.7</v>
      </c>
      <c r="E212" s="50">
        <f t="shared" si="18"/>
        <v>3.743021872426088</v>
      </c>
      <c r="F212" s="49">
        <f>VLOOKUP($A212,'Data shares'!$C:$FB,98)</f>
        <v>6303000</v>
      </c>
      <c r="G212" s="49">
        <f>VLOOKUP($A212,'Data shares'!$C:$FB,99)</f>
        <v>6158350</v>
      </c>
      <c r="H212" s="50">
        <f t="shared" si="19"/>
        <v>2.3488434402071983</v>
      </c>
      <c r="I212" s="49">
        <f>VLOOKUP($A212,'Data shares'!$C:$FB,66)</f>
        <v>3737250</v>
      </c>
      <c r="J212" s="49">
        <f>VLOOKUP($A212,'Data shares'!$C:$FB,67)</f>
        <v>3193850</v>
      </c>
      <c r="K212" s="50">
        <f t="shared" si="20"/>
        <v>14.540103016924208</v>
      </c>
      <c r="L212" s="50">
        <f>VLOOKUP($A212,'Data shares'!$C:$FB,118)</f>
        <v>0.42</v>
      </c>
      <c r="M212" s="50">
        <f>VLOOKUP($A212,'Data shares'!$C:$FB,119)</f>
        <v>0.42</v>
      </c>
      <c r="N212" s="50">
        <f>VLOOKUP($A212,'Data shares'!$C:$FB,121)*100</f>
        <v>0</v>
      </c>
      <c r="O212" s="50">
        <f>VLOOKUP($A212,'Data shares'!$C:$FB,124)</f>
        <v>0.24</v>
      </c>
      <c r="P212" s="50">
        <f>VLOOKUP($A212,'Data shares'!$C:$FB,125)</f>
        <v>0.49</v>
      </c>
      <c r="Q212" s="50">
        <f>VLOOKUP($A212,'Data shares'!$C:$FB,127)*100</f>
        <v>-51.019999999999996</v>
      </c>
    </row>
    <row r="213" spans="1:17" x14ac:dyDescent="0.25">
      <c r="A213" s="97" t="str">
        <f>'Data Vlaue (Cr)'!C208</f>
        <v>UPL</v>
      </c>
      <c r="B213" s="140">
        <f>VLOOKUP($A213,'Data shares'!$C:$FB,7)</f>
        <v>660</v>
      </c>
      <c r="C213" s="140">
        <f>VLOOKUP($A213,'Data shares'!$C:$FB,3)</f>
        <v>664.5</v>
      </c>
      <c r="D213" s="140">
        <f>VLOOKUP($A213,'Data shares'!$C:$FB,4)</f>
        <v>646.25</v>
      </c>
      <c r="E213" s="50">
        <f t="shared" si="18"/>
        <v>2.8239845261121856</v>
      </c>
      <c r="F213" s="49">
        <f>VLOOKUP($A213,'Data shares'!$C:$FB,98)</f>
        <v>36748955</v>
      </c>
      <c r="G213" s="49">
        <f>VLOOKUP($A213,'Data shares'!$C:$FB,99)</f>
        <v>36919685</v>
      </c>
      <c r="H213" s="50">
        <f t="shared" si="19"/>
        <v>-0.46243623151172603</v>
      </c>
      <c r="I213" s="49">
        <f>VLOOKUP($A213,'Data shares'!$C:$FB,66)</f>
        <v>12811525</v>
      </c>
      <c r="J213" s="49">
        <f>VLOOKUP($A213,'Data shares'!$C:$FB,67)</f>
        <v>3997250</v>
      </c>
      <c r="K213" s="50">
        <f t="shared" si="20"/>
        <v>68.799576943416184</v>
      </c>
      <c r="L213" s="50">
        <f>VLOOKUP($A213,'Data shares'!$C:$FB,118)</f>
        <v>0.66</v>
      </c>
      <c r="M213" s="50">
        <f>VLOOKUP($A213,'Data shares'!$C:$FB,119)</f>
        <v>0.71</v>
      </c>
      <c r="N213" s="50">
        <f>VLOOKUP($A213,'Data shares'!$C:$FB,121)*100</f>
        <v>-7.04</v>
      </c>
      <c r="O213" s="50">
        <f>VLOOKUP($A213,'Data shares'!$C:$FB,124)</f>
        <v>0.45</v>
      </c>
      <c r="P213" s="50">
        <f>VLOOKUP($A213,'Data shares'!$C:$FB,125)</f>
        <v>0.37</v>
      </c>
      <c r="Q213" s="50">
        <f>VLOOKUP($A213,'Data shares'!$C:$FB,127)*100</f>
        <v>21.62</v>
      </c>
    </row>
    <row r="214" spans="1:17" x14ac:dyDescent="0.25">
      <c r="A214" s="97" t="str">
        <f>'Data Vlaue (Cr)'!C209</f>
        <v>VBL</v>
      </c>
      <c r="B214" s="140">
        <f>VLOOKUP($A214,'Data shares'!$C:$FB,7)</f>
        <v>508.95</v>
      </c>
      <c r="C214" s="140">
        <f>VLOOKUP($A214,'Data shares'!$C:$FB,3)</f>
        <v>512.5</v>
      </c>
      <c r="D214" s="140">
        <f>VLOOKUP($A214,'Data shares'!$C:$FB,4)</f>
        <v>514.35</v>
      </c>
      <c r="E214" s="50">
        <f t="shared" si="18"/>
        <v>-0.35967726256440608</v>
      </c>
      <c r="F214" s="49">
        <f>VLOOKUP($A214,'Data shares'!$C:$FB,98)</f>
        <v>67703175</v>
      </c>
      <c r="G214" s="49">
        <f>VLOOKUP($A214,'Data shares'!$C:$FB,99)</f>
        <v>67000800</v>
      </c>
      <c r="H214" s="50">
        <f t="shared" si="19"/>
        <v>1.0483083784074219</v>
      </c>
      <c r="I214" s="49">
        <f>VLOOKUP($A214,'Data shares'!$C:$FB,66)</f>
        <v>15313500</v>
      </c>
      <c r="J214" s="49">
        <f>VLOOKUP($A214,'Data shares'!$C:$FB,67)</f>
        <v>18570375</v>
      </c>
      <c r="K214" s="50">
        <f t="shared" si="20"/>
        <v>-21.267998824566558</v>
      </c>
      <c r="L214" s="50">
        <f>VLOOKUP($A214,'Data shares'!$C:$FB,118)</f>
        <v>0.56000000000000005</v>
      </c>
      <c r="M214" s="50">
        <f>VLOOKUP($A214,'Data shares'!$C:$FB,119)</f>
        <v>0.56999999999999995</v>
      </c>
      <c r="N214" s="50">
        <f>VLOOKUP($A214,'Data shares'!$C:$FB,121)*100</f>
        <v>-1.7500000000000002</v>
      </c>
      <c r="O214" s="50">
        <f>VLOOKUP($A214,'Data shares'!$C:$FB,124)</f>
        <v>0.57999999999999996</v>
      </c>
      <c r="P214" s="50">
        <f>VLOOKUP($A214,'Data shares'!$C:$FB,125)</f>
        <v>0.62</v>
      </c>
      <c r="Q214" s="50">
        <f>VLOOKUP($A214,'Data shares'!$C:$FB,127)*100</f>
        <v>-6.45</v>
      </c>
    </row>
    <row r="215" spans="1:17" x14ac:dyDescent="0.25">
      <c r="A215" s="97" t="str">
        <f>'Data Vlaue (Cr)'!C210</f>
        <v>VEDL</v>
      </c>
      <c r="B215" s="140">
        <f>VLOOKUP($A215,'Data shares'!$C:$FB,7)</f>
        <v>316.39999999999998</v>
      </c>
      <c r="C215" s="140">
        <f>VLOOKUP($A215,'Data shares'!$C:$FB,3)</f>
        <v>318</v>
      </c>
      <c r="D215" s="140">
        <f>VLOOKUP($A215,'Data shares'!$C:$FB,4)</f>
        <v>305.2</v>
      </c>
      <c r="E215" s="50">
        <f t="shared" si="18"/>
        <v>4.1939711664482351</v>
      </c>
      <c r="F215" s="49">
        <f>VLOOKUP($A215,'Data shares'!$C:$FB,98)</f>
        <v>79818050</v>
      </c>
      <c r="G215" s="49">
        <f>VLOOKUP($A215,'Data shares'!$C:$FB,99)</f>
        <v>71213750</v>
      </c>
      <c r="H215" s="50">
        <f t="shared" si="19"/>
        <v>12.082357690754945</v>
      </c>
      <c r="I215" s="49">
        <f>VLOOKUP($A215,'Data shares'!$C:$FB,66)</f>
        <v>207200100</v>
      </c>
      <c r="J215" s="49">
        <f>VLOOKUP($A215,'Data shares'!$C:$FB,67)</f>
        <v>184694600</v>
      </c>
      <c r="K215" s="50">
        <f t="shared" si="20"/>
        <v>10.861722557083709</v>
      </c>
      <c r="L215" s="50">
        <f>VLOOKUP($A215,'Data shares'!$C:$FB,118)</f>
        <v>0.75</v>
      </c>
      <c r="M215" s="50">
        <f>VLOOKUP($A215,'Data shares'!$C:$FB,119)</f>
        <v>0.66</v>
      </c>
      <c r="N215" s="50">
        <f>VLOOKUP($A215,'Data shares'!$C:$FB,121)*100</f>
        <v>13.639999999999999</v>
      </c>
      <c r="O215" s="50">
        <f>VLOOKUP($A215,'Data shares'!$C:$FB,124)</f>
        <v>0.49</v>
      </c>
      <c r="P215" s="50">
        <f>VLOOKUP($A215,'Data shares'!$C:$FB,125)</f>
        <v>0.41</v>
      </c>
      <c r="Q215" s="50">
        <f>VLOOKUP($A215,'Data shares'!$C:$FB,127)*100</f>
        <v>19.509999999999998</v>
      </c>
    </row>
    <row r="216" spans="1:17" x14ac:dyDescent="0.25">
      <c r="A216" s="97" t="str">
        <f>'Data Vlaue (Cr)'!C211</f>
        <v>VMM</v>
      </c>
      <c r="B216" s="140">
        <f>VLOOKUP($A216,'Data shares'!$C:$FB,7)</f>
        <v>124.2</v>
      </c>
      <c r="C216" s="140">
        <f>VLOOKUP($A216,'Data shares'!$C:$FB,3)</f>
        <v>124.95</v>
      </c>
      <c r="D216" s="140">
        <f>VLOOKUP($A216,'Data shares'!$C:$FB,4)</f>
        <v>125.38</v>
      </c>
      <c r="E216" s="50">
        <f t="shared" si="18"/>
        <v>-0.34295740947518949</v>
      </c>
      <c r="F216" s="49">
        <f>VLOOKUP($A216,'Data shares'!$C:$FB,98)</f>
        <v>35826950</v>
      </c>
      <c r="G216" s="49">
        <f>VLOOKUP($A216,'Data shares'!$C:$FB,99)</f>
        <v>35220700</v>
      </c>
      <c r="H216" s="50">
        <f t="shared" si="19"/>
        <v>1.7212889011291654</v>
      </c>
      <c r="I216" s="49">
        <f>VLOOKUP($A216,'Data shares'!$C:$FB,66)</f>
        <v>8720300</v>
      </c>
      <c r="J216" s="49">
        <f>VLOOKUP($A216,'Data shares'!$C:$FB,67)</f>
        <v>8206200</v>
      </c>
      <c r="K216" s="50">
        <f t="shared" si="20"/>
        <v>5.8954393770856504</v>
      </c>
      <c r="L216" s="50">
        <f>VLOOKUP($A216,'Data shares'!$C:$FB,118)</f>
        <v>0.45</v>
      </c>
      <c r="M216" s="50">
        <f>VLOOKUP($A216,'Data shares'!$C:$FB,119)</f>
        <v>0.52</v>
      </c>
      <c r="N216" s="50">
        <f>VLOOKUP($A216,'Data shares'!$C:$FB,121)*100</f>
        <v>-13.459999999999999</v>
      </c>
      <c r="O216" s="50">
        <f>VLOOKUP($A216,'Data shares'!$C:$FB,124)</f>
        <v>0.34</v>
      </c>
      <c r="P216" s="50">
        <f>VLOOKUP($A216,'Data shares'!$C:$FB,125)</f>
        <v>0.3</v>
      </c>
      <c r="Q216" s="50">
        <f>VLOOKUP($A216,'Data shares'!$C:$FB,127)*100</f>
        <v>13.33</v>
      </c>
    </row>
    <row r="217" spans="1:17" x14ac:dyDescent="0.25">
      <c r="A217" s="97" t="str">
        <f>'Data Vlaue (Cr)'!C212</f>
        <v>VOLTAS</v>
      </c>
      <c r="B217" s="140">
        <f>VLOOKUP($A217,'Data shares'!$C:$FB,7)</f>
        <v>1379.6</v>
      </c>
      <c r="C217" s="140">
        <f>VLOOKUP($A217,'Data shares'!$C:$FB,3)</f>
        <v>1384.1</v>
      </c>
      <c r="D217" s="140">
        <f>VLOOKUP($A217,'Data shares'!$C:$FB,4)</f>
        <v>1377.6</v>
      </c>
      <c r="E217" s="50">
        <f t="shared" si="18"/>
        <v>0.47183507549361209</v>
      </c>
      <c r="F217" s="49">
        <f>VLOOKUP($A217,'Data shares'!$C:$FB,98)</f>
        <v>18082125</v>
      </c>
      <c r="G217" s="49">
        <f>VLOOKUP($A217,'Data shares'!$C:$FB,99)</f>
        <v>17149125</v>
      </c>
      <c r="H217" s="50">
        <f t="shared" si="19"/>
        <v>5.4405108132339111</v>
      </c>
      <c r="I217" s="49">
        <f>VLOOKUP($A217,'Data shares'!$C:$FB,66)</f>
        <v>9371250</v>
      </c>
      <c r="J217" s="49">
        <f>VLOOKUP($A217,'Data shares'!$C:$FB,67)</f>
        <v>15747375</v>
      </c>
      <c r="K217" s="50">
        <f t="shared" si="20"/>
        <v>-68.039215686274517</v>
      </c>
      <c r="L217" s="50">
        <f>VLOOKUP($A217,'Data shares'!$C:$FB,118)</f>
        <v>0.69</v>
      </c>
      <c r="M217" s="50">
        <f>VLOOKUP($A217,'Data shares'!$C:$FB,119)</f>
        <v>0.67</v>
      </c>
      <c r="N217" s="50">
        <f>VLOOKUP($A217,'Data shares'!$C:$FB,121)*100</f>
        <v>2.9899999999999998</v>
      </c>
      <c r="O217" s="50">
        <f>VLOOKUP($A217,'Data shares'!$C:$FB,124)</f>
        <v>0.46</v>
      </c>
      <c r="P217" s="50">
        <f>VLOOKUP($A217,'Data shares'!$C:$FB,125)</f>
        <v>0.72</v>
      </c>
      <c r="Q217" s="50">
        <f>VLOOKUP($A217,'Data shares'!$C:$FB,127)*100</f>
        <v>-36.11</v>
      </c>
    </row>
    <row r="218" spans="1:17" x14ac:dyDescent="0.25">
      <c r="A218" s="97" t="str">
        <f>'Data Vlaue (Cr)'!C213</f>
        <v>WAAREEENER</v>
      </c>
      <c r="B218" s="140">
        <f>VLOOKUP($A218,'Data shares'!$C:$FB,7)</f>
        <v>3225.1</v>
      </c>
      <c r="C218" s="140">
        <f>VLOOKUP($A218,'Data shares'!$C:$FB,3)</f>
        <v>3247.8</v>
      </c>
      <c r="D218" s="140">
        <f>VLOOKUP($A218,'Data shares'!$C:$FB,4)</f>
        <v>3199.2</v>
      </c>
      <c r="E218" s="50">
        <f t="shared" ref="E218:E221" si="21">(C218-D218)/D218*100</f>
        <v>1.5191297824456229</v>
      </c>
      <c r="F218" s="49">
        <f>VLOOKUP($A218,'Data shares'!$C:$FB,98)</f>
        <v>12659150</v>
      </c>
      <c r="G218" s="49">
        <f>VLOOKUP($A218,'Data shares'!$C:$FB,99)</f>
        <v>12622575</v>
      </c>
      <c r="H218" s="50">
        <f t="shared" ref="H218:H221" si="22">(F218-G218)/G218*100</f>
        <v>0.28975862690457377</v>
      </c>
      <c r="I218" s="49">
        <f>VLOOKUP($A218,'Data shares'!$C:$FB,66)</f>
        <v>6901475</v>
      </c>
      <c r="J218" s="49">
        <f>VLOOKUP($A218,'Data shares'!$C:$FB,67)</f>
        <v>6579125</v>
      </c>
      <c r="K218" s="50">
        <f t="shared" ref="K218:K221" si="23">(I218-J218)/I218*100</f>
        <v>4.6707406750006344</v>
      </c>
      <c r="L218" s="50">
        <f>VLOOKUP($A218,'Data shares'!$C:$FB,118)</f>
        <v>0.56000000000000005</v>
      </c>
      <c r="M218" s="50">
        <f>VLOOKUP($A218,'Data shares'!$C:$FB,119)</f>
        <v>0.53</v>
      </c>
      <c r="N218" s="50">
        <f>VLOOKUP($A218,'Data shares'!$C:$FB,121)*100</f>
        <v>5.66</v>
      </c>
      <c r="O218" s="50">
        <f>VLOOKUP($A218,'Data shares'!$C:$FB,124)</f>
        <v>0.35</v>
      </c>
      <c r="P218" s="50">
        <f>VLOOKUP($A218,'Data shares'!$C:$FB,125)</f>
        <v>0.38</v>
      </c>
      <c r="Q218" s="50">
        <f>VLOOKUP($A218,'Data shares'!$C:$FB,127)*100</f>
        <v>-7.89</v>
      </c>
    </row>
    <row r="219" spans="1:17" x14ac:dyDescent="0.25">
      <c r="A219" s="97" t="str">
        <f>'Data Vlaue (Cr)'!C214</f>
        <v>WIPRO</v>
      </c>
      <c r="B219" s="140">
        <f>VLOOKUP($A219,'Data shares'!$C:$FB,7)</f>
        <v>199.12</v>
      </c>
      <c r="C219" s="140">
        <f>VLOOKUP($A219,'Data shares'!$C:$FB,3)</f>
        <v>197.51</v>
      </c>
      <c r="D219" s="140">
        <f>VLOOKUP($A219,'Data shares'!$C:$FB,4)</f>
        <v>196.13</v>
      </c>
      <c r="E219" s="50">
        <f t="shared" si="21"/>
        <v>0.70361494926834012</v>
      </c>
      <c r="F219" s="49">
        <f>VLOOKUP($A219,'Data shares'!$C:$FB,98)</f>
        <v>505053000</v>
      </c>
      <c r="G219" s="49">
        <f>VLOOKUP($A219,'Data shares'!$C:$FB,99)</f>
        <v>504246000</v>
      </c>
      <c r="H219" s="50">
        <f t="shared" si="22"/>
        <v>0.16004093240204187</v>
      </c>
      <c r="I219" s="49">
        <f>VLOOKUP($A219,'Data shares'!$C:$FB,66)</f>
        <v>130446000</v>
      </c>
      <c r="J219" s="49">
        <f>VLOOKUP($A219,'Data shares'!$C:$FB,67)</f>
        <v>89967000</v>
      </c>
      <c r="K219" s="50">
        <f t="shared" si="23"/>
        <v>31.031231314106989</v>
      </c>
      <c r="L219" s="50">
        <f>VLOOKUP($A219,'Data shares'!$C:$FB,118)</f>
        <v>0.53</v>
      </c>
      <c r="M219" s="50">
        <f>VLOOKUP($A219,'Data shares'!$C:$FB,119)</f>
        <v>0.53</v>
      </c>
      <c r="N219" s="50">
        <f>VLOOKUP($A219,'Data shares'!$C:$FB,121)*100</f>
        <v>0</v>
      </c>
      <c r="O219" s="50">
        <f>VLOOKUP($A219,'Data shares'!$C:$FB,124)</f>
        <v>0.48</v>
      </c>
      <c r="P219" s="50">
        <f>VLOOKUP($A219,'Data shares'!$C:$FB,125)</f>
        <v>0.42</v>
      </c>
      <c r="Q219" s="50">
        <f>VLOOKUP($A219,'Data shares'!$C:$FB,127)*100</f>
        <v>14.29</v>
      </c>
    </row>
    <row r="220" spans="1:17" x14ac:dyDescent="0.25">
      <c r="A220" s="97" t="str">
        <f>'Data Vlaue (Cr)'!C215</f>
        <v>YESBANK</v>
      </c>
      <c r="B220" s="140">
        <f>VLOOKUP($A220,'Data shares'!$C:$FB,7)</f>
        <v>22.13</v>
      </c>
      <c r="C220" s="140">
        <f>VLOOKUP($A220,'Data shares'!$C:$FB,3)</f>
        <v>22.23</v>
      </c>
      <c r="D220" s="140">
        <f>VLOOKUP($A220,'Data shares'!$C:$FB,4)</f>
        <v>20.61</v>
      </c>
      <c r="E220" s="50">
        <f t="shared" si="21"/>
        <v>7.8602620087336286</v>
      </c>
      <c r="F220" s="49">
        <f>VLOOKUP($A220,'Data shares'!$C:$FB,98)</f>
        <v>1939209400</v>
      </c>
      <c r="G220" s="49">
        <f>VLOOKUP($A220,'Data shares'!$C:$FB,99)</f>
        <v>1841959700</v>
      </c>
      <c r="H220" s="50">
        <f t="shared" si="22"/>
        <v>5.279686629408884</v>
      </c>
      <c r="I220" s="49">
        <f>VLOOKUP($A220,'Data shares'!$C:$FB,66)</f>
        <v>3258937900</v>
      </c>
      <c r="J220" s="49">
        <f>VLOOKUP($A220,'Data shares'!$C:$FB,67)</f>
        <v>1657287900</v>
      </c>
      <c r="K220" s="50">
        <f t="shared" si="23"/>
        <v>49.146379868115929</v>
      </c>
      <c r="L220" s="50">
        <f>VLOOKUP($A220,'Data shares'!$C:$FB,118)</f>
        <v>0.61</v>
      </c>
      <c r="M220" s="50">
        <f>VLOOKUP($A220,'Data shares'!$C:$FB,119)</f>
        <v>0.56999999999999995</v>
      </c>
      <c r="N220" s="50">
        <f>VLOOKUP($A220,'Data shares'!$C:$FB,121)*100</f>
        <v>7.02</v>
      </c>
      <c r="O220" s="50">
        <f>VLOOKUP($A220,'Data shares'!$C:$FB,124)</f>
        <v>0.31</v>
      </c>
      <c r="P220" s="50">
        <f>VLOOKUP($A220,'Data shares'!$C:$FB,125)</f>
        <v>0.31</v>
      </c>
      <c r="Q220" s="50">
        <f>VLOOKUP($A220,'Data shares'!$C:$FB,127)*100</f>
        <v>0</v>
      </c>
    </row>
    <row r="221" spans="1:17" x14ac:dyDescent="0.25">
      <c r="A221" s="97" t="str">
        <f>'Data Vlaue (Cr)'!C216</f>
        <v>ZYDUSLIFE</v>
      </c>
      <c r="B221" s="140">
        <f>VLOOKUP($A221,'Data shares'!$C:$FB,7)</f>
        <v>938.8</v>
      </c>
      <c r="C221" s="140">
        <f>VLOOKUP($A221,'Data shares'!$C:$FB,3)</f>
        <v>944.8</v>
      </c>
      <c r="D221" s="140">
        <f>VLOOKUP($A221,'Data shares'!$C:$FB,4)</f>
        <v>918.7</v>
      </c>
      <c r="E221" s="50">
        <f t="shared" si="21"/>
        <v>2.840970937193851</v>
      </c>
      <c r="F221" s="49">
        <f>VLOOKUP($A221,'Data shares'!$C:$FB,98)</f>
        <v>15586200</v>
      </c>
      <c r="G221" s="49">
        <f>VLOOKUP($A221,'Data shares'!$C:$FB,99)</f>
        <v>14896800</v>
      </c>
      <c r="H221" s="50">
        <f t="shared" si="22"/>
        <v>4.6278395360077331</v>
      </c>
      <c r="I221" s="49">
        <f>VLOOKUP($A221,'Data shares'!$C:$FB,66)</f>
        <v>13939200</v>
      </c>
      <c r="J221" s="49">
        <f>VLOOKUP($A221,'Data shares'!$C:$FB,67)</f>
        <v>4421700</v>
      </c>
      <c r="K221" s="50">
        <f t="shared" si="23"/>
        <v>68.278667355371908</v>
      </c>
      <c r="L221" s="50">
        <f>VLOOKUP($A221,'Data shares'!$C:$FB,118)</f>
        <v>0.62</v>
      </c>
      <c r="M221" s="50">
        <f>VLOOKUP($A221,'Data shares'!$C:$FB,119)</f>
        <v>0.7</v>
      </c>
      <c r="N221" s="50">
        <f>VLOOKUP($A221,'Data shares'!$C:$FB,121)*100</f>
        <v>-11.43</v>
      </c>
      <c r="O221" s="50">
        <f>VLOOKUP($A221,'Data shares'!$C:$FB,124)</f>
        <v>0.27</v>
      </c>
      <c r="P221" s="50">
        <f>VLOOKUP($A221,'Data shares'!$C:$FB,125)</f>
        <v>0.35</v>
      </c>
      <c r="Q221" s="50">
        <f>VLOOKUP($A221,'Data shares'!$C:$FB,127)*100</f>
        <v>-22.86</v>
      </c>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7"/>
      <c r="B230" s="140"/>
      <c r="C230" s="140"/>
      <c r="D230" s="140"/>
      <c r="E230" s="50"/>
      <c r="F230" s="49"/>
      <c r="G230" s="49"/>
      <c r="H230" s="50"/>
      <c r="I230" s="49"/>
      <c r="J230" s="49"/>
      <c r="K230" s="50"/>
      <c r="L230" s="50"/>
      <c r="M230" s="50"/>
      <c r="N230" s="50"/>
      <c r="O230" s="50"/>
      <c r="P230" s="50"/>
      <c r="Q230" s="50"/>
    </row>
    <row r="231" spans="1:17" x14ac:dyDescent="0.25">
      <c r="A231" s="97"/>
      <c r="B231" s="140"/>
      <c r="C231" s="140"/>
      <c r="D231" s="140"/>
      <c r="E231" s="50"/>
      <c r="F231" s="49"/>
      <c r="G231" s="49"/>
      <c r="H231" s="50"/>
      <c r="I231" s="49"/>
      <c r="J231" s="49"/>
      <c r="K231" s="50"/>
      <c r="L231" s="50"/>
      <c r="M231" s="50"/>
      <c r="N231" s="50"/>
      <c r="O231" s="50"/>
      <c r="P231" s="50"/>
      <c r="Q231" s="50"/>
    </row>
    <row r="232" spans="1:17" x14ac:dyDescent="0.25">
      <c r="A232" s="97"/>
      <c r="B232" s="140"/>
      <c r="C232" s="140"/>
      <c r="D232" s="140"/>
      <c r="E232" s="50"/>
      <c r="F232" s="49"/>
      <c r="G232" s="49"/>
      <c r="H232" s="50"/>
      <c r="I232" s="49"/>
      <c r="J232" s="49"/>
      <c r="K232" s="50"/>
      <c r="L232" s="50"/>
      <c r="M232" s="50"/>
      <c r="N232" s="50"/>
      <c r="O232" s="50"/>
      <c r="P232" s="50"/>
      <c r="Q232" s="50"/>
    </row>
    <row r="233" spans="1:17" x14ac:dyDescent="0.25">
      <c r="A233" s="97"/>
      <c r="B233" s="140"/>
      <c r="C233" s="140"/>
      <c r="D233" s="140"/>
      <c r="E233" s="50"/>
      <c r="F233" s="49"/>
      <c r="G233" s="49"/>
      <c r="H233" s="50"/>
      <c r="I233" s="49"/>
      <c r="J233" s="49"/>
      <c r="K233" s="50"/>
      <c r="L233" s="50"/>
      <c r="M233" s="50"/>
      <c r="N233" s="50"/>
      <c r="O233" s="50"/>
      <c r="P233" s="50"/>
      <c r="Q233" s="50"/>
    </row>
    <row r="234" spans="1:17" x14ac:dyDescent="0.25">
      <c r="A234" s="97"/>
      <c r="B234" s="140"/>
      <c r="C234" s="140"/>
      <c r="D234" s="140"/>
      <c r="E234" s="50"/>
      <c r="F234" s="49"/>
      <c r="G234" s="49"/>
      <c r="H234" s="50"/>
      <c r="I234" s="49"/>
      <c r="J234" s="49"/>
      <c r="K234" s="50"/>
      <c r="L234" s="50"/>
      <c r="M234" s="50"/>
      <c r="N234" s="50"/>
      <c r="O234" s="50"/>
      <c r="P234" s="50"/>
      <c r="Q234" s="50"/>
    </row>
    <row r="235" spans="1:17" x14ac:dyDescent="0.25">
      <c r="A235" s="98"/>
      <c r="B235" s="17"/>
      <c r="C235" s="17"/>
      <c r="D235" s="17"/>
      <c r="E235" s="17"/>
      <c r="F235" s="17"/>
      <c r="G235" s="17"/>
      <c r="H235" s="17"/>
      <c r="I235" s="17"/>
      <c r="J235" s="17"/>
      <c r="K235" s="17"/>
      <c r="L235" s="17"/>
      <c r="M235" s="17"/>
      <c r="N235" s="17"/>
      <c r="O235" s="17"/>
      <c r="P235" s="17"/>
      <c r="Q235" s="17"/>
    </row>
    <row r="236" spans="1:17" s="64" customFormat="1" x14ac:dyDescent="0.25">
      <c r="A236" s="264" t="s">
        <v>391</v>
      </c>
      <c r="B236" s="264"/>
      <c r="C236" s="264"/>
      <c r="D236" s="264"/>
      <c r="E236" s="264"/>
      <c r="F236" s="113">
        <f>SUM(F7:F221)</f>
        <v>26068878853</v>
      </c>
      <c r="G236" s="113">
        <f>SUM(G7:G223)</f>
        <v>26060844630</v>
      </c>
      <c r="H236" s="114">
        <f>(F236-G236)/G236*100</f>
        <v>3.082871301397264E-2</v>
      </c>
      <c r="I236" s="113">
        <f>SUM(I7:I222)</f>
        <v>20429900311</v>
      </c>
      <c r="J236" s="113">
        <f>SUM(J7:J223)</f>
        <v>41887581148</v>
      </c>
      <c r="K236" s="114">
        <f>(I236-J236)/J236*100</f>
        <v>-51.226832032110636</v>
      </c>
      <c r="L236" s="113"/>
      <c r="M236" s="113"/>
      <c r="N236" s="113"/>
      <c r="O236" s="113"/>
      <c r="P236" s="264"/>
      <c r="Q236" s="264"/>
    </row>
    <row r="237" spans="1:17" s="64" customFormat="1" x14ac:dyDescent="0.25">
      <c r="A237" s="264" t="s">
        <v>398</v>
      </c>
      <c r="B237" s="264"/>
      <c r="C237" s="264"/>
      <c r="D237" s="264"/>
      <c r="E237" s="264"/>
      <c r="F237" s="113">
        <f>F236/10000000</f>
        <v>2606.8878853000001</v>
      </c>
      <c r="G237" s="113">
        <f>G236/10000000</f>
        <v>2606.0844630000001</v>
      </c>
      <c r="H237" s="114">
        <f>(F237-G237)/G237*100</f>
        <v>3.0828713013971321E-2</v>
      </c>
      <c r="I237" s="113">
        <f>I236/10000000</f>
        <v>2042.9900310999999</v>
      </c>
      <c r="J237" s="113">
        <f>J236/10000000</f>
        <v>4188.7581147999999</v>
      </c>
      <c r="K237" s="114">
        <f>(I237-J237)/J237*100</f>
        <v>-51.226832032110636</v>
      </c>
      <c r="L237" s="113"/>
      <c r="M237" s="113"/>
      <c r="N237" s="113"/>
      <c r="O237" s="113"/>
      <c r="P237" s="264"/>
      <c r="Q237" s="264"/>
    </row>
  </sheetData>
  <mergeCells count="15">
    <mergeCell ref="A237:E237"/>
    <mergeCell ref="P236:Q236"/>
    <mergeCell ref="P237:Q237"/>
    <mergeCell ref="A236:E236"/>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O15" sqref="O15"/>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(Value)'!H154</f>
        <v>1002870</v>
      </c>
      <c r="C3" s="159">
        <f>'OI(Volume)'!G150</f>
        <v>2.7099999999999999E-2</v>
      </c>
      <c r="D3" s="153">
        <f>'Snapshot (Value)'!P150</f>
        <v>0.35</v>
      </c>
      <c r="E3" s="153">
        <f>'Snapshot (Value)'!R150</f>
        <v>0.34</v>
      </c>
      <c r="F3" s="153">
        <f>IV!E150</f>
        <v>17.579999999999998</v>
      </c>
      <c r="G3" s="153">
        <f>IV!B150</f>
        <v>16.79</v>
      </c>
      <c r="H3" s="153">
        <f>'Snapshot (Value)'!C154</f>
        <v>24330.95</v>
      </c>
      <c r="I3" s="153">
        <f>'Snapshot (Value)'!D154</f>
        <v>24447.4</v>
      </c>
      <c r="J3" s="153">
        <f>'Snapshot (Value)'!E154</f>
        <v>24106.3</v>
      </c>
      <c r="K3" s="153">
        <f>(I3-H3)</f>
        <v>116.45000000000073</v>
      </c>
      <c r="L3" s="232">
        <f>'Data Vlaue (Cr)'!V145</f>
        <v>24683.8</v>
      </c>
    </row>
    <row r="4" spans="1:12" x14ac:dyDescent="0.25">
      <c r="A4" t="s">
        <v>464</v>
      </c>
      <c r="B4" s="154">
        <f>'Snapshot (Value)'!H38</f>
        <v>165425</v>
      </c>
      <c r="C4" s="159">
        <f>'OI(Volume)'!G34</f>
        <v>7.7999999999999996E-3</v>
      </c>
      <c r="D4" s="153">
        <f>'Snapshot (Value)'!P38</f>
        <v>0.95</v>
      </c>
      <c r="E4" s="153">
        <f>'Snapshot (Value)'!R38</f>
        <v>0.85</v>
      </c>
      <c r="F4" s="153">
        <f>IV!E34</f>
        <v>21.37</v>
      </c>
      <c r="G4" s="153">
        <f>IV!B34</f>
        <v>19.32</v>
      </c>
      <c r="H4" s="153">
        <f>'Snapshot (Value)'!C38</f>
        <v>55981.05</v>
      </c>
      <c r="I4" s="153">
        <f>'Snapshot (Value)'!D38</f>
        <v>56348.6</v>
      </c>
      <c r="J4" s="153">
        <f>'Snapshot (Value)'!E38</f>
        <v>54808</v>
      </c>
      <c r="K4" s="153">
        <f>(I4-H4)</f>
        <v>367.54999999999563</v>
      </c>
      <c r="L4" s="232">
        <f>'Data Vlaue (Cr)'!V29</f>
        <v>56893.2</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559</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8" t="s">
        <v>393</v>
      </c>
      <c r="B1" s="330" t="s">
        <v>631</v>
      </c>
      <c r="C1" s="331"/>
      <c r="D1" s="332"/>
      <c r="E1" s="333" t="s">
        <v>632</v>
      </c>
      <c r="F1" s="334"/>
      <c r="G1" s="335"/>
      <c r="H1" s="336" t="s">
        <v>633</v>
      </c>
      <c r="I1" s="337"/>
      <c r="J1" s="338"/>
      <c r="K1" s="339" t="s">
        <v>634</v>
      </c>
      <c r="L1" s="340"/>
      <c r="M1" s="341"/>
    </row>
    <row r="2" spans="1:13" ht="26.25" thickBot="1" x14ac:dyDescent="0.25">
      <c r="A2" s="329"/>
      <c r="B2" s="201" t="s">
        <v>635</v>
      </c>
      <c r="C2" s="201" t="s">
        <v>636</v>
      </c>
      <c r="D2" s="201" t="s">
        <v>369</v>
      </c>
      <c r="E2" s="202" t="s">
        <v>635</v>
      </c>
      <c r="F2" s="202" t="s">
        <v>636</v>
      </c>
      <c r="G2" s="202" t="s">
        <v>369</v>
      </c>
      <c r="H2" s="203" t="s">
        <v>635</v>
      </c>
      <c r="I2" s="203" t="s">
        <v>636</v>
      </c>
      <c r="J2" s="203" t="s">
        <v>369</v>
      </c>
      <c r="K2" s="204" t="s">
        <v>635</v>
      </c>
      <c r="L2" s="204" t="s">
        <v>636</v>
      </c>
      <c r="M2" s="204" t="s">
        <v>369</v>
      </c>
    </row>
    <row r="3" spans="1:13" x14ac:dyDescent="0.2">
      <c r="A3" s="205" t="s">
        <v>637</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638</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639</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8" t="s">
        <v>640</v>
      </c>
      <c r="B6" s="330" t="s">
        <v>631</v>
      </c>
      <c r="C6" s="331"/>
      <c r="D6" s="332"/>
      <c r="E6" s="333" t="s">
        <v>632</v>
      </c>
      <c r="F6" s="334"/>
      <c r="G6" s="335"/>
      <c r="H6" s="336" t="s">
        <v>633</v>
      </c>
      <c r="I6" s="337"/>
      <c r="J6" s="338"/>
      <c r="K6" s="339" t="s">
        <v>634</v>
      </c>
      <c r="L6" s="340"/>
      <c r="M6" s="341"/>
    </row>
    <row r="7" spans="1:13" ht="26.25" thickBot="1" x14ac:dyDescent="0.25">
      <c r="A7" s="329"/>
      <c r="B7" s="201" t="s">
        <v>635</v>
      </c>
      <c r="C7" s="201" t="s">
        <v>636</v>
      </c>
      <c r="D7" s="201" t="s">
        <v>369</v>
      </c>
      <c r="E7" s="202" t="s">
        <v>635</v>
      </c>
      <c r="F7" s="202" t="s">
        <v>636</v>
      </c>
      <c r="G7" s="202" t="s">
        <v>369</v>
      </c>
      <c r="H7" s="203" t="s">
        <v>635</v>
      </c>
      <c r="I7" s="203" t="s">
        <v>636</v>
      </c>
      <c r="J7" s="203" t="s">
        <v>369</v>
      </c>
      <c r="K7" s="204" t="s">
        <v>635</v>
      </c>
      <c r="L7" s="204" t="s">
        <v>636</v>
      </c>
      <c r="M7" s="204" t="s">
        <v>369</v>
      </c>
    </row>
    <row r="8" spans="1:13" x14ac:dyDescent="0.2">
      <c r="A8" s="205" t="s">
        <v>637</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638</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639</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8" t="s">
        <v>641</v>
      </c>
      <c r="B11" s="330" t="s">
        <v>631</v>
      </c>
      <c r="C11" s="331"/>
      <c r="D11" s="332"/>
      <c r="E11" s="333" t="s">
        <v>632</v>
      </c>
      <c r="F11" s="334"/>
      <c r="G11" s="335"/>
      <c r="H11" s="336" t="s">
        <v>633</v>
      </c>
      <c r="I11" s="337"/>
      <c r="J11" s="338"/>
      <c r="K11" s="339" t="s">
        <v>634</v>
      </c>
      <c r="L11" s="340"/>
      <c r="M11" s="341"/>
    </row>
    <row r="12" spans="1:13" ht="26.25" thickBot="1" x14ac:dyDescent="0.25">
      <c r="A12" s="329"/>
      <c r="B12" s="201" t="s">
        <v>635</v>
      </c>
      <c r="C12" s="201" t="s">
        <v>636</v>
      </c>
      <c r="D12" s="201" t="s">
        <v>369</v>
      </c>
      <c r="E12" s="202" t="s">
        <v>635</v>
      </c>
      <c r="F12" s="202" t="s">
        <v>636</v>
      </c>
      <c r="G12" s="202" t="s">
        <v>369</v>
      </c>
      <c r="H12" s="203" t="s">
        <v>635</v>
      </c>
      <c r="I12" s="203" t="s">
        <v>636</v>
      </c>
      <c r="J12" s="203" t="s">
        <v>369</v>
      </c>
      <c r="K12" s="204" t="s">
        <v>635</v>
      </c>
      <c r="L12" s="204" t="s">
        <v>636</v>
      </c>
      <c r="M12" s="204" t="s">
        <v>369</v>
      </c>
    </row>
    <row r="13" spans="1:13" x14ac:dyDescent="0.2">
      <c r="A13" s="205" t="s">
        <v>637</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638</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639</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8" t="s">
        <v>395</v>
      </c>
      <c r="B16" s="330" t="s">
        <v>631</v>
      </c>
      <c r="C16" s="331"/>
      <c r="D16" s="332"/>
      <c r="E16" s="333" t="s">
        <v>632</v>
      </c>
      <c r="F16" s="334"/>
      <c r="G16" s="335"/>
      <c r="H16" s="336" t="s">
        <v>633</v>
      </c>
      <c r="I16" s="337"/>
      <c r="J16" s="338"/>
      <c r="K16" s="339" t="s">
        <v>634</v>
      </c>
      <c r="L16" s="340"/>
      <c r="M16" s="341"/>
    </row>
    <row r="17" spans="1:13" ht="26.25" thickBot="1" x14ac:dyDescent="0.25">
      <c r="A17" s="329"/>
      <c r="B17" s="201" t="s">
        <v>635</v>
      </c>
      <c r="C17" s="201" t="s">
        <v>636</v>
      </c>
      <c r="D17" s="201" t="s">
        <v>369</v>
      </c>
      <c r="E17" s="202" t="s">
        <v>635</v>
      </c>
      <c r="F17" s="202" t="s">
        <v>636</v>
      </c>
      <c r="G17" s="202" t="s">
        <v>369</v>
      </c>
      <c r="H17" s="203" t="s">
        <v>635</v>
      </c>
      <c r="I17" s="203" t="s">
        <v>636</v>
      </c>
      <c r="J17" s="203" t="s">
        <v>369</v>
      </c>
      <c r="K17" s="204" t="s">
        <v>635</v>
      </c>
      <c r="L17" s="204" t="s">
        <v>636</v>
      </c>
      <c r="M17" s="204" t="s">
        <v>369</v>
      </c>
    </row>
    <row r="18" spans="1:13" x14ac:dyDescent="0.2">
      <c r="A18" s="205" t="s">
        <v>637</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638</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639</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8" t="s">
        <v>642</v>
      </c>
      <c r="B21" s="330" t="s">
        <v>631</v>
      </c>
      <c r="C21" s="331"/>
      <c r="D21" s="332"/>
      <c r="E21" s="333" t="s">
        <v>632</v>
      </c>
      <c r="F21" s="334"/>
      <c r="G21" s="335"/>
      <c r="H21" s="336" t="s">
        <v>633</v>
      </c>
      <c r="I21" s="337"/>
      <c r="J21" s="338"/>
      <c r="K21" s="339" t="s">
        <v>634</v>
      </c>
      <c r="L21" s="340"/>
      <c r="M21" s="341"/>
    </row>
    <row r="22" spans="1:13" ht="26.25" thickBot="1" x14ac:dyDescent="0.25">
      <c r="A22" s="329"/>
      <c r="B22" s="201" t="s">
        <v>635</v>
      </c>
      <c r="C22" s="201" t="s">
        <v>636</v>
      </c>
      <c r="D22" s="201" t="s">
        <v>369</v>
      </c>
      <c r="E22" s="202" t="s">
        <v>635</v>
      </c>
      <c r="F22" s="202" t="s">
        <v>636</v>
      </c>
      <c r="G22" s="202" t="s">
        <v>369</v>
      </c>
      <c r="H22" s="203" t="s">
        <v>635</v>
      </c>
      <c r="I22" s="203" t="s">
        <v>636</v>
      </c>
      <c r="J22" s="203" t="s">
        <v>369</v>
      </c>
      <c r="K22" s="204" t="s">
        <v>635</v>
      </c>
      <c r="L22" s="204" t="s">
        <v>636</v>
      </c>
      <c r="M22" s="204" t="s">
        <v>369</v>
      </c>
    </row>
    <row r="23" spans="1:13" x14ac:dyDescent="0.2">
      <c r="A23" s="205" t="s">
        <v>637</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638</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639</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8" t="s">
        <v>643</v>
      </c>
      <c r="B26" s="330" t="s">
        <v>631</v>
      </c>
      <c r="C26" s="331"/>
      <c r="D26" s="332"/>
      <c r="E26" s="333" t="s">
        <v>632</v>
      </c>
      <c r="F26" s="334"/>
      <c r="G26" s="335"/>
      <c r="H26" s="336" t="s">
        <v>633</v>
      </c>
      <c r="I26" s="337"/>
      <c r="J26" s="338"/>
      <c r="K26" s="339" t="s">
        <v>634</v>
      </c>
      <c r="L26" s="340"/>
      <c r="M26" s="341"/>
    </row>
    <row r="27" spans="1:13" ht="26.25" thickBot="1" x14ac:dyDescent="0.25">
      <c r="A27" s="329"/>
      <c r="B27" s="201" t="s">
        <v>635</v>
      </c>
      <c r="C27" s="201" t="s">
        <v>636</v>
      </c>
      <c r="D27" s="201" t="s">
        <v>369</v>
      </c>
      <c r="E27" s="202" t="s">
        <v>635</v>
      </c>
      <c r="F27" s="202" t="s">
        <v>636</v>
      </c>
      <c r="G27" s="202" t="s">
        <v>369</v>
      </c>
      <c r="H27" s="203" t="s">
        <v>635</v>
      </c>
      <c r="I27" s="203" t="s">
        <v>636</v>
      </c>
      <c r="J27" s="203" t="s">
        <v>369</v>
      </c>
      <c r="K27" s="204" t="s">
        <v>635</v>
      </c>
      <c r="L27" s="204" t="s">
        <v>636</v>
      </c>
      <c r="M27" s="204" t="s">
        <v>369</v>
      </c>
    </row>
    <row r="28" spans="1:13" x14ac:dyDescent="0.2">
      <c r="A28" s="205" t="s">
        <v>637</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638</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639</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646</v>
      </c>
      <c r="B1" s="216" t="s">
        <v>249</v>
      </c>
      <c r="C1" s="200"/>
      <c r="D1" s="200"/>
    </row>
    <row r="2" spans="1:4" x14ac:dyDescent="0.25">
      <c r="A2" s="217" t="s">
        <v>647</v>
      </c>
      <c r="B2" s="218">
        <f>VLOOKUP($B$1,'Snapshot (Value)'!$A:$S,2,0)</f>
        <v>175</v>
      </c>
      <c r="C2" s="200"/>
      <c r="D2" s="200"/>
    </row>
    <row r="3" spans="1:4" x14ac:dyDescent="0.25">
      <c r="A3" s="217" t="s">
        <v>312</v>
      </c>
      <c r="B3" s="219">
        <f>VLOOKUP($B$1,'Snapshot (Value)'!$A:$S,3,0)</f>
        <v>4008.5</v>
      </c>
      <c r="C3" s="200"/>
      <c r="D3" s="200"/>
    </row>
    <row r="4" spans="1:4" x14ac:dyDescent="0.25">
      <c r="A4" s="217" t="s">
        <v>320</v>
      </c>
      <c r="B4" s="220">
        <f>VLOOKUP($B$1,'Snapshot (Value)'!$A:$S,6,0)</f>
        <v>-8.8000000000001819</v>
      </c>
      <c r="C4" s="200"/>
      <c r="D4" s="200"/>
    </row>
    <row r="5" spans="1:4" x14ac:dyDescent="0.25">
      <c r="A5" s="221"/>
      <c r="B5" s="222" t="s">
        <v>648</v>
      </c>
      <c r="C5" s="222" t="s">
        <v>649</v>
      </c>
      <c r="D5" s="222" t="s">
        <v>650</v>
      </c>
    </row>
    <row r="6" spans="1:4" x14ac:dyDescent="0.25">
      <c r="A6" s="217" t="s">
        <v>651</v>
      </c>
      <c r="B6" s="219">
        <f>VLOOKUP($B$1,'Snapshot (Value)'!$A:$S,4,0)</f>
        <v>3999.7</v>
      </c>
      <c r="C6" s="219">
        <f>VLOOKUP($B$1,'Snapshot (Value)'!$A:$S,5,0)</f>
        <v>4079.2</v>
      </c>
      <c r="D6" s="219">
        <f>+(B6/C6-1)*100</f>
        <v>-1.9489115512845712</v>
      </c>
    </row>
    <row r="7" spans="1:4" x14ac:dyDescent="0.25">
      <c r="A7" s="217" t="s">
        <v>316</v>
      </c>
      <c r="B7" s="219">
        <f>VLOOKUP($B$1,'Snapshot (Volume)'!$A:$S,12,0)</f>
        <v>0.6</v>
      </c>
      <c r="C7" s="219">
        <f>VLOOKUP($B$1,'Snapshot (Volume)'!$A:$S,13,0)</f>
        <v>0.79</v>
      </c>
      <c r="D7" s="219">
        <f>+(B7/C7-1)*100</f>
        <v>-24.050632911392412</v>
      </c>
    </row>
    <row r="8" spans="1:4" x14ac:dyDescent="0.25">
      <c r="A8" s="217" t="s">
        <v>652</v>
      </c>
      <c r="B8" s="219">
        <f>VLOOKUP($B$1,'Snapshot (Volume)'!$A:$S,15,0)</f>
        <v>0.43</v>
      </c>
      <c r="C8" s="219">
        <f>VLOOKUP($B$1,'Snapshot (Volume)'!$A:$S,16,0)</f>
        <v>0.64</v>
      </c>
      <c r="D8" s="219">
        <f>+(B8/C8-1)*100</f>
        <v>-32.8125</v>
      </c>
    </row>
    <row r="9" spans="1:4" x14ac:dyDescent="0.25">
      <c r="A9" s="215" t="s">
        <v>653</v>
      </c>
      <c r="B9" s="222" t="s">
        <v>654</v>
      </c>
      <c r="C9" s="222" t="s">
        <v>369</v>
      </c>
      <c r="D9" s="222" t="s">
        <v>650</v>
      </c>
    </row>
    <row r="10" spans="1:4" x14ac:dyDescent="0.25">
      <c r="A10" s="217" t="s">
        <v>655</v>
      </c>
      <c r="B10" s="219">
        <f>VLOOKUP($B$1,'OI(Value)'!$A:$O,5,0)</f>
        <v>6966</v>
      </c>
      <c r="C10" s="219">
        <f>VLOOKUP($B$1,'OI(Value)'!$A:$O,6,0)</f>
        <v>1042</v>
      </c>
      <c r="D10" s="219">
        <f>VLOOKUP($B$1,'OI(Value)'!$A:$O,7,0)*100</f>
        <v>17.59</v>
      </c>
    </row>
    <row r="11" spans="1:4" x14ac:dyDescent="0.25">
      <c r="A11" s="217" t="s">
        <v>656</v>
      </c>
      <c r="B11" s="219">
        <f>VLOOKUP($B$1,'OI(Value)'!$A:$O,8,0)</f>
        <v>3381</v>
      </c>
      <c r="C11" s="219">
        <f>VLOOKUP($B$1,'OI(Value)'!$A:$O,9,0)</f>
        <v>1088</v>
      </c>
      <c r="D11" s="219">
        <f>VLOOKUP($B$1,'OI(Value)'!$A:$O,10,0)*100</f>
        <v>47.449999999999996</v>
      </c>
    </row>
    <row r="12" spans="1:4" x14ac:dyDescent="0.25">
      <c r="A12" s="217" t="s">
        <v>657</v>
      </c>
      <c r="B12" s="219">
        <f>VLOOKUP($B$1,'OI(Value)'!$A:$O,11,0)</f>
        <v>2024</v>
      </c>
      <c r="C12" s="219">
        <f>VLOOKUP($B$1,'OI(Value)'!$A:$O,12,0)</f>
        <v>223</v>
      </c>
      <c r="D12" s="219">
        <f>VLOOKUP($B$1,'OI(Value)'!$A:$O,13,0)*100</f>
        <v>12.370000000000001</v>
      </c>
    </row>
    <row r="13" spans="1:4" x14ac:dyDescent="0.25">
      <c r="A13" s="215" t="s">
        <v>658</v>
      </c>
      <c r="B13" s="223">
        <f>VLOOKUP($B$1,'OI(Value)'!$A:$O,2,0)</f>
        <v>12371</v>
      </c>
      <c r="C13" s="223">
        <f>VLOOKUP($B$1,'OI(Value)'!$A:$O,3,0)</f>
        <v>2353</v>
      </c>
      <c r="D13" s="223">
        <f>VLOOKUP($B$1,'OI(Value)'!$A:$O,4,0)*100</f>
        <v>23.49</v>
      </c>
    </row>
    <row r="14" spans="1:4" x14ac:dyDescent="0.25">
      <c r="A14" s="215" t="s">
        <v>659</v>
      </c>
      <c r="B14" s="222" t="s">
        <v>660</v>
      </c>
      <c r="C14" s="222" t="s">
        <v>369</v>
      </c>
      <c r="D14" s="222" t="s">
        <v>650</v>
      </c>
    </row>
    <row r="15" spans="1:4" x14ac:dyDescent="0.25">
      <c r="A15" s="217" t="s">
        <v>655</v>
      </c>
      <c r="B15" s="219">
        <f>VLOOKUP($B$1,'OI(Volume)'!$A:$O,5,0)/10^5</f>
        <v>174.167</v>
      </c>
      <c r="C15" s="219">
        <f>VLOOKUP($B$1,'OI(Volume)'!$A:$O,6,0)/10^5</f>
        <v>26.05575</v>
      </c>
      <c r="D15" s="219">
        <f>(VLOOKUP($B$1,'OI(Volume)'!$A:$O,7,0))*100</f>
        <v>17.59</v>
      </c>
    </row>
    <row r="16" spans="1:4" x14ac:dyDescent="0.25">
      <c r="A16" s="217" t="s">
        <v>656</v>
      </c>
      <c r="B16" s="219">
        <f>VLOOKUP($B$1,'OI(Volume)'!$A:$O,8,0)/10^5</f>
        <v>84.525000000000006</v>
      </c>
      <c r="C16" s="219">
        <f>VLOOKUP($B$1,'OI(Volume)'!$A:$O,9,0)/10^5</f>
        <v>27.202000000000002</v>
      </c>
      <c r="D16" s="219">
        <f>(VLOOKUP($B$1,'OI(Volume)'!$A:$O,10,0))*100</f>
        <v>47.449999999999996</v>
      </c>
    </row>
    <row r="17" spans="1:4" x14ac:dyDescent="0.25">
      <c r="A17" s="217" t="s">
        <v>657</v>
      </c>
      <c r="B17" s="219">
        <f>VLOOKUP($B$1,'OI(Volume)'!$A:$O,11,0)/10^5</f>
        <v>50.61</v>
      </c>
      <c r="C17" s="219">
        <f>VLOOKUP($B$1,'OI(Volume)'!$A:$O,12,0)/10^5</f>
        <v>5.5720000000000001</v>
      </c>
      <c r="D17" s="219">
        <f>(VLOOKUP($B$1,'OI(Volume)'!$A:$O,13,0))*100</f>
        <v>12.370000000000001</v>
      </c>
    </row>
    <row r="18" spans="1:4" x14ac:dyDescent="0.25">
      <c r="A18" s="215" t="s">
        <v>661</v>
      </c>
      <c r="B18" s="223">
        <f>VLOOKUP($B$1,'OI(Volume)'!$A:$O,2,0)/10^5</f>
        <v>309.30200000000002</v>
      </c>
      <c r="C18" s="223">
        <f>VLOOKUP($B$1,'OI(Volume)'!$A:$O,3,0)/10^5</f>
        <v>58.829749999999997</v>
      </c>
      <c r="D18" s="223">
        <f>(VLOOKUP($B$1,'OI(Volume)'!$A:$O,4,0))*100</f>
        <v>23.49</v>
      </c>
    </row>
    <row r="20" spans="1:4" x14ac:dyDescent="0.25">
      <c r="A20" s="17" t="s">
        <v>417</v>
      </c>
      <c r="B20" s="224">
        <f>VLOOKUP($B$1,'Open Interest Position'!$A:$F,2,0)/10^5</f>
        <v>1360.99497</v>
      </c>
    </row>
    <row r="21" spans="1:4" x14ac:dyDescent="0.25">
      <c r="A21" s="17" t="s">
        <v>412</v>
      </c>
      <c r="B21" s="224">
        <f>VLOOKUP($B$1,'Open Interest Position'!$A:$F,3,0)/10^5</f>
        <v>304.13774999999998</v>
      </c>
    </row>
    <row r="22" spans="1:4" x14ac:dyDescent="0.25">
      <c r="A22" s="17" t="s">
        <v>418</v>
      </c>
      <c r="B22" s="224">
        <f>VLOOKUP($B$1,'Open Interest Position'!$A:$F,4,0)/10^5</f>
        <v>179.40977288704701</v>
      </c>
    </row>
    <row r="23" spans="1:4" x14ac:dyDescent="0.25">
      <c r="A23" s="17" t="s">
        <v>419</v>
      </c>
      <c r="B23" s="225">
        <f>VLOOKUP($B$1,'Open Interest Position'!$A:$F,6,0)</f>
        <v>0.22346721090379931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6" t="s">
        <v>329</v>
      </c>
      <c r="B3" s="267"/>
      <c r="C3" s="267"/>
      <c r="D3" s="267"/>
      <c r="E3" s="267"/>
      <c r="F3" s="267"/>
      <c r="G3" s="267"/>
      <c r="H3" s="267"/>
      <c r="I3" s="268"/>
      <c r="J3" s="268"/>
      <c r="K3" s="268"/>
      <c r="L3" s="268"/>
      <c r="M3" s="268"/>
      <c r="N3" s="268"/>
      <c r="O3" s="268"/>
      <c r="P3" s="269"/>
    </row>
    <row r="4" spans="1:36" x14ac:dyDescent="0.25">
      <c r="A4" s="270" t="s">
        <v>330</v>
      </c>
      <c r="B4" s="270"/>
      <c r="C4" s="77" t="s">
        <v>308</v>
      </c>
      <c r="D4" s="272" t="s">
        <v>326</v>
      </c>
      <c r="E4" s="272"/>
      <c r="F4" s="272"/>
      <c r="G4" s="272"/>
      <c r="H4" s="272" t="s">
        <v>457</v>
      </c>
      <c r="I4" s="272"/>
      <c r="J4" s="272"/>
      <c r="K4" s="270" t="s">
        <v>309</v>
      </c>
      <c r="L4" s="270"/>
      <c r="M4" s="270"/>
      <c r="N4" s="270" t="s">
        <v>331</v>
      </c>
      <c r="O4" s="270"/>
      <c r="P4" s="270"/>
    </row>
    <row r="5" spans="1:36" x14ac:dyDescent="0.25">
      <c r="A5" s="271"/>
      <c r="B5" s="271"/>
      <c r="C5" s="65" t="s">
        <v>312</v>
      </c>
      <c r="D5" s="273" t="s">
        <v>314</v>
      </c>
      <c r="E5" s="273"/>
      <c r="F5" s="273"/>
      <c r="G5" s="273"/>
      <c r="H5" s="273" t="s">
        <v>315</v>
      </c>
      <c r="I5" s="273"/>
      <c r="J5" s="273"/>
      <c r="K5" s="271" t="s">
        <v>314</v>
      </c>
      <c r="L5" s="271"/>
      <c r="M5" s="271"/>
      <c r="N5" s="271" t="s">
        <v>315</v>
      </c>
      <c r="O5" s="271"/>
      <c r="P5" s="271"/>
    </row>
    <row r="6" spans="1:36" x14ac:dyDescent="0.25">
      <c r="A6" s="78" t="s">
        <v>332</v>
      </c>
      <c r="B6" s="78" t="s">
        <v>318</v>
      </c>
      <c r="C6" s="65" t="s">
        <v>328</v>
      </c>
      <c r="D6" s="66">
        <f>'Snapshot (Volume)'!B6</f>
        <v>46148</v>
      </c>
      <c r="E6" s="66" t="s">
        <v>368</v>
      </c>
      <c r="F6" s="71" t="s">
        <v>333</v>
      </c>
      <c r="G6" s="71" t="s">
        <v>328</v>
      </c>
      <c r="H6" s="66">
        <f>D6</f>
        <v>46148</v>
      </c>
      <c r="I6" s="71" t="s">
        <v>322</v>
      </c>
      <c r="J6" s="71" t="s">
        <v>328</v>
      </c>
      <c r="K6" s="66">
        <f>D6</f>
        <v>46148</v>
      </c>
      <c r="L6" s="78" t="s">
        <v>333</v>
      </c>
      <c r="M6" s="78" t="s">
        <v>328</v>
      </c>
      <c r="N6" s="66">
        <f>D6</f>
        <v>46148</v>
      </c>
      <c r="O6" s="78" t="s">
        <v>322</v>
      </c>
      <c r="P6" s="78" t="s">
        <v>328</v>
      </c>
    </row>
    <row r="7" spans="1:36" x14ac:dyDescent="0.25">
      <c r="A7" s="79" t="str">
        <f>'Data shares'!B2</f>
        <v>Finance</v>
      </c>
      <c r="B7" s="79" t="str">
        <f>'Data shares'!C2</f>
        <v>360ONE</v>
      </c>
      <c r="C7" s="79">
        <f>VLOOKUP($B7,'Data shares'!$C:$FB,7)</f>
        <v>1084.0999999999999</v>
      </c>
      <c r="D7" s="165">
        <f>VLOOKUP($B7,'Data shares'!$C:$FB,98)</f>
        <v>6704000</v>
      </c>
      <c r="E7" s="165">
        <f>VLOOKUP(B7,'Snapshot (Volume)'!$A$7:$G$168,7,0)</f>
        <v>6333000</v>
      </c>
      <c r="F7" s="165">
        <f>D7-E7</f>
        <v>371000</v>
      </c>
      <c r="G7" s="166">
        <f>F7/E7</f>
        <v>5.8582030633191222E-2</v>
      </c>
      <c r="H7" s="165">
        <f>VLOOKUP($B7,'Data shares'!$C:$FB,66)</f>
        <v>2545500</v>
      </c>
      <c r="I7" s="165">
        <f>VLOOKUP($B7,'Data shares'!$C:$FB,67)</f>
        <v>2985500</v>
      </c>
      <c r="J7" s="81">
        <f>(H7-I7)/I7*100</f>
        <v>-14.73789984927148</v>
      </c>
      <c r="K7" s="81">
        <f>VLOOKUP($B7,'Data Vlaue (Cr)'!$C:$FB,99)</f>
        <v>732</v>
      </c>
      <c r="L7" s="81">
        <f>VLOOKUP(B7,'OI(Value)'!$A$7:$C$232,3,0)</f>
        <v>41</v>
      </c>
      <c r="M7" s="81">
        <f t="shared" ref="M7:M36" si="0">L7/K7*100</f>
        <v>5.6010928961748636</v>
      </c>
      <c r="N7" s="81">
        <f>VLOOKUP($B7,'Data Vlaue (Cr)'!$C:$FB,67)</f>
        <v>278</v>
      </c>
      <c r="O7" s="81">
        <f>VLOOKUP($B7,'Data Vlaue (Cr)'!$C:$FB,68)</f>
        <v>326</v>
      </c>
      <c r="P7" s="81">
        <f t="shared" ref="P7:P23" si="1">(N7-O7)/N7*100</f>
        <v>-17.266187050359711</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7182.5</v>
      </c>
      <c r="D8" s="165">
        <f>VLOOKUP($B8,'Data shares'!$C:$FB,98)</f>
        <v>3853625</v>
      </c>
      <c r="E8" s="165">
        <f>VLOOKUP(B8,'Snapshot (Volume)'!$A$7:$G$168,7,0)</f>
        <v>3694500</v>
      </c>
      <c r="F8" s="165">
        <f t="shared" ref="F8:F23" si="2">D8-E8</f>
        <v>159125</v>
      </c>
      <c r="G8" s="166">
        <f t="shared" ref="G8:G23" si="3">F8/E8</f>
        <v>4.3070780890512923E-2</v>
      </c>
      <c r="H8" s="165">
        <f>VLOOKUP($B8,'Data shares'!$C:$FB,66)</f>
        <v>3203000</v>
      </c>
      <c r="I8" s="165">
        <f>VLOOKUP($B8,'Data shares'!$C:$FB,67)</f>
        <v>2187250</v>
      </c>
      <c r="J8" s="81">
        <f t="shared" ref="J8:J22" si="4">(H8-I8)/I8*100</f>
        <v>46.439593096353867</v>
      </c>
      <c r="K8" s="81">
        <f>VLOOKUP($B8,'Data Vlaue (Cr)'!$C:$FB,99)</f>
        <v>2767</v>
      </c>
      <c r="L8" s="81">
        <f>VLOOKUP(B8,'OI(Value)'!$A$7:$C$232,3,0)</f>
        <v>114</v>
      </c>
      <c r="M8" s="81">
        <f t="shared" si="0"/>
        <v>4.1199855439103716</v>
      </c>
      <c r="N8" s="81">
        <f>VLOOKUP($B8,'Data Vlaue (Cr)'!$C:$FB,67)</f>
        <v>2300</v>
      </c>
      <c r="O8" s="81">
        <f>VLOOKUP($B8,'Data Vlaue (Cr)'!$C:$FB,68)</f>
        <v>1571</v>
      </c>
      <c r="P8" s="81">
        <f t="shared" si="1"/>
        <v>31.695652173913043</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369.3</v>
      </c>
      <c r="D9" s="165">
        <f>VLOOKUP($B9,'Data shares'!$C:$FB,98)</f>
        <v>65422400</v>
      </c>
      <c r="E9" s="165">
        <f>VLOOKUP(B9,'Snapshot (Volume)'!$A$7:$G$168,7,0)</f>
        <v>67074700</v>
      </c>
      <c r="F9" s="165">
        <f t="shared" si="2"/>
        <v>-1652300</v>
      </c>
      <c r="G9" s="166">
        <f t="shared" si="3"/>
        <v>-2.463372926006378E-2</v>
      </c>
      <c r="H9" s="165">
        <f>VLOOKUP($B9,'Data shares'!$C:$FB,66)</f>
        <v>86149000</v>
      </c>
      <c r="I9" s="165">
        <f>VLOOKUP($B9,'Data shares'!$C:$FB,67)</f>
        <v>148158300</v>
      </c>
      <c r="J9" s="81">
        <f t="shared" si="4"/>
        <v>-41.853409495114349</v>
      </c>
      <c r="K9" s="81">
        <f>VLOOKUP($B9,'Data Vlaue (Cr)'!$C:$FB,99)</f>
        <v>2429</v>
      </c>
      <c r="L9" s="81">
        <f>VLOOKUP(B9,'OI(Value)'!$A$7:$C$232,3,0)</f>
        <v>-61</v>
      </c>
      <c r="M9" s="81">
        <f t="shared" si="0"/>
        <v>-2.5113215314944424</v>
      </c>
      <c r="N9" s="81">
        <f>VLOOKUP($B9,'Data Vlaue (Cr)'!$C:$FB,67)</f>
        <v>3199</v>
      </c>
      <c r="O9" s="81">
        <f>VLOOKUP($B9,'Data Vlaue (Cr)'!$C:$FB,68)</f>
        <v>5501</v>
      </c>
      <c r="P9" s="81">
        <f t="shared" si="1"/>
        <v>-71.959987496092523</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1407.3</v>
      </c>
      <c r="D10" s="82">
        <f>VLOOKUP($B10,'Data shares'!$C:$FB,98)</f>
        <v>30515400</v>
      </c>
      <c r="E10" s="165">
        <f>VLOOKUP(B10,'Snapshot (Volume)'!$A$7:$G$168,7,0)</f>
        <v>29430675</v>
      </c>
      <c r="F10" s="165">
        <f t="shared" si="2"/>
        <v>1084725</v>
      </c>
      <c r="G10" s="166">
        <f t="shared" si="3"/>
        <v>3.685695282218298E-2</v>
      </c>
      <c r="H10" s="165">
        <f>VLOOKUP($B10,'Data shares'!$C:$FB,66)</f>
        <v>15937425</v>
      </c>
      <c r="I10" s="165">
        <f>VLOOKUP($B10,'Data shares'!$C:$FB,67)</f>
        <v>16402500</v>
      </c>
      <c r="J10" s="81">
        <f t="shared" si="4"/>
        <v>-2.8353909465020579</v>
      </c>
      <c r="K10" s="5">
        <f>VLOOKUP($B10,'Data Vlaue (Cr)'!$C:$FB,99)</f>
        <v>4323</v>
      </c>
      <c r="L10" s="81">
        <f>VLOOKUP(B10,'OI(Value)'!$A$7:$C$232,3,0)</f>
        <v>154</v>
      </c>
      <c r="M10" s="33">
        <f t="shared" si="0"/>
        <v>3.5623409669211195</v>
      </c>
      <c r="N10" s="5">
        <f>VLOOKUP($B10,'Data Vlaue (Cr)'!$C:$FB,67)</f>
        <v>2258</v>
      </c>
      <c r="O10" s="5">
        <f>VLOOKUP($B10,'Data Vlaue (Cr)'!$C:$FB,68)</f>
        <v>2324</v>
      </c>
      <c r="P10" s="5">
        <f t="shared" si="1"/>
        <v>-2.9229406554472983</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2540.3000000000002</v>
      </c>
      <c r="D11" s="82">
        <f>VLOOKUP($B11,'Data shares'!$C:$FB,98)</f>
        <v>33159408</v>
      </c>
      <c r="E11" s="165">
        <f>VLOOKUP(B11,'Snapshot (Volume)'!$A$7:$G$168,7,0)</f>
        <v>33137160</v>
      </c>
      <c r="F11" s="165">
        <f t="shared" si="2"/>
        <v>22248</v>
      </c>
      <c r="G11" s="166">
        <f t="shared" si="3"/>
        <v>6.7139127191346507E-4</v>
      </c>
      <c r="H11" s="165">
        <f>VLOOKUP($B11,'Data shares'!$C:$FB,66)</f>
        <v>28891191</v>
      </c>
      <c r="I11" s="165">
        <f>VLOOKUP($B11,'Data shares'!$C:$FB,67)</f>
        <v>14095653</v>
      </c>
      <c r="J11" s="81">
        <f t="shared" si="4"/>
        <v>104.96525418155511</v>
      </c>
      <c r="K11" s="5">
        <f>VLOOKUP($B11,'Data Vlaue (Cr)'!$C:$FB,99)</f>
        <v>8467</v>
      </c>
      <c r="L11" s="81">
        <f>VLOOKUP(B11,'OI(Value)'!$A$7:$C$232,3,0)</f>
        <v>6</v>
      </c>
      <c r="M11" s="33">
        <f t="shared" si="0"/>
        <v>7.0863351836541869E-2</v>
      </c>
      <c r="N11" s="5">
        <f>VLOOKUP($B11,'Data Vlaue (Cr)'!$C:$FB,67)</f>
        <v>7377</v>
      </c>
      <c r="O11" s="5">
        <f>VLOOKUP($B11,'Data Vlaue (Cr)'!$C:$FB,68)</f>
        <v>3599</v>
      </c>
      <c r="P11" s="5">
        <f t="shared" si="1"/>
        <v>51.213230310424294</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1353</v>
      </c>
      <c r="D12" s="82">
        <f>VLOOKUP($B12,'Data shares'!$C:$FB,98)</f>
        <v>35393400</v>
      </c>
      <c r="E12" s="165">
        <f>VLOOKUP(B12,'Snapshot (Volume)'!$A$7:$G$168,7,0)</f>
        <v>34104600</v>
      </c>
      <c r="F12" s="165">
        <f t="shared" si="2"/>
        <v>1288800</v>
      </c>
      <c r="G12" s="166">
        <f t="shared" si="3"/>
        <v>3.7789623687127252E-2</v>
      </c>
      <c r="H12" s="165">
        <f>VLOOKUP($B12,'Data shares'!$C:$FB,66)</f>
        <v>25738200</v>
      </c>
      <c r="I12" s="165">
        <f>VLOOKUP($B12,'Data shares'!$C:$FB,67)</f>
        <v>27684600</v>
      </c>
      <c r="J12" s="81">
        <f t="shared" si="4"/>
        <v>-7.0306235235473871</v>
      </c>
      <c r="K12" s="5">
        <f>VLOOKUP($B12,'Data Vlaue (Cr)'!$C:$FB,99)</f>
        <v>4821</v>
      </c>
      <c r="L12" s="81">
        <f>VLOOKUP(B12,'OI(Value)'!$A$7:$C$232,3,0)</f>
        <v>176</v>
      </c>
      <c r="M12" s="33">
        <f t="shared" si="0"/>
        <v>3.6506948765816221</v>
      </c>
      <c r="N12" s="5">
        <f>VLOOKUP($B12,'Data Vlaue (Cr)'!$C:$FB,67)</f>
        <v>3506</v>
      </c>
      <c r="O12" s="5">
        <f>VLOOKUP($B12,'Data Vlaue (Cr)'!$C:$FB,68)</f>
        <v>3771</v>
      </c>
      <c r="P12" s="5">
        <f t="shared" si="1"/>
        <v>-7.5584711922418713</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1748.3</v>
      </c>
      <c r="D13" s="82">
        <f>VLOOKUP($B13,'Data shares'!$C:$FB,98)</f>
        <v>37435225</v>
      </c>
      <c r="E13" s="165">
        <f>VLOOKUP(B13,'Snapshot (Volume)'!$A$7:$G$168,7,0)</f>
        <v>37360650</v>
      </c>
      <c r="F13" s="165">
        <f t="shared" si="2"/>
        <v>74575</v>
      </c>
      <c r="G13" s="166">
        <f t="shared" si="3"/>
        <v>1.9960841152388943E-3</v>
      </c>
      <c r="H13" s="165">
        <f>VLOOKUP($B13,'Data shares'!$C:$FB,66)</f>
        <v>25326525</v>
      </c>
      <c r="I13" s="165">
        <f>VLOOKUP($B13,'Data shares'!$C:$FB,67)</f>
        <v>31528600</v>
      </c>
      <c r="J13" s="81">
        <f t="shared" si="4"/>
        <v>-19.671266722911895</v>
      </c>
      <c r="K13" s="5">
        <f>VLOOKUP($B13,'Data Vlaue (Cr)'!$C:$FB,99)</f>
        <v>6581</v>
      </c>
      <c r="L13" s="81">
        <f>VLOOKUP(B13,'OI(Value)'!$A$7:$C$232,3,0)</f>
        <v>13</v>
      </c>
      <c r="M13" s="33">
        <f t="shared" si="0"/>
        <v>0.1975383680291749</v>
      </c>
      <c r="N13" s="5">
        <f>VLOOKUP($B13,'Data Vlaue (Cr)'!$C:$FB,67)</f>
        <v>4453</v>
      </c>
      <c r="O13" s="5">
        <f>VLOOKUP($B13,'Data Vlaue (Cr)'!$C:$FB,68)</f>
        <v>5543</v>
      </c>
      <c r="P13" s="5">
        <f t="shared" si="1"/>
        <v>-24.477880080844375</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Power</v>
      </c>
      <c r="B14" s="79" t="str">
        <f>'Data shares'!C9</f>
        <v>ADANIPOWER</v>
      </c>
      <c r="C14" s="4">
        <f>VLOOKUP($B14,'Data shares'!$C:$FB,7)</f>
        <v>229.12</v>
      </c>
      <c r="D14" s="82">
        <f>VLOOKUP($B14,'Data shares'!$C:$FB,98)</f>
        <v>135176900</v>
      </c>
      <c r="E14" s="165">
        <f>VLOOKUP(B14,'Snapshot (Volume)'!$A$7:$G$168,7,0)</f>
        <v>131747600</v>
      </c>
      <c r="F14" s="165">
        <f t="shared" si="2"/>
        <v>3429300</v>
      </c>
      <c r="G14" s="166">
        <f t="shared" si="3"/>
        <v>2.602931666307394E-2</v>
      </c>
      <c r="H14" s="165">
        <f>VLOOKUP($B14,'Data shares'!$C:$FB,66)</f>
        <v>82746950</v>
      </c>
      <c r="I14" s="165">
        <f>VLOOKUP($B14,'Data shares'!$C:$FB,67)</f>
        <v>77784050</v>
      </c>
      <c r="J14" s="81">
        <f t="shared" si="4"/>
        <v>6.380356898361554</v>
      </c>
      <c r="K14" s="5">
        <f>VLOOKUP($B14,'Data Vlaue (Cr)'!$C:$FB,99)</f>
        <v>3118</v>
      </c>
      <c r="L14" s="81">
        <f>VLOOKUP(B14,'OI(Value)'!$A$7:$C$232,3,0)</f>
        <v>79</v>
      </c>
      <c r="M14" s="33">
        <f t="shared" si="0"/>
        <v>2.5336754329698525</v>
      </c>
      <c r="N14" s="5">
        <f>VLOOKUP($B14,'Data Vlaue (Cr)'!$C:$FB,67)</f>
        <v>1908</v>
      </c>
      <c r="O14" s="5">
        <f>VLOOKUP($B14,'Data Vlaue (Cr)'!$C:$FB,68)</f>
        <v>1794</v>
      </c>
      <c r="P14" s="5">
        <f t="shared" si="1"/>
        <v>5.9748427672955975</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Pharma</v>
      </c>
      <c r="B15" s="79" t="str">
        <f>'Data shares'!C10</f>
        <v>ALKEM</v>
      </c>
      <c r="C15" s="4">
        <f>VLOOKUP($B15,'Data shares'!$C:$FB,7)</f>
        <v>5557</v>
      </c>
      <c r="D15" s="82">
        <f>VLOOKUP($B15,'Data shares'!$C:$FB,98)</f>
        <v>1494875</v>
      </c>
      <c r="E15" s="165">
        <f>VLOOKUP(B15,'Snapshot (Volume)'!$A$7:$G$168,7,0)</f>
        <v>1427125</v>
      </c>
      <c r="F15" s="165">
        <f t="shared" si="2"/>
        <v>67750</v>
      </c>
      <c r="G15" s="166">
        <f t="shared" si="3"/>
        <v>4.747306647981081E-2</v>
      </c>
      <c r="H15" s="165">
        <f>VLOOKUP($B15,'Data shares'!$C:$FB,66)</f>
        <v>1492625</v>
      </c>
      <c r="I15" s="165">
        <f>VLOOKUP($B15,'Data shares'!$C:$FB,67)</f>
        <v>364500</v>
      </c>
      <c r="J15" s="81">
        <f t="shared" si="4"/>
        <v>309.49931412894375</v>
      </c>
      <c r="K15" s="5">
        <f>VLOOKUP($B15,'Data Vlaue (Cr)'!$C:$FB,99)</f>
        <v>830</v>
      </c>
      <c r="L15" s="81">
        <f>VLOOKUP(B15,'OI(Value)'!$A$7:$C$232,3,0)</f>
        <v>38</v>
      </c>
      <c r="M15" s="33">
        <f t="shared" si="0"/>
        <v>4.5783132530120483</v>
      </c>
      <c r="N15" s="5">
        <f>VLOOKUP($B15,'Data Vlaue (Cr)'!$C:$FB,67)</f>
        <v>828</v>
      </c>
      <c r="O15" s="5">
        <f>VLOOKUP($B15,'Data Vlaue (Cr)'!$C:$FB,68)</f>
        <v>202</v>
      </c>
      <c r="P15" s="5">
        <f t="shared" si="1"/>
        <v>75.60386473429952</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Capital_Goods</v>
      </c>
      <c r="B16" s="79" t="str">
        <f>'Data shares'!C11</f>
        <v>AMBER</v>
      </c>
      <c r="C16" s="4">
        <f>VLOOKUP($B16,'Data shares'!$C:$FB,7)</f>
        <v>8661.5</v>
      </c>
      <c r="D16" s="82">
        <f>VLOOKUP($B16,'Data shares'!$C:$FB,98)</f>
        <v>2639100</v>
      </c>
      <c r="E16" s="165">
        <f>VLOOKUP(B16,'Snapshot (Volume)'!$A$7:$G$168,7,0)</f>
        <v>1905100</v>
      </c>
      <c r="F16" s="165">
        <f t="shared" si="2"/>
        <v>734000</v>
      </c>
      <c r="G16" s="166">
        <f t="shared" si="3"/>
        <v>0.38528161251377879</v>
      </c>
      <c r="H16" s="165">
        <f>VLOOKUP($B16,'Data shares'!$C:$FB,66)</f>
        <v>4825000</v>
      </c>
      <c r="I16" s="165">
        <f>VLOOKUP($B16,'Data shares'!$C:$FB,67)</f>
        <v>1382400</v>
      </c>
      <c r="J16" s="81">
        <f t="shared" si="4"/>
        <v>249.03067129629628</v>
      </c>
      <c r="K16" s="5">
        <f>VLOOKUP($B16,'Data Vlaue (Cr)'!$C:$FB,99)</f>
        <v>2306</v>
      </c>
      <c r="L16" s="81">
        <f>VLOOKUP(B16,'OI(Value)'!$A$7:$C$232,3,0)</f>
        <v>641</v>
      </c>
      <c r="M16" s="33">
        <f t="shared" si="0"/>
        <v>27.797051170858627</v>
      </c>
      <c r="N16" s="5">
        <f>VLOOKUP($B16,'Data Vlaue (Cr)'!$C:$FB,67)</f>
        <v>4216</v>
      </c>
      <c r="O16" s="5">
        <f>VLOOKUP($B16,'Data Vlaue (Cr)'!$C:$FB,68)</f>
        <v>1208</v>
      </c>
      <c r="P16" s="5">
        <f t="shared" si="1"/>
        <v>71.347248576850092</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Cement</v>
      </c>
      <c r="B17" s="79" t="str">
        <f>'Data shares'!C12</f>
        <v>AMBUJACEM</v>
      </c>
      <c r="C17" s="4">
        <f>VLOOKUP($B17,'Data shares'!$C:$FB,7)</f>
        <v>446.9</v>
      </c>
      <c r="D17" s="82">
        <f>VLOOKUP($B17,'Data shares'!$C:$FB,98)</f>
        <v>109802250</v>
      </c>
      <c r="E17" s="165">
        <f>VLOOKUP(B17,'Snapshot (Volume)'!$A$7:$G$168,7,0)</f>
        <v>107169900</v>
      </c>
      <c r="F17" s="165">
        <f t="shared" si="2"/>
        <v>2632350</v>
      </c>
      <c r="G17" s="166">
        <f t="shared" si="3"/>
        <v>2.4562400450126389E-2</v>
      </c>
      <c r="H17" s="165">
        <f>VLOOKUP($B17,'Data shares'!$C:$FB,66)</f>
        <v>72667350</v>
      </c>
      <c r="I17" s="165">
        <f>VLOOKUP($B17,'Data shares'!$C:$FB,67)</f>
        <v>71115450</v>
      </c>
      <c r="J17" s="81">
        <f t="shared" si="4"/>
        <v>2.1822262251029838</v>
      </c>
      <c r="K17" s="5">
        <f>VLOOKUP($B17,'Data Vlaue (Cr)'!$C:$FB,99)</f>
        <v>4930</v>
      </c>
      <c r="L17" s="81">
        <f>VLOOKUP(B17,'OI(Value)'!$A$7:$C$232,3,0)</f>
        <v>118</v>
      </c>
      <c r="M17" s="33">
        <f t="shared" si="0"/>
        <v>2.3935091277890468</v>
      </c>
      <c r="N17" s="5">
        <f>VLOOKUP($B17,'Data Vlaue (Cr)'!$C:$FB,67)</f>
        <v>3262</v>
      </c>
      <c r="O17" s="5">
        <f>VLOOKUP($B17,'Data Vlaue (Cr)'!$C:$FB,68)</f>
        <v>3193</v>
      </c>
      <c r="P17" s="5">
        <f t="shared" si="1"/>
        <v>2.1152667075413856</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Finance</v>
      </c>
      <c r="B18" s="79" t="str">
        <f>'Data shares'!C13</f>
        <v>ANGELONE</v>
      </c>
      <c r="C18" s="4">
        <f>VLOOKUP($B18,'Data shares'!$C:$FB,7)</f>
        <v>316.85000000000002</v>
      </c>
      <c r="D18" s="82">
        <f>VLOOKUP($B18,'Data shares'!$C:$FB,98)</f>
        <v>49205000</v>
      </c>
      <c r="E18" s="165">
        <f>VLOOKUP(B18,'Snapshot (Volume)'!$A$7:$G$168,7,0)</f>
        <v>47750000</v>
      </c>
      <c r="F18" s="165">
        <f t="shared" si="2"/>
        <v>1455000</v>
      </c>
      <c r="G18" s="166">
        <f t="shared" si="3"/>
        <v>3.0471204188481676E-2</v>
      </c>
      <c r="H18" s="165">
        <f>VLOOKUP($B18,'Data shares'!$C:$FB,66)</f>
        <v>49820000</v>
      </c>
      <c r="I18" s="165">
        <f>VLOOKUP($B18,'Data shares'!$C:$FB,67)</f>
        <v>48870000</v>
      </c>
      <c r="J18" s="81">
        <f t="shared" si="4"/>
        <v>1.9439328831594025</v>
      </c>
      <c r="K18" s="5">
        <f>VLOOKUP($B18,'Data Vlaue (Cr)'!$C:$FB,99)</f>
        <v>1567</v>
      </c>
      <c r="L18" s="81">
        <f>VLOOKUP(B18,'OI(Value)'!$A$7:$C$232,3,0)</f>
        <v>46</v>
      </c>
      <c r="M18" s="33">
        <f t="shared" si="0"/>
        <v>2.9355456285896619</v>
      </c>
      <c r="N18" s="5">
        <f>VLOOKUP($B18,'Data Vlaue (Cr)'!$C:$FB,67)</f>
        <v>1587</v>
      </c>
      <c r="O18" s="5">
        <f>VLOOKUP($B18,'Data Vlaue (Cr)'!$C:$FB,68)</f>
        <v>1557</v>
      </c>
      <c r="P18" s="5">
        <f t="shared" si="1"/>
        <v>1.890359168241966</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Metals</v>
      </c>
      <c r="B19" s="79" t="str">
        <f>'Data shares'!C14</f>
        <v>APLAPOLLO</v>
      </c>
      <c r="C19" s="4">
        <f>VLOOKUP($B19,'Data shares'!$C:$FB,7)</f>
        <v>1914.7</v>
      </c>
      <c r="D19" s="82">
        <f>VLOOKUP($B19,'Data shares'!$C:$FB,98)</f>
        <v>8971900</v>
      </c>
      <c r="E19" s="165">
        <f>VLOOKUP(B19,'Snapshot (Volume)'!$A$7:$G$168,7,0)</f>
        <v>8895250</v>
      </c>
      <c r="F19" s="165">
        <f t="shared" si="2"/>
        <v>76650</v>
      </c>
      <c r="G19" s="166">
        <f t="shared" si="3"/>
        <v>8.6169584890812504E-3</v>
      </c>
      <c r="H19" s="165">
        <f>VLOOKUP($B19,'Data shares'!$C:$FB,66)</f>
        <v>4158700</v>
      </c>
      <c r="I19" s="165">
        <f>VLOOKUP($B19,'Data shares'!$C:$FB,67)</f>
        <v>4244100</v>
      </c>
      <c r="J19" s="81">
        <f t="shared" si="4"/>
        <v>-2.0122051789543129</v>
      </c>
      <c r="K19" s="5">
        <f>VLOOKUP($B19,'Data Vlaue (Cr)'!$C:$FB,99)</f>
        <v>1729</v>
      </c>
      <c r="L19" s="81">
        <f>VLOOKUP(B19,'OI(Value)'!$A$7:$C$232,3,0)</f>
        <v>15</v>
      </c>
      <c r="M19" s="33">
        <f t="shared" si="0"/>
        <v>0.8675534991324465</v>
      </c>
      <c r="N19" s="5">
        <f>VLOOKUP($B19,'Data Vlaue (Cr)'!$C:$FB,67)</f>
        <v>802</v>
      </c>
      <c r="O19" s="5">
        <f>VLOOKUP($B19,'Data Vlaue (Cr)'!$C:$FB,68)</f>
        <v>818</v>
      </c>
      <c r="P19" s="5">
        <f t="shared" si="1"/>
        <v>-1.99501246882793</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Pharma</v>
      </c>
      <c r="B20" s="79" t="str">
        <f>'Data shares'!C15</f>
        <v>APOLLOHOSP</v>
      </c>
      <c r="C20" s="4">
        <f>VLOOKUP($B20,'Data shares'!$C:$FB,7)</f>
        <v>7760.5</v>
      </c>
      <c r="D20" s="82">
        <f>VLOOKUP($B20,'Data shares'!$C:$FB,98)</f>
        <v>3246500</v>
      </c>
      <c r="E20" s="165">
        <f>VLOOKUP(B20,'Snapshot (Volume)'!$A$7:$G$168,7,0)</f>
        <v>3167250</v>
      </c>
      <c r="F20" s="165">
        <f t="shared" si="2"/>
        <v>79250</v>
      </c>
      <c r="G20" s="166">
        <f t="shared" si="3"/>
        <v>2.5021706527744891E-2</v>
      </c>
      <c r="H20" s="165">
        <f>VLOOKUP($B20,'Data shares'!$C:$FB,66)</f>
        <v>1196250</v>
      </c>
      <c r="I20" s="165">
        <f>VLOOKUP($B20,'Data shares'!$C:$FB,67)</f>
        <v>1188750</v>
      </c>
      <c r="J20" s="81">
        <f t="shared" si="4"/>
        <v>0.63091482649842268</v>
      </c>
      <c r="K20" s="5">
        <f>VLOOKUP($B20,'Data Vlaue (Cr)'!$C:$FB,99)</f>
        <v>2537</v>
      </c>
      <c r="L20" s="81">
        <f>VLOOKUP(B20,'OI(Value)'!$A$7:$C$232,3,0)</f>
        <v>62</v>
      </c>
      <c r="M20" s="33">
        <f t="shared" si="0"/>
        <v>2.4438312968072524</v>
      </c>
      <c r="N20" s="5">
        <f>VLOOKUP($B20,'Data Vlaue (Cr)'!$C:$FB,67)</f>
        <v>935</v>
      </c>
      <c r="O20" s="5">
        <f>VLOOKUP($B20,'Data Vlaue (Cr)'!$C:$FB,68)</f>
        <v>929</v>
      </c>
      <c r="P20" s="5">
        <f t="shared" si="1"/>
        <v>0.64171122994652408</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Automobile</v>
      </c>
      <c r="B21" s="79" t="str">
        <f>'Data shares'!C16</f>
        <v>ASHOKLEY</v>
      </c>
      <c r="C21" s="4">
        <f>VLOOKUP($B21,'Data shares'!$C:$FB,7)</f>
        <v>167.8</v>
      </c>
      <c r="D21" s="82">
        <f>VLOOKUP($B21,'Data shares'!$C:$FB,98)</f>
        <v>283670000</v>
      </c>
      <c r="E21" s="165">
        <f>VLOOKUP(B21,'Snapshot (Volume)'!$A$7:$G$168,7,0)</f>
        <v>280515000</v>
      </c>
      <c r="F21" s="165">
        <f t="shared" si="2"/>
        <v>3155000</v>
      </c>
      <c r="G21" s="166">
        <f t="shared" si="3"/>
        <v>1.1247170383045469E-2</v>
      </c>
      <c r="H21" s="165">
        <f>VLOOKUP($B21,'Data shares'!$C:$FB,66)</f>
        <v>289055000</v>
      </c>
      <c r="I21" s="165">
        <f>VLOOKUP($B21,'Data shares'!$C:$FB,67)</f>
        <v>109265000</v>
      </c>
      <c r="J21" s="81">
        <f t="shared" si="4"/>
        <v>164.54491374182035</v>
      </c>
      <c r="K21" s="5">
        <f>VLOOKUP($B21,'Data Vlaue (Cr)'!$C:$FB,99)</f>
        <v>4789</v>
      </c>
      <c r="L21" s="81">
        <f>VLOOKUP(B21,'OI(Value)'!$A$7:$C$232,3,0)</f>
        <v>53</v>
      </c>
      <c r="M21" s="33">
        <f t="shared" si="0"/>
        <v>1.1067028607224889</v>
      </c>
      <c r="N21" s="5">
        <f>VLOOKUP($B21,'Data Vlaue (Cr)'!$C:$FB,67)</f>
        <v>4880</v>
      </c>
      <c r="O21" s="5">
        <f>VLOOKUP($B21,'Data Vlaue (Cr)'!$C:$FB,68)</f>
        <v>1845</v>
      </c>
      <c r="P21" s="5">
        <f t="shared" si="1"/>
        <v>62.192622950819676</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FMCG</v>
      </c>
      <c r="B22" s="79" t="str">
        <f>'Data shares'!C17</f>
        <v>ASIANPAINT</v>
      </c>
      <c r="C22" s="4">
        <f>VLOOKUP($B22,'Data shares'!$C:$FB,7)</f>
        <v>2519</v>
      </c>
      <c r="D22" s="82">
        <f>VLOOKUP($B22,'Data shares'!$C:$FB,98)</f>
        <v>21906000</v>
      </c>
      <c r="E22" s="165">
        <f>VLOOKUP(B22,'Snapshot (Volume)'!$A$7:$G$168,7,0)</f>
        <v>21512750</v>
      </c>
      <c r="F22" s="165">
        <f t="shared" si="2"/>
        <v>393250</v>
      </c>
      <c r="G22" s="166">
        <f t="shared" si="3"/>
        <v>1.8279857293930342E-2</v>
      </c>
      <c r="H22" s="165">
        <f>VLOOKUP($B22,'Data shares'!$C:$FB,66)</f>
        <v>16770500</v>
      </c>
      <c r="I22" s="165">
        <f>VLOOKUP($B22,'Data shares'!$C:$FB,67)</f>
        <v>5923250</v>
      </c>
      <c r="J22" s="81">
        <f t="shared" si="4"/>
        <v>183.13003840796858</v>
      </c>
      <c r="K22" s="5">
        <f>VLOOKUP($B22,'Data Vlaue (Cr)'!$C:$FB,99)</f>
        <v>5543</v>
      </c>
      <c r="L22" s="81">
        <f>VLOOKUP(B22,'OI(Value)'!$A$7:$C$232,3,0)</f>
        <v>100</v>
      </c>
      <c r="M22" s="33">
        <f t="shared" si="0"/>
        <v>1.8040772145047808</v>
      </c>
      <c r="N22" s="5">
        <f>VLOOKUP($B22,'Data Vlaue (Cr)'!$C:$FB,67)</f>
        <v>4244</v>
      </c>
      <c r="O22" s="5">
        <f>VLOOKUP($B22,'Data Vlaue (Cr)'!$C:$FB,68)</f>
        <v>1499</v>
      </c>
      <c r="P22" s="5">
        <f t="shared" si="1"/>
        <v>64.67954759660698</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Capital_Goods</v>
      </c>
      <c r="B23" s="79" t="str">
        <f>'Data shares'!C18</f>
        <v>ASTRAL</v>
      </c>
      <c r="C23" s="4">
        <f>VLOOKUP($B23,'Data shares'!$C:$FB,7)</f>
        <v>1576.1</v>
      </c>
      <c r="D23" s="82">
        <f>VLOOKUP($B23,'Data shares'!$C:$FB,98)</f>
        <v>11851975</v>
      </c>
      <c r="E23" s="165">
        <f>VLOOKUP(B23,'Snapshot (Volume)'!$A$7:$G$168,7,0)</f>
        <v>11815000</v>
      </c>
      <c r="F23" s="165">
        <f t="shared" si="2"/>
        <v>36975</v>
      </c>
      <c r="G23" s="166">
        <f t="shared" si="3"/>
        <v>3.1294964028776981E-3</v>
      </c>
      <c r="H23" s="165">
        <f>VLOOKUP($B23,'Data shares'!$C:$FB,66)</f>
        <v>9404825</v>
      </c>
      <c r="I23" s="165">
        <f>VLOOKUP($B23,'Data shares'!$C:$FB,67)</f>
        <v>2407625</v>
      </c>
      <c r="J23" s="81">
        <f>(H23-I23)/I23*100</f>
        <v>290.62665489849957</v>
      </c>
      <c r="K23" s="5">
        <f>VLOOKUP($B23,'Data Vlaue (Cr)'!$C:$FB,99)</f>
        <v>1877</v>
      </c>
      <c r="L23" s="81">
        <f>VLOOKUP(B23,'OI(Value)'!$A$7:$C$232,3,0)</f>
        <v>6</v>
      </c>
      <c r="M23" s="33">
        <f t="shared" si="0"/>
        <v>0.31965903036760784</v>
      </c>
      <c r="N23" s="5">
        <f>VLOOKUP($B23,'Data Vlaue (Cr)'!$C:$FB,67)</f>
        <v>1489</v>
      </c>
      <c r="O23" s="5">
        <f>VLOOKUP($B23,'Data Vlaue (Cr)'!$C:$FB,68)</f>
        <v>381</v>
      </c>
      <c r="P23" s="5">
        <f t="shared" si="1"/>
        <v>74.412357286769648</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Banking</v>
      </c>
      <c r="B24" s="79" t="str">
        <f>'Data shares'!C19</f>
        <v>AUBANK</v>
      </c>
      <c r="C24" s="79">
        <f>VLOOKUP($B24,'Data shares'!$C:$FB,7)</f>
        <v>1024</v>
      </c>
      <c r="D24" s="80">
        <f>VLOOKUP($B24,'Data shares'!$C:$FB,98)</f>
        <v>40319000</v>
      </c>
      <c r="E24" s="165">
        <f>VLOOKUP(B24,'Snapshot (Volume)'!$A$7:$G$168,7,0)</f>
        <v>39822000</v>
      </c>
      <c r="F24" s="165">
        <f t="shared" ref="F24:F36" si="5">D24-E24</f>
        <v>497000</v>
      </c>
      <c r="G24" s="166">
        <f t="shared" ref="G24:G36" si="6">F24/E24</f>
        <v>1.2480538395861584E-2</v>
      </c>
      <c r="H24" s="165">
        <f>VLOOKUP($B24,'Data shares'!$C:$FB,66)</f>
        <v>21153000</v>
      </c>
      <c r="I24" s="165">
        <f>VLOOKUP($B24,'Data shares'!$C:$FB,67)</f>
        <v>10360000</v>
      </c>
      <c r="J24" s="81">
        <f t="shared" ref="J24:J36" si="7">(H24-I24)/I24*100</f>
        <v>104.17953667953668</v>
      </c>
      <c r="K24" s="81">
        <f>VLOOKUP($B24,'Data Vlaue (Cr)'!$C:$FB,99)</f>
        <v>4158</v>
      </c>
      <c r="L24" s="81">
        <f>VLOOKUP(B24,'OI(Value)'!$A$7:$C$232,3,0)</f>
        <v>51</v>
      </c>
      <c r="M24" s="81">
        <f t="shared" si="0"/>
        <v>1.2265512265512266</v>
      </c>
      <c r="N24" s="81">
        <f>VLOOKUP($B24,'Data Vlaue (Cr)'!$C:$FB,67)</f>
        <v>2181</v>
      </c>
      <c r="O24" s="81">
        <f>VLOOKUP($B24,'Data Vlaue (Cr)'!$C:$FB,68)</f>
        <v>1068</v>
      </c>
      <c r="P24" s="81">
        <f t="shared" ref="P24:P36" si="8">(N24-O24)/N24*100</f>
        <v>51.031636863823934</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Pharma</v>
      </c>
      <c r="B25" s="79" t="str">
        <f>'Data shares'!C20</f>
        <v>AUROPHARMA</v>
      </c>
      <c r="C25" s="4">
        <f>VLOOKUP($B25,'Data shares'!$C:$FB,7)</f>
        <v>1484</v>
      </c>
      <c r="D25" s="82">
        <f>VLOOKUP($B25,'Data shares'!$C:$FB,98)</f>
        <v>24260500</v>
      </c>
      <c r="E25" s="165">
        <f>VLOOKUP(B25,'Snapshot (Volume)'!$A$7:$G$168,7,0)</f>
        <v>23778700</v>
      </c>
      <c r="F25" s="165">
        <f t="shared" si="5"/>
        <v>481800</v>
      </c>
      <c r="G25" s="166">
        <f t="shared" si="6"/>
        <v>2.0261830966369063E-2</v>
      </c>
      <c r="H25" s="165">
        <f>VLOOKUP($B25,'Data shares'!$C:$FB,66)</f>
        <v>21782750</v>
      </c>
      <c r="I25" s="165">
        <f>VLOOKUP($B25,'Data shares'!$C:$FB,67)</f>
        <v>10254200</v>
      </c>
      <c r="J25" s="81">
        <f t="shared" si="7"/>
        <v>112.42759064578416</v>
      </c>
      <c r="K25" s="5">
        <f>VLOOKUP($B25,'Data Vlaue (Cr)'!$C:$FB,99)</f>
        <v>3618</v>
      </c>
      <c r="L25" s="81">
        <f>VLOOKUP(B25,'OI(Value)'!$A$7:$C$232,3,0)</f>
        <v>72</v>
      </c>
      <c r="M25" s="33">
        <f t="shared" si="0"/>
        <v>1.9900497512437811</v>
      </c>
      <c r="N25" s="5">
        <f>VLOOKUP($B25,'Data Vlaue (Cr)'!$C:$FB,67)</f>
        <v>3249</v>
      </c>
      <c r="O25" s="5">
        <f>VLOOKUP($B25,'Data Vlaue (Cr)'!$C:$FB,68)</f>
        <v>1529</v>
      </c>
      <c r="P25" s="5">
        <f t="shared" si="8"/>
        <v>52.939365958756547</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Banking</v>
      </c>
      <c r="B26" s="79" t="str">
        <f>'Data shares'!C21</f>
        <v>AXISBANK</v>
      </c>
      <c r="C26" s="4">
        <f>VLOOKUP($B26,'Data shares'!$C:$FB,7)</f>
        <v>1294.2</v>
      </c>
      <c r="D26" s="82">
        <f>VLOOKUP($B26,'Data shares'!$C:$FB,98)</f>
        <v>96023125</v>
      </c>
      <c r="E26" s="165">
        <f>VLOOKUP(B26,'Snapshot (Volume)'!$A$7:$G$168,7,0)</f>
        <v>95532500</v>
      </c>
      <c r="F26" s="165">
        <f t="shared" si="5"/>
        <v>490625</v>
      </c>
      <c r="G26" s="166">
        <f t="shared" si="6"/>
        <v>5.135686808154293E-3</v>
      </c>
      <c r="H26" s="165">
        <f>VLOOKUP($B26,'Data shares'!$C:$FB,66)</f>
        <v>64322500</v>
      </c>
      <c r="I26" s="165">
        <f>VLOOKUP($B26,'Data shares'!$C:$FB,67)</f>
        <v>34265000</v>
      </c>
      <c r="J26" s="81">
        <f t="shared" si="7"/>
        <v>87.720706260032102</v>
      </c>
      <c r="K26" s="5">
        <f>VLOOKUP($B26,'Data Vlaue (Cr)'!$C:$FB,99)</f>
        <v>12522</v>
      </c>
      <c r="L26" s="81">
        <f>VLOOKUP(B26,'OI(Value)'!$A$7:$C$232,3,0)</f>
        <v>64</v>
      </c>
      <c r="M26" s="33">
        <f t="shared" si="0"/>
        <v>0.51110046318479474</v>
      </c>
      <c r="N26" s="5">
        <f>VLOOKUP($B26,'Data Vlaue (Cr)'!$C:$FB,67)</f>
        <v>8388</v>
      </c>
      <c r="O26" s="5">
        <f>VLOOKUP($B26,'Data Vlaue (Cr)'!$C:$FB,68)</f>
        <v>4468</v>
      </c>
      <c r="P26" s="5">
        <f t="shared" si="8"/>
        <v>46.733428707677632</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Automobile</v>
      </c>
      <c r="B27" s="79" t="str">
        <f>'Data shares'!C22</f>
        <v>BAJAJ-AUTO</v>
      </c>
      <c r="C27" s="4">
        <f>VLOOKUP($B27,'Data shares'!$C:$FB,7)</f>
        <v>10319</v>
      </c>
      <c r="D27" s="82">
        <f>VLOOKUP($B27,'Data shares'!$C:$FB,98)</f>
        <v>5748000</v>
      </c>
      <c r="E27" s="165">
        <f>VLOOKUP(B27,'Snapshot (Volume)'!$A$7:$G$168,7,0)</f>
        <v>5292900</v>
      </c>
      <c r="F27" s="165">
        <f t="shared" si="5"/>
        <v>455100</v>
      </c>
      <c r="G27" s="166">
        <f t="shared" si="6"/>
        <v>8.5983109448506484E-2</v>
      </c>
      <c r="H27" s="165">
        <f>VLOOKUP($B27,'Data shares'!$C:$FB,66)</f>
        <v>9535800</v>
      </c>
      <c r="I27" s="165">
        <f>VLOOKUP($B27,'Data shares'!$C:$FB,67)</f>
        <v>2943225</v>
      </c>
      <c r="J27" s="81">
        <f t="shared" si="7"/>
        <v>223.99153989246491</v>
      </c>
      <c r="K27" s="5">
        <f>VLOOKUP($B27,'Data Vlaue (Cr)'!$C:$FB,99)</f>
        <v>5956</v>
      </c>
      <c r="L27" s="81">
        <f>VLOOKUP(B27,'OI(Value)'!$A$7:$C$232,3,0)</f>
        <v>472</v>
      </c>
      <c r="M27" s="33">
        <f t="shared" si="0"/>
        <v>7.9247817327065153</v>
      </c>
      <c r="N27" s="5">
        <f>VLOOKUP($B27,'Data Vlaue (Cr)'!$C:$FB,67)</f>
        <v>9880</v>
      </c>
      <c r="O27" s="5">
        <f>VLOOKUP($B27,'Data Vlaue (Cr)'!$C:$FB,68)</f>
        <v>3049</v>
      </c>
      <c r="P27" s="5">
        <f t="shared" si="8"/>
        <v>69.139676113360323</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BAJAJFINSV</v>
      </c>
      <c r="C28" s="4">
        <f>VLOOKUP($B28,'Data shares'!$C:$FB,7)</f>
        <v>1836.1</v>
      </c>
      <c r="D28" s="82">
        <f>VLOOKUP($B28,'Data shares'!$C:$FB,98)</f>
        <v>17361050</v>
      </c>
      <c r="E28" s="165">
        <f>VLOOKUP(B28,'Snapshot (Volume)'!$A$7:$G$168,7,0)</f>
        <v>17490550</v>
      </c>
      <c r="F28" s="165">
        <f t="shared" si="5"/>
        <v>-129500</v>
      </c>
      <c r="G28" s="166">
        <f t="shared" si="6"/>
        <v>-7.4039981590058633E-3</v>
      </c>
      <c r="H28" s="165">
        <f>VLOOKUP($B28,'Data shares'!$C:$FB,66)</f>
        <v>10062000</v>
      </c>
      <c r="I28" s="165">
        <f>VLOOKUP($B28,'Data shares'!$C:$FB,67)</f>
        <v>7153250</v>
      </c>
      <c r="J28" s="81">
        <f t="shared" si="7"/>
        <v>40.663334847796456</v>
      </c>
      <c r="K28" s="5">
        <f>VLOOKUP($B28,'Data Vlaue (Cr)'!$C:$FB,99)</f>
        <v>3206</v>
      </c>
      <c r="L28" s="81">
        <f>VLOOKUP(B28,'OI(Value)'!$A$7:$C$232,3,0)</f>
        <v>-24</v>
      </c>
      <c r="M28" s="33">
        <f t="shared" si="0"/>
        <v>-0.74859638178415466</v>
      </c>
      <c r="N28" s="5">
        <f>VLOOKUP($B28,'Data Vlaue (Cr)'!$C:$FB,67)</f>
        <v>1858</v>
      </c>
      <c r="O28" s="5">
        <f>VLOOKUP($B28,'Data Vlaue (Cr)'!$C:$FB,68)</f>
        <v>1321</v>
      </c>
      <c r="P28" s="5">
        <f t="shared" si="8"/>
        <v>28.902045209903122</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BAJAJHLDNG</v>
      </c>
      <c r="C29" s="4">
        <f>VLOOKUP($B29,'Data shares'!$C:$FB,7)</f>
        <v>10612</v>
      </c>
      <c r="D29" s="82">
        <f>VLOOKUP($B29,'Data shares'!$C:$FB,98)</f>
        <v>370050</v>
      </c>
      <c r="E29" s="165">
        <f>VLOOKUP(B29,'Snapshot (Volume)'!$A$7:$G$168,7,0)</f>
        <v>347550</v>
      </c>
      <c r="F29" s="165">
        <f t="shared" si="5"/>
        <v>22500</v>
      </c>
      <c r="G29" s="166">
        <f t="shared" si="6"/>
        <v>6.473888649115235E-2</v>
      </c>
      <c r="H29" s="165">
        <f>VLOOKUP($B29,'Data shares'!$C:$FB,66)</f>
        <v>251300</v>
      </c>
      <c r="I29" s="165">
        <f>VLOOKUP($B29,'Data shares'!$C:$FB,67)</f>
        <v>119150</v>
      </c>
      <c r="J29" s="81">
        <f t="shared" si="7"/>
        <v>110.91061686949224</v>
      </c>
      <c r="K29" s="5">
        <f>VLOOKUP($B29,'Data Vlaue (Cr)'!$C:$FB,99)</f>
        <v>395</v>
      </c>
      <c r="L29" s="81">
        <f>VLOOKUP(B29,'OI(Value)'!$A$7:$C$232,3,0)</f>
        <v>24</v>
      </c>
      <c r="M29" s="33">
        <f t="shared" si="0"/>
        <v>6.0759493670886071</v>
      </c>
      <c r="N29" s="5">
        <f>VLOOKUP($B29,'Data Vlaue (Cr)'!$C:$FB,67)</f>
        <v>269</v>
      </c>
      <c r="O29" s="5">
        <f>VLOOKUP($B29,'Data Vlaue (Cr)'!$C:$FB,68)</f>
        <v>127</v>
      </c>
      <c r="P29" s="5">
        <f t="shared" si="8"/>
        <v>52.788104089219331</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Finance</v>
      </c>
      <c r="B30" s="79" t="str">
        <f>'Data shares'!C25</f>
        <v>BAJFINANCE</v>
      </c>
      <c r="C30" s="4">
        <f>VLOOKUP($B30,'Data shares'!$C:$FB,7)</f>
        <v>980.75</v>
      </c>
      <c r="D30" s="82">
        <f>VLOOKUP($B30,'Data shares'!$C:$FB,98)</f>
        <v>99669000</v>
      </c>
      <c r="E30" s="165">
        <f>VLOOKUP(B30,'Snapshot (Volume)'!$A$7:$G$168,7,0)</f>
        <v>100261500</v>
      </c>
      <c r="F30" s="165">
        <f t="shared" si="5"/>
        <v>-592500</v>
      </c>
      <c r="G30" s="166">
        <f t="shared" si="6"/>
        <v>-5.9095465358088599E-3</v>
      </c>
      <c r="H30" s="165">
        <f>VLOOKUP($B30,'Data shares'!$C:$FB,66)</f>
        <v>68886750</v>
      </c>
      <c r="I30" s="165">
        <f>VLOOKUP($B30,'Data shares'!$C:$FB,67)</f>
        <v>42948000</v>
      </c>
      <c r="J30" s="81">
        <f t="shared" si="7"/>
        <v>60.395711092483936</v>
      </c>
      <c r="K30" s="5">
        <f>VLOOKUP($B30,'Data Vlaue (Cr)'!$C:$FB,99)</f>
        <v>9822</v>
      </c>
      <c r="L30" s="81">
        <f>VLOOKUP(B30,'OI(Value)'!$A$7:$C$232,3,0)</f>
        <v>-58</v>
      </c>
      <c r="M30" s="33">
        <f t="shared" si="0"/>
        <v>-0.59051109753614339</v>
      </c>
      <c r="N30" s="5">
        <f>VLOOKUP($B30,'Data Vlaue (Cr)'!$C:$FB,67)</f>
        <v>6788</v>
      </c>
      <c r="O30" s="5">
        <f>VLOOKUP($B30,'Data Vlaue (Cr)'!$C:$FB,68)</f>
        <v>4232</v>
      </c>
      <c r="P30" s="5">
        <f t="shared" si="8"/>
        <v>37.654684737772541</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BANDHANBNK</v>
      </c>
      <c r="C31" s="4">
        <f>VLOOKUP($B31,'Data shares'!$C:$FB,7)</f>
        <v>208.88</v>
      </c>
      <c r="D31" s="82">
        <f>VLOOKUP($B31,'Data shares'!$C:$FB,98)</f>
        <v>174394800</v>
      </c>
      <c r="E31" s="165">
        <f>VLOOKUP(B31,'Snapshot (Volume)'!$A$7:$G$168,7,0)</f>
        <v>176202000</v>
      </c>
      <c r="F31" s="165">
        <f t="shared" si="5"/>
        <v>-1807200</v>
      </c>
      <c r="G31" s="166">
        <f t="shared" si="6"/>
        <v>-1.0256410256410256E-2</v>
      </c>
      <c r="H31" s="165">
        <f>VLOOKUP($B31,'Data shares'!$C:$FB,66)</f>
        <v>83340000</v>
      </c>
      <c r="I31" s="165">
        <f>VLOOKUP($B31,'Data shares'!$C:$FB,67)</f>
        <v>87631200</v>
      </c>
      <c r="J31" s="81">
        <f t="shared" si="7"/>
        <v>-4.8968860405882841</v>
      </c>
      <c r="K31" s="5">
        <f>VLOOKUP($B31,'Data Vlaue (Cr)'!$C:$FB,99)</f>
        <v>3668</v>
      </c>
      <c r="L31" s="81">
        <f>VLOOKUP(B31,'OI(Value)'!$A$7:$C$232,3,0)</f>
        <v>-38</v>
      </c>
      <c r="M31" s="33">
        <f t="shared" si="0"/>
        <v>-1.0359869138495092</v>
      </c>
      <c r="N31" s="5">
        <f>VLOOKUP($B31,'Data Vlaue (Cr)'!$C:$FB,67)</f>
        <v>1753</v>
      </c>
      <c r="O31" s="5">
        <f>VLOOKUP($B31,'Data Vlaue (Cr)'!$C:$FB,68)</f>
        <v>1843</v>
      </c>
      <c r="P31" s="5">
        <f t="shared" si="8"/>
        <v>-5.1340559041642901</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BANKBARODA</v>
      </c>
      <c r="C32" s="4">
        <f>VLOOKUP($B32,'Data shares'!$C:$FB,7)</f>
        <v>270.3</v>
      </c>
      <c r="D32" s="82">
        <f>VLOOKUP($B32,'Data shares'!$C:$FB,98)</f>
        <v>176330700</v>
      </c>
      <c r="E32" s="165">
        <f>VLOOKUP(B32,'Snapshot (Volume)'!$A$7:$G$168,7,0)</f>
        <v>174836025</v>
      </c>
      <c r="F32" s="165">
        <f t="shared" si="5"/>
        <v>1494675</v>
      </c>
      <c r="G32" s="166">
        <f t="shared" si="6"/>
        <v>8.5490104227661321E-3</v>
      </c>
      <c r="H32" s="165">
        <f>VLOOKUP($B32,'Data shares'!$C:$FB,66)</f>
        <v>89756550</v>
      </c>
      <c r="I32" s="165">
        <f>VLOOKUP($B32,'Data shares'!$C:$FB,67)</f>
        <v>33976800</v>
      </c>
      <c r="J32" s="81">
        <f t="shared" si="7"/>
        <v>164.17011019283748</v>
      </c>
      <c r="K32" s="5">
        <f>VLOOKUP($B32,'Data Vlaue (Cr)'!$C:$FB,99)</f>
        <v>4803</v>
      </c>
      <c r="L32" s="81">
        <f>VLOOKUP(B32,'OI(Value)'!$A$7:$C$232,3,0)</f>
        <v>41</v>
      </c>
      <c r="M32" s="33">
        <f t="shared" si="0"/>
        <v>0.85363314595044759</v>
      </c>
      <c r="N32" s="5">
        <f>VLOOKUP($B32,'Data Vlaue (Cr)'!$C:$FB,67)</f>
        <v>2445</v>
      </c>
      <c r="O32" s="5">
        <f>VLOOKUP($B32,'Data Vlaue (Cr)'!$C:$FB,68)</f>
        <v>926</v>
      </c>
      <c r="P32" s="5">
        <f t="shared" si="8"/>
        <v>62.126789366053167</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Banking</v>
      </c>
      <c r="B33" s="79" t="str">
        <f>'Data shares'!C28</f>
        <v>BANKINDIA</v>
      </c>
      <c r="C33" s="4">
        <f>VLOOKUP($B33,'Data shares'!$C:$FB,7)</f>
        <v>142.34</v>
      </c>
      <c r="D33" s="82">
        <f>VLOOKUP($B33,'Data shares'!$C:$FB,98)</f>
        <v>96049200</v>
      </c>
      <c r="E33" s="165">
        <f>VLOOKUP(B33,'Snapshot (Volume)'!$A$7:$G$168,7,0)</f>
        <v>90537200</v>
      </c>
      <c r="F33" s="165">
        <f t="shared" si="5"/>
        <v>5512000</v>
      </c>
      <c r="G33" s="166">
        <f t="shared" si="6"/>
        <v>6.0881052208374017E-2</v>
      </c>
      <c r="H33" s="165">
        <f>VLOOKUP($B33,'Data shares'!$C:$FB,66)</f>
        <v>60756800</v>
      </c>
      <c r="I33" s="165">
        <f>VLOOKUP($B33,'Data shares'!$C:$FB,67)</f>
        <v>30019600</v>
      </c>
      <c r="J33" s="81">
        <f t="shared" si="7"/>
        <v>102.39043824701196</v>
      </c>
      <c r="K33" s="5">
        <f>VLOOKUP($B33,'Data Vlaue (Cr)'!$C:$FB,99)</f>
        <v>1378</v>
      </c>
      <c r="L33" s="81">
        <f>VLOOKUP(B33,'OI(Value)'!$A$7:$C$232,3,0)</f>
        <v>79</v>
      </c>
      <c r="M33" s="33">
        <f t="shared" si="0"/>
        <v>5.732946298984035</v>
      </c>
      <c r="N33" s="5">
        <f>VLOOKUP($B33,'Data Vlaue (Cr)'!$C:$FB,67)</f>
        <v>871</v>
      </c>
      <c r="O33" s="5">
        <f>VLOOKUP($B33,'Data Vlaue (Cr)'!$C:$FB,68)</f>
        <v>431</v>
      </c>
      <c r="P33" s="5">
        <f t="shared" si="8"/>
        <v>50.5166475315729</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Index</v>
      </c>
      <c r="B34" s="79" t="str">
        <f>'Data shares'!C29</f>
        <v>BANKNIFTY</v>
      </c>
      <c r="C34" s="4">
        <f>VLOOKUP($B34,'Data shares'!$C:$FB,7)</f>
        <v>55981.05</v>
      </c>
      <c r="D34" s="82">
        <f>VLOOKUP($B34,'Data shares'!$C:$FB,98)</f>
        <v>29357460</v>
      </c>
      <c r="E34" s="165">
        <f>VLOOKUP(B34,'Snapshot (Volume)'!$A$7:$G$168,7,0)</f>
        <v>29146020</v>
      </c>
      <c r="F34" s="165">
        <f t="shared" si="5"/>
        <v>211440</v>
      </c>
      <c r="G34" s="166">
        <f t="shared" si="6"/>
        <v>7.2545067902924651E-3</v>
      </c>
      <c r="H34" s="165">
        <f>VLOOKUP($B34,'Data shares'!$C:$FB,66)</f>
        <v>88906590</v>
      </c>
      <c r="I34" s="165">
        <f>VLOOKUP($B34,'Data shares'!$C:$FB,67)</f>
        <v>53183400</v>
      </c>
      <c r="J34" s="81">
        <f t="shared" si="7"/>
        <v>67.169812385067516</v>
      </c>
      <c r="K34" s="5">
        <f>VLOOKUP($B34,'Data Vlaue (Cr)'!$C:$FB,99)</f>
        <v>165425</v>
      </c>
      <c r="L34" s="81">
        <f>VLOOKUP(B34,'OI(Value)'!$A$7:$C$232,3,0)</f>
        <v>1191</v>
      </c>
      <c r="M34" s="33">
        <f t="shared" si="0"/>
        <v>0.71996372978691248</v>
      </c>
      <c r="N34" s="5">
        <f>VLOOKUP($B34,'Data Vlaue (Cr)'!$C:$FB,67)</f>
        <v>500976</v>
      </c>
      <c r="O34" s="5">
        <f>VLOOKUP($B34,'Data Vlaue (Cr)'!$C:$FB,68)</f>
        <v>299681</v>
      </c>
      <c r="P34" s="5">
        <f t="shared" si="8"/>
        <v>40.180567532177193</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BDL</v>
      </c>
      <c r="C35" s="4">
        <f>VLOOKUP($B35,'Data shares'!$C:$FB,7)</f>
        <v>1401.5</v>
      </c>
      <c r="D35" s="82">
        <f>VLOOKUP($B35,'Data shares'!$C:$FB,98)</f>
        <v>7265650</v>
      </c>
      <c r="E35" s="165">
        <f>VLOOKUP(B35,'Snapshot (Volume)'!$A$7:$G$168,7,0)</f>
        <v>6725100</v>
      </c>
      <c r="F35" s="165">
        <f t="shared" si="5"/>
        <v>540550</v>
      </c>
      <c r="G35" s="166">
        <f t="shared" si="6"/>
        <v>8.0377986944432059E-2</v>
      </c>
      <c r="H35" s="165">
        <f>VLOOKUP($B35,'Data shares'!$C:$FB,66)</f>
        <v>4702950</v>
      </c>
      <c r="I35" s="165">
        <f>VLOOKUP($B35,'Data shares'!$C:$FB,67)</f>
        <v>4366250</v>
      </c>
      <c r="J35" s="81">
        <f t="shared" si="7"/>
        <v>7.7114228456913834</v>
      </c>
      <c r="K35" s="5">
        <f>VLOOKUP($B35,'Data Vlaue (Cr)'!$C:$FB,99)</f>
        <v>1019</v>
      </c>
      <c r="L35" s="81">
        <f>VLOOKUP(B35,'OI(Value)'!$A$7:$C$232,3,0)</f>
        <v>76</v>
      </c>
      <c r="M35" s="33">
        <f t="shared" si="0"/>
        <v>7.4582924435721303</v>
      </c>
      <c r="N35" s="5">
        <f>VLOOKUP($B35,'Data Vlaue (Cr)'!$C:$FB,67)</f>
        <v>659</v>
      </c>
      <c r="O35" s="5">
        <f>VLOOKUP($B35,'Data Vlaue (Cr)'!$C:$FB,68)</f>
        <v>612</v>
      </c>
      <c r="P35" s="5">
        <f t="shared" si="8"/>
        <v>7.1320182094081943</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Capital_Goods</v>
      </c>
      <c r="B36" s="79" t="str">
        <f>'Data shares'!C31</f>
        <v>BEL</v>
      </c>
      <c r="C36" s="4">
        <f>VLOOKUP($B36,'Data shares'!$C:$FB,7)</f>
        <v>438.2</v>
      </c>
      <c r="D36" s="82">
        <f>VLOOKUP($B36,'Data shares'!$C:$FB,98)</f>
        <v>186898725</v>
      </c>
      <c r="E36" s="165">
        <f>VLOOKUP(B36,'Snapshot (Volume)'!$A$7:$G$168,7,0)</f>
        <v>183216525</v>
      </c>
      <c r="F36" s="165">
        <f t="shared" si="5"/>
        <v>3682200</v>
      </c>
      <c r="G36" s="166">
        <f t="shared" si="6"/>
        <v>2.0097532141273827E-2</v>
      </c>
      <c r="H36" s="165">
        <f>VLOOKUP($B36,'Data shares'!$C:$FB,66)</f>
        <v>68940075</v>
      </c>
      <c r="I36" s="165">
        <f>VLOOKUP($B36,'Data shares'!$C:$FB,67)</f>
        <v>55347000</v>
      </c>
      <c r="J36" s="81">
        <f t="shared" si="7"/>
        <v>24.559732234809477</v>
      </c>
      <c r="K36" s="5">
        <f>VLOOKUP($B36,'Data Vlaue (Cr)'!$C:$FB,99)</f>
        <v>8223</v>
      </c>
      <c r="L36" s="81">
        <f>VLOOKUP(B36,'OI(Value)'!$A$7:$C$232,3,0)</f>
        <v>162</v>
      </c>
      <c r="M36" s="33">
        <f t="shared" si="0"/>
        <v>1.9700839109813937</v>
      </c>
      <c r="N36" s="5">
        <f>VLOOKUP($B36,'Data Vlaue (Cr)'!$C:$FB,67)</f>
        <v>3033</v>
      </c>
      <c r="O36" s="5">
        <f>VLOOKUP($B36,'Data Vlaue (Cr)'!$C:$FB,68)</f>
        <v>2435</v>
      </c>
      <c r="P36" s="5">
        <f t="shared" si="8"/>
        <v>19.716452357401913</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Automobile</v>
      </c>
      <c r="B37" s="79" t="str">
        <f>'Data shares'!C32</f>
        <v>BHARATFORG</v>
      </c>
      <c r="C37" s="4">
        <f>VLOOKUP($B37,'Data shares'!$C:$FB,7)</f>
        <v>1873.8</v>
      </c>
      <c r="D37" s="82">
        <f>VLOOKUP($B37,'Data shares'!$C:$FB,98)</f>
        <v>12563000</v>
      </c>
      <c r="E37" s="165">
        <f>VLOOKUP(B37,'Snapshot (Volume)'!$A$7:$G$168,7,0)</f>
        <v>11694500</v>
      </c>
      <c r="F37" s="165">
        <f t="shared" ref="F37:F43" si="9">D37-E37</f>
        <v>868500</v>
      </c>
      <c r="G37" s="166">
        <f t="shared" ref="G37:G43" si="10">F37/E37</f>
        <v>7.4265680448073884E-2</v>
      </c>
      <c r="H37" s="165">
        <f>VLOOKUP($B37,'Data shares'!$C:$FB,66)</f>
        <v>14445000</v>
      </c>
      <c r="I37" s="165">
        <f>VLOOKUP($B37,'Data shares'!$C:$FB,67)</f>
        <v>9576500</v>
      </c>
      <c r="J37" s="81">
        <f t="shared" ref="J37:J43" si="11">(H37-I37)/I37*100</f>
        <v>50.837988826815639</v>
      </c>
      <c r="K37" s="5">
        <f>VLOOKUP($B37,'Data Vlaue (Cr)'!$C:$FB,99)</f>
        <v>2367</v>
      </c>
      <c r="L37" s="81">
        <f>VLOOKUP(B37,'OI(Value)'!$A$7:$C$232,3,0)</f>
        <v>164</v>
      </c>
      <c r="M37" s="33">
        <f t="shared" ref="M37:M65" si="12">L37/K37*100</f>
        <v>6.9286016054076889</v>
      </c>
      <c r="N37" s="5">
        <f>VLOOKUP($B37,'Data Vlaue (Cr)'!$C:$FB,67)</f>
        <v>2721</v>
      </c>
      <c r="O37" s="5">
        <f>VLOOKUP($B37,'Data Vlaue (Cr)'!$C:$FB,68)</f>
        <v>1804</v>
      </c>
      <c r="P37" s="5">
        <f t="shared" ref="P37:P43" si="13">(N37-O37)/N37*100</f>
        <v>33.700845277471522</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Telecom</v>
      </c>
      <c r="B38" s="79" t="str">
        <f>'Data shares'!C33</f>
        <v>BHARTIARTL</v>
      </c>
      <c r="C38" s="4">
        <f>VLOOKUP($B38,'Data shares'!$C:$FB,7)</f>
        <v>1833.7</v>
      </c>
      <c r="D38" s="82">
        <f>VLOOKUP($B38,'Data shares'!$C:$FB,98)</f>
        <v>81774100</v>
      </c>
      <c r="E38" s="165">
        <f>VLOOKUP(B38,'Snapshot (Volume)'!$A$7:$G$168,7,0)</f>
        <v>81518075</v>
      </c>
      <c r="F38" s="165">
        <f t="shared" si="9"/>
        <v>256025</v>
      </c>
      <c r="G38" s="166">
        <f t="shared" si="10"/>
        <v>3.1407144979809691E-3</v>
      </c>
      <c r="H38" s="165">
        <f>VLOOKUP($B38,'Data shares'!$C:$FB,66)</f>
        <v>31787950</v>
      </c>
      <c r="I38" s="165">
        <f>VLOOKUP($B38,'Data shares'!$C:$FB,67)</f>
        <v>41216700</v>
      </c>
      <c r="J38" s="81">
        <f t="shared" si="11"/>
        <v>-22.876042963167841</v>
      </c>
      <c r="K38" s="5">
        <f>VLOOKUP($B38,'Data Vlaue (Cr)'!$C:$FB,99)</f>
        <v>15079</v>
      </c>
      <c r="L38" s="81">
        <f>VLOOKUP(B38,'OI(Value)'!$A$7:$C$232,3,0)</f>
        <v>47</v>
      </c>
      <c r="M38" s="33">
        <f t="shared" si="12"/>
        <v>0.31169175674779492</v>
      </c>
      <c r="N38" s="5">
        <f>VLOOKUP($B38,'Data Vlaue (Cr)'!$C:$FB,67)</f>
        <v>5862</v>
      </c>
      <c r="O38" s="5">
        <f>VLOOKUP($B38,'Data Vlaue (Cr)'!$C:$FB,68)</f>
        <v>7600</v>
      </c>
      <c r="P38" s="5">
        <f t="shared" si="13"/>
        <v>-29.648584100989421</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BHEL</v>
      </c>
      <c r="C39" s="4">
        <f>VLOOKUP($B39,'Data shares'!$C:$FB,7)</f>
        <v>385.95</v>
      </c>
      <c r="D39" s="82">
        <f>VLOOKUP($B39,'Data shares'!$C:$FB,98)</f>
        <v>233331000</v>
      </c>
      <c r="E39" s="165">
        <f>VLOOKUP(B39,'Snapshot (Volume)'!$A$7:$G$168,7,0)</f>
        <v>230758500</v>
      </c>
      <c r="F39" s="165">
        <f t="shared" si="9"/>
        <v>2572500</v>
      </c>
      <c r="G39" s="166">
        <f t="shared" si="10"/>
        <v>1.1148018382854803E-2</v>
      </c>
      <c r="H39" s="165">
        <f>VLOOKUP($B39,'Data shares'!$C:$FB,66)</f>
        <v>196683375</v>
      </c>
      <c r="I39" s="165">
        <f>VLOOKUP($B39,'Data shares'!$C:$FB,67)</f>
        <v>238959000</v>
      </c>
      <c r="J39" s="81">
        <f t="shared" si="11"/>
        <v>-17.691580982511645</v>
      </c>
      <c r="K39" s="5">
        <f>VLOOKUP($B39,'Data Vlaue (Cr)'!$C:$FB,99)</f>
        <v>9045</v>
      </c>
      <c r="L39" s="81">
        <f>VLOOKUP(B39,'OI(Value)'!$A$7:$C$232,3,0)</f>
        <v>100</v>
      </c>
      <c r="M39" s="33">
        <f t="shared" si="12"/>
        <v>1.105583195135434</v>
      </c>
      <c r="N39" s="5">
        <f>VLOOKUP($B39,'Data Vlaue (Cr)'!$C:$FB,67)</f>
        <v>7624</v>
      </c>
      <c r="O39" s="5">
        <f>VLOOKUP($B39,'Data Vlaue (Cr)'!$C:$FB,68)</f>
        <v>9263</v>
      </c>
      <c r="P39" s="5">
        <f t="shared" si="13"/>
        <v>-21.497901364113325</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Pharma</v>
      </c>
      <c r="B40" s="79" t="str">
        <f>'Data shares'!C35</f>
        <v>BIOCON</v>
      </c>
      <c r="C40" s="4">
        <f>VLOOKUP($B40,'Data shares'!$C:$FB,7)</f>
        <v>380.6</v>
      </c>
      <c r="D40" s="82">
        <f>VLOOKUP($B40,'Data shares'!$C:$FB,98)</f>
        <v>58927500</v>
      </c>
      <c r="E40" s="165">
        <f>VLOOKUP(B40,'Snapshot (Volume)'!$A$7:$G$168,7,0)</f>
        <v>65217500</v>
      </c>
      <c r="F40" s="165">
        <f t="shared" si="9"/>
        <v>-6290000</v>
      </c>
      <c r="G40" s="166">
        <f t="shared" si="10"/>
        <v>-9.6446505922490128E-2</v>
      </c>
      <c r="H40" s="165">
        <f>VLOOKUP($B40,'Data shares'!$C:$FB,66)</f>
        <v>92277500</v>
      </c>
      <c r="I40" s="165">
        <f>VLOOKUP($B40,'Data shares'!$C:$FB,67)</f>
        <v>42407500</v>
      </c>
      <c r="J40" s="81">
        <f t="shared" si="11"/>
        <v>117.59712315038612</v>
      </c>
      <c r="K40" s="5">
        <f>VLOOKUP($B40,'Data Vlaue (Cr)'!$C:$FB,99)</f>
        <v>2252</v>
      </c>
      <c r="L40" s="81">
        <f>VLOOKUP(B40,'OI(Value)'!$A$7:$C$232,3,0)</f>
        <v>-240</v>
      </c>
      <c r="M40" s="33">
        <f t="shared" si="12"/>
        <v>-10.657193605683837</v>
      </c>
      <c r="N40" s="5">
        <f>VLOOKUP($B40,'Data Vlaue (Cr)'!$C:$FB,67)</f>
        <v>3526</v>
      </c>
      <c r="O40" s="5">
        <f>VLOOKUP($B40,'Data Vlaue (Cr)'!$C:$FB,68)</f>
        <v>1621</v>
      </c>
      <c r="P40" s="5">
        <f t="shared" si="13"/>
        <v>54.027226318774815</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Capital_Goods</v>
      </c>
      <c r="B41" s="79" t="str">
        <f>'Data shares'!C36</f>
        <v>BLUESTARCO</v>
      </c>
      <c r="C41" s="4">
        <f>VLOOKUP($B41,'Data shares'!$C:$FB,7)</f>
        <v>1806.6</v>
      </c>
      <c r="D41" s="82">
        <f>VLOOKUP($B41,'Data shares'!$C:$FB,98)</f>
        <v>5529225</v>
      </c>
      <c r="E41" s="165">
        <f>VLOOKUP(B41,'Snapshot (Volume)'!$A$7:$G$168,7,0)</f>
        <v>4617600</v>
      </c>
      <c r="F41" s="165">
        <f t="shared" si="9"/>
        <v>911625</v>
      </c>
      <c r="G41" s="166">
        <f t="shared" si="10"/>
        <v>0.19742398648648649</v>
      </c>
      <c r="H41" s="165">
        <f>VLOOKUP($B41,'Data shares'!$C:$FB,66)</f>
        <v>5066750</v>
      </c>
      <c r="I41" s="165">
        <f>VLOOKUP($B41,'Data shares'!$C:$FB,67)</f>
        <v>1982175</v>
      </c>
      <c r="J41" s="81">
        <f t="shared" si="11"/>
        <v>155.61567470077063</v>
      </c>
      <c r="K41" s="5">
        <f>VLOOKUP($B41,'Data Vlaue (Cr)'!$C:$FB,99)</f>
        <v>1002</v>
      </c>
      <c r="L41" s="81">
        <f>VLOOKUP(B41,'OI(Value)'!$A$7:$C$232,3,0)</f>
        <v>165</v>
      </c>
      <c r="M41" s="33">
        <f t="shared" si="12"/>
        <v>16.467065868263472</v>
      </c>
      <c r="N41" s="5">
        <f>VLOOKUP($B41,'Data Vlaue (Cr)'!$C:$FB,67)</f>
        <v>918</v>
      </c>
      <c r="O41" s="5">
        <f>VLOOKUP($B41,'Data Vlaue (Cr)'!$C:$FB,68)</f>
        <v>359</v>
      </c>
      <c r="P41" s="5">
        <f t="shared" si="13"/>
        <v>60.893246187363836</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Automobile</v>
      </c>
      <c r="B42" s="79" t="str">
        <f>'Data shares'!C37</f>
        <v>BOSCHLTD</v>
      </c>
      <c r="C42" s="4">
        <f>VLOOKUP($B42,'Data shares'!$C:$FB,7)</f>
        <v>36645</v>
      </c>
      <c r="D42" s="82">
        <f>VLOOKUP($B42,'Data shares'!$C:$FB,98)</f>
        <v>347450</v>
      </c>
      <c r="E42" s="165">
        <f>VLOOKUP(B42,'Snapshot (Volume)'!$A$7:$G$168,7,0)</f>
        <v>337325</v>
      </c>
      <c r="F42" s="165">
        <f t="shared" si="9"/>
        <v>10125</v>
      </c>
      <c r="G42" s="166">
        <f t="shared" si="10"/>
        <v>3.0015563625583636E-2</v>
      </c>
      <c r="H42" s="165">
        <f>VLOOKUP($B42,'Data shares'!$C:$FB,66)</f>
        <v>91375</v>
      </c>
      <c r="I42" s="165">
        <f>VLOOKUP($B42,'Data shares'!$C:$FB,67)</f>
        <v>64025</v>
      </c>
      <c r="J42" s="81">
        <f t="shared" si="11"/>
        <v>42.717688402967589</v>
      </c>
      <c r="K42" s="5">
        <f>VLOOKUP($B42,'Data Vlaue (Cr)'!$C:$FB,99)</f>
        <v>1283</v>
      </c>
      <c r="L42" s="81">
        <f>VLOOKUP(B42,'OI(Value)'!$A$7:$C$232,3,0)</f>
        <v>37</v>
      </c>
      <c r="M42" s="33">
        <f t="shared" si="12"/>
        <v>2.8838659392049886</v>
      </c>
      <c r="N42" s="5">
        <f>VLOOKUP($B42,'Data Vlaue (Cr)'!$C:$FB,67)</f>
        <v>337</v>
      </c>
      <c r="O42" s="5">
        <f>VLOOKUP($B42,'Data Vlaue (Cr)'!$C:$FB,68)</f>
        <v>236</v>
      </c>
      <c r="P42" s="5">
        <f t="shared" si="13"/>
        <v>29.970326409495552</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Oil_Gas</v>
      </c>
      <c r="B43" s="79" t="str">
        <f>'Data shares'!C38</f>
        <v>BPCL</v>
      </c>
      <c r="C43" s="4">
        <f>VLOOKUP($B43,'Data shares'!$C:$FB,7)</f>
        <v>314.05</v>
      </c>
      <c r="D43" s="82">
        <f>VLOOKUP($B43,'Data shares'!$C:$FB,98)</f>
        <v>94900725</v>
      </c>
      <c r="E43" s="165">
        <f>VLOOKUP(B43,'Snapshot (Volume)'!$A$7:$G$168,7,0)</f>
        <v>92491225</v>
      </c>
      <c r="F43" s="165">
        <f t="shared" si="9"/>
        <v>2409500</v>
      </c>
      <c r="G43" s="166">
        <f t="shared" si="10"/>
        <v>2.605111998462557E-2</v>
      </c>
      <c r="H43" s="165">
        <f>VLOOKUP($B43,'Data shares'!$C:$FB,66)</f>
        <v>91422750</v>
      </c>
      <c r="I43" s="165">
        <f>VLOOKUP($B43,'Data shares'!$C:$FB,67)</f>
        <v>43657375</v>
      </c>
      <c r="J43" s="81">
        <f t="shared" si="11"/>
        <v>109.40963582899796</v>
      </c>
      <c r="K43" s="5">
        <f>VLOOKUP($B43,'Data Vlaue (Cr)'!$C:$FB,99)</f>
        <v>3000</v>
      </c>
      <c r="L43" s="81">
        <f>VLOOKUP(B43,'OI(Value)'!$A$7:$C$232,3,0)</f>
        <v>76</v>
      </c>
      <c r="M43" s="33">
        <f t="shared" si="12"/>
        <v>2.5333333333333332</v>
      </c>
      <c r="N43" s="5">
        <f>VLOOKUP($B43,'Data Vlaue (Cr)'!$C:$FB,67)</f>
        <v>2890</v>
      </c>
      <c r="O43" s="5">
        <f>VLOOKUP($B43,'Data Vlaue (Cr)'!$C:$FB,68)</f>
        <v>1380</v>
      </c>
      <c r="P43" s="5">
        <f t="shared" si="13"/>
        <v>52.249134948096888</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FMCG</v>
      </c>
      <c r="B44" s="79" t="str">
        <f>'Data shares'!C39</f>
        <v>BRITANNIA</v>
      </c>
      <c r="C44" s="79">
        <f>VLOOKUP($B44,'Data shares'!$C:$FB,7)</f>
        <v>5783</v>
      </c>
      <c r="D44" s="165">
        <f>VLOOKUP($B44,'Data shares'!$C:$FB,98)</f>
        <v>4236375</v>
      </c>
      <c r="E44" s="165">
        <f>VLOOKUP(B44,'Snapshot (Volume)'!$A$7:$G$168,7,0)</f>
        <v>4021875</v>
      </c>
      <c r="F44" s="165">
        <f t="shared" ref="F44:F49" si="14">D44-E44</f>
        <v>214500</v>
      </c>
      <c r="G44" s="166">
        <f t="shared" ref="G44:G49" si="15">F44/E44</f>
        <v>5.3333333333333337E-2</v>
      </c>
      <c r="H44" s="165">
        <f>VLOOKUP($B44,'Data shares'!$C:$FB,66)</f>
        <v>2683250</v>
      </c>
      <c r="I44" s="165">
        <f>VLOOKUP($B44,'Data shares'!$C:$FB,67)</f>
        <v>2567000</v>
      </c>
      <c r="J44" s="81">
        <f t="shared" ref="J44:J49" si="16">(H44-I44)/I44*100</f>
        <v>4.528632645111025</v>
      </c>
      <c r="K44" s="81">
        <f>VLOOKUP($B44,'Data Vlaue (Cr)'!$C:$FB,99)</f>
        <v>2455</v>
      </c>
      <c r="L44" s="81">
        <f>VLOOKUP(B44,'OI(Value)'!$A$7:$C$232,3,0)</f>
        <v>124</v>
      </c>
      <c r="M44" s="81">
        <f t="shared" si="12"/>
        <v>5.0509164969450095</v>
      </c>
      <c r="N44" s="81">
        <f>VLOOKUP($B44,'Data Vlaue (Cr)'!$C:$FB,67)</f>
        <v>1555</v>
      </c>
      <c r="O44" s="81">
        <f>VLOOKUP($B44,'Data Vlaue (Cr)'!$C:$FB,68)</f>
        <v>1488</v>
      </c>
      <c r="P44" s="81">
        <f t="shared" ref="P44:P49" si="17">(N44-O44)/N44*100</f>
        <v>4.3086816720257239</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BSE</v>
      </c>
      <c r="C45" s="4">
        <f>VLOOKUP($B45,'Data shares'!$C:$FB,7)</f>
        <v>3852.1</v>
      </c>
      <c r="D45" s="82">
        <f>VLOOKUP($B45,'Data shares'!$C:$FB,98)</f>
        <v>18932525</v>
      </c>
      <c r="E45" s="165">
        <f>VLOOKUP(B45,'Snapshot (Volume)'!$A$7:$G$168,7,0)</f>
        <v>17283300</v>
      </c>
      <c r="F45" s="165">
        <f t="shared" si="14"/>
        <v>1649225</v>
      </c>
      <c r="G45" s="166">
        <f t="shared" si="15"/>
        <v>9.5423038424374981E-2</v>
      </c>
      <c r="H45" s="165">
        <f>VLOOKUP($B45,'Data shares'!$C:$FB,66)</f>
        <v>23231250</v>
      </c>
      <c r="I45" s="165">
        <f>VLOOKUP($B45,'Data shares'!$C:$FB,67)</f>
        <v>15669750</v>
      </c>
      <c r="J45" s="81">
        <f t="shared" si="16"/>
        <v>48.255396544297135</v>
      </c>
      <c r="K45" s="5">
        <f>VLOOKUP($B45,'Data Vlaue (Cr)'!$C:$FB,99)</f>
        <v>7309</v>
      </c>
      <c r="L45" s="81">
        <f>VLOOKUP(B45,'OI(Value)'!$A$7:$C$232,3,0)</f>
        <v>637</v>
      </c>
      <c r="M45" s="33">
        <f t="shared" si="12"/>
        <v>8.7152825283896558</v>
      </c>
      <c r="N45" s="5">
        <f>VLOOKUP($B45,'Data Vlaue (Cr)'!$C:$FB,67)</f>
        <v>8968</v>
      </c>
      <c r="O45" s="5">
        <f>VLOOKUP($B45,'Data Vlaue (Cr)'!$C:$FB,68)</f>
        <v>6049</v>
      </c>
      <c r="P45" s="5">
        <f t="shared" si="17"/>
        <v>32.549063336306872</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CAMS</v>
      </c>
      <c r="C46" s="4">
        <f>VLOOKUP($B46,'Data shares'!$C:$FB,7)</f>
        <v>815.85</v>
      </c>
      <c r="D46" s="82">
        <f>VLOOKUP($B46,'Data shares'!$C:$FB,98)</f>
        <v>15984075</v>
      </c>
      <c r="E46" s="165">
        <f>VLOOKUP(B46,'Snapshot (Volume)'!$A$7:$G$168,7,0)</f>
        <v>16048725</v>
      </c>
      <c r="F46" s="165">
        <f t="shared" si="14"/>
        <v>-64650</v>
      </c>
      <c r="G46" s="166">
        <f t="shared" si="15"/>
        <v>-4.0283573928770041E-3</v>
      </c>
      <c r="H46" s="165">
        <f>VLOOKUP($B46,'Data shares'!$C:$FB,66)</f>
        <v>28164750</v>
      </c>
      <c r="I46" s="165">
        <f>VLOOKUP($B46,'Data shares'!$C:$FB,67)</f>
        <v>107517750</v>
      </c>
      <c r="J46" s="81">
        <f t="shared" si="16"/>
        <v>-73.80455785207559</v>
      </c>
      <c r="K46" s="5">
        <f>VLOOKUP($B46,'Data Vlaue (Cr)'!$C:$FB,99)</f>
        <v>1302</v>
      </c>
      <c r="L46" s="81">
        <f>VLOOKUP(B46,'OI(Value)'!$A$7:$C$232,3,0)</f>
        <v>-5</v>
      </c>
      <c r="M46" s="33">
        <f t="shared" si="12"/>
        <v>-0.38402457757296465</v>
      </c>
      <c r="N46" s="5">
        <f>VLOOKUP($B46,'Data Vlaue (Cr)'!$C:$FB,67)</f>
        <v>2295</v>
      </c>
      <c r="O46" s="5">
        <f>VLOOKUP($B46,'Data Vlaue (Cr)'!$C:$FB,68)</f>
        <v>8761</v>
      </c>
      <c r="P46" s="5">
        <f t="shared" si="17"/>
        <v>-281.74291938997823</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Banking</v>
      </c>
      <c r="B47" s="79" t="str">
        <f>'Data shares'!C42</f>
        <v>CANBK</v>
      </c>
      <c r="C47" s="4">
        <f>VLOOKUP($B47,'Data shares'!$C:$FB,7)</f>
        <v>138.04</v>
      </c>
      <c r="D47" s="82">
        <f>VLOOKUP($B47,'Data shares'!$C:$FB,98)</f>
        <v>359336250</v>
      </c>
      <c r="E47" s="165">
        <f>VLOOKUP(B47,'Snapshot (Volume)'!$A$7:$G$168,7,0)</f>
        <v>353470500</v>
      </c>
      <c r="F47" s="165">
        <f t="shared" si="14"/>
        <v>5865750</v>
      </c>
      <c r="G47" s="166">
        <f t="shared" si="15"/>
        <v>1.6594737043119583E-2</v>
      </c>
      <c r="H47" s="165">
        <f>VLOOKUP($B47,'Data shares'!$C:$FB,66)</f>
        <v>174129750</v>
      </c>
      <c r="I47" s="165">
        <f>VLOOKUP($B47,'Data shares'!$C:$FB,67)</f>
        <v>86859000</v>
      </c>
      <c r="J47" s="81">
        <f t="shared" si="16"/>
        <v>100.47404414050358</v>
      </c>
      <c r="K47" s="5">
        <f>VLOOKUP($B47,'Data Vlaue (Cr)'!$C:$FB,99)</f>
        <v>4995</v>
      </c>
      <c r="L47" s="81">
        <f>VLOOKUP(B47,'OI(Value)'!$A$7:$C$232,3,0)</f>
        <v>82</v>
      </c>
      <c r="M47" s="33">
        <f t="shared" si="12"/>
        <v>1.6416416416416415</v>
      </c>
      <c r="N47" s="5">
        <f>VLOOKUP($B47,'Data Vlaue (Cr)'!$C:$FB,67)</f>
        <v>2420</v>
      </c>
      <c r="O47" s="5">
        <f>VLOOKUP($B47,'Data Vlaue (Cr)'!$C:$FB,68)</f>
        <v>1207</v>
      </c>
      <c r="P47" s="5">
        <f t="shared" si="17"/>
        <v>50.123966942148755</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CDSL</v>
      </c>
      <c r="C48" s="4">
        <f>VLOOKUP($B48,'Data shares'!$C:$FB,7)</f>
        <v>1282.8</v>
      </c>
      <c r="D48" s="82">
        <f>VLOOKUP($B48,'Data shares'!$C:$FB,98)</f>
        <v>23894400</v>
      </c>
      <c r="E48" s="165">
        <f>VLOOKUP(B48,'Snapshot (Volume)'!$A$7:$G$168,7,0)</f>
        <v>23645500</v>
      </c>
      <c r="F48" s="165">
        <f t="shared" si="14"/>
        <v>248900</v>
      </c>
      <c r="G48" s="166">
        <f t="shared" si="15"/>
        <v>1.0526315789473684E-2</v>
      </c>
      <c r="H48" s="165">
        <f>VLOOKUP($B48,'Data shares'!$C:$FB,66)</f>
        <v>26475075</v>
      </c>
      <c r="I48" s="165">
        <f>VLOOKUP($B48,'Data shares'!$C:$FB,67)</f>
        <v>17308525</v>
      </c>
      <c r="J48" s="81">
        <f t="shared" si="16"/>
        <v>52.959740936908261</v>
      </c>
      <c r="K48" s="5">
        <f>VLOOKUP($B48,'Data Vlaue (Cr)'!$C:$FB,99)</f>
        <v>3079</v>
      </c>
      <c r="L48" s="81">
        <f>VLOOKUP(B48,'OI(Value)'!$A$7:$C$232,3,0)</f>
        <v>32</v>
      </c>
      <c r="M48" s="33">
        <f t="shared" si="12"/>
        <v>1.039298473530367</v>
      </c>
      <c r="N48" s="5">
        <f>VLOOKUP($B48,'Data Vlaue (Cr)'!$C:$FB,67)</f>
        <v>3411</v>
      </c>
      <c r="O48" s="5">
        <f>VLOOKUP($B48,'Data Vlaue (Cr)'!$C:$FB,68)</f>
        <v>2230</v>
      </c>
      <c r="P48" s="5">
        <f t="shared" si="17"/>
        <v>34.623277631193197</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Power</v>
      </c>
      <c r="B49" s="79" t="str">
        <f>'Data shares'!C44</f>
        <v>CGPOWER</v>
      </c>
      <c r="C49" s="4">
        <f>VLOOKUP($B49,'Data shares'!$C:$FB,7)</f>
        <v>828.9</v>
      </c>
      <c r="D49" s="82">
        <f>VLOOKUP($B49,'Data shares'!$C:$FB,98)</f>
        <v>37422950</v>
      </c>
      <c r="E49" s="165">
        <f>VLOOKUP(B49,'Snapshot (Volume)'!$A$7:$G$168,7,0)</f>
        <v>30826950</v>
      </c>
      <c r="F49" s="165">
        <f t="shared" si="14"/>
        <v>6596000</v>
      </c>
      <c r="G49" s="166">
        <f t="shared" si="15"/>
        <v>0.21396862161193372</v>
      </c>
      <c r="H49" s="165">
        <f>VLOOKUP($B49,'Data shares'!$C:$FB,66)</f>
        <v>72995450</v>
      </c>
      <c r="I49" s="165">
        <f>VLOOKUP($B49,'Data shares'!$C:$FB,67)</f>
        <v>26504700</v>
      </c>
      <c r="J49" s="81">
        <f t="shared" si="16"/>
        <v>175.40568276569817</v>
      </c>
      <c r="K49" s="5">
        <f>VLOOKUP($B49,'Data Vlaue (Cr)'!$C:$FB,99)</f>
        <v>3119</v>
      </c>
      <c r="L49" s="81">
        <f>VLOOKUP(B49,'OI(Value)'!$A$7:$C$232,3,0)</f>
        <v>550</v>
      </c>
      <c r="M49" s="33">
        <f t="shared" si="12"/>
        <v>17.633857005450466</v>
      </c>
      <c r="N49" s="5">
        <f>VLOOKUP($B49,'Data Vlaue (Cr)'!$C:$FB,67)</f>
        <v>6083</v>
      </c>
      <c r="O49" s="5">
        <f>VLOOKUP($B49,'Data Vlaue (Cr)'!$C:$FB,68)</f>
        <v>2209</v>
      </c>
      <c r="P49" s="5">
        <f t="shared" si="17"/>
        <v>63.685681407200391</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Finance</v>
      </c>
      <c r="B50" s="79" t="str">
        <f>'Data shares'!C45</f>
        <v>CHOLAFIN</v>
      </c>
      <c r="C50" s="4">
        <f>VLOOKUP($B50,'Data shares'!$C:$FB,7)</f>
        <v>1711.9</v>
      </c>
      <c r="D50" s="82">
        <f>VLOOKUP($B50,'Data shares'!$C:$FB,98)</f>
        <v>24124375</v>
      </c>
      <c r="E50" s="165">
        <f>VLOOKUP(B50,'Snapshot (Volume)'!$A$7:$G$168,7,0)</f>
        <v>23853125</v>
      </c>
      <c r="F50" s="165">
        <f>D50-E50</f>
        <v>271250</v>
      </c>
      <c r="G50" s="166">
        <f>F50/E50</f>
        <v>1.1371675619022664E-2</v>
      </c>
      <c r="H50" s="165">
        <f>VLOOKUP($B50,'Data shares'!$C:$FB,66)</f>
        <v>10986250</v>
      </c>
      <c r="I50" s="165">
        <f>VLOOKUP($B50,'Data shares'!$C:$FB,67)</f>
        <v>10246250</v>
      </c>
      <c r="J50" s="81">
        <f>(H50-I50)/I50*100</f>
        <v>7.2221544467488101</v>
      </c>
      <c r="K50" s="5">
        <f>VLOOKUP($B50,'Data Vlaue (Cr)'!$C:$FB,99)</f>
        <v>4156</v>
      </c>
      <c r="L50" s="81">
        <f>VLOOKUP(B50,'OI(Value)'!$A$7:$C$232,3,0)</f>
        <v>47</v>
      </c>
      <c r="M50" s="33">
        <f t="shared" si="12"/>
        <v>1.1308950914340712</v>
      </c>
      <c r="N50" s="5">
        <f>VLOOKUP($B50,'Data Vlaue (Cr)'!$C:$FB,67)</f>
        <v>1892</v>
      </c>
      <c r="O50" s="5">
        <f>VLOOKUP($B50,'Data Vlaue (Cr)'!$C:$FB,68)</f>
        <v>1765</v>
      </c>
      <c r="P50" s="5">
        <f>(N50-O50)/N50*100</f>
        <v>6.7124735729386886</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Pharma</v>
      </c>
      <c r="B51" s="79" t="str">
        <f>'Data shares'!C46</f>
        <v>CIPLA</v>
      </c>
      <c r="C51" s="4">
        <f>VLOOKUP($B51,'Data shares'!$C:$FB,7)</f>
        <v>1364.4</v>
      </c>
      <c r="D51" s="82">
        <f>VLOOKUP($B51,'Data shares'!$C:$FB,98)</f>
        <v>21913875</v>
      </c>
      <c r="E51" s="165">
        <f>VLOOKUP(B51,'Snapshot (Volume)'!$A$7:$G$168,7,0)</f>
        <v>21572050</v>
      </c>
      <c r="F51" s="165">
        <f>D51-E51</f>
        <v>341825</v>
      </c>
      <c r="G51" s="166">
        <f>F51/E51</f>
        <v>1.5845735569869346E-2</v>
      </c>
      <c r="H51" s="165">
        <f>VLOOKUP($B51,'Data shares'!$C:$FB,66)</f>
        <v>14708250</v>
      </c>
      <c r="I51" s="165">
        <f>VLOOKUP($B51,'Data shares'!$C:$FB,67)</f>
        <v>7026375</v>
      </c>
      <c r="J51" s="81">
        <f>(H51-I51)/I51*100</f>
        <v>109.32913486684102</v>
      </c>
      <c r="K51" s="5">
        <f>VLOOKUP($B51,'Data Vlaue (Cr)'!$C:$FB,99)</f>
        <v>3002</v>
      </c>
      <c r="L51" s="81">
        <f>VLOOKUP(B51,'OI(Value)'!$A$7:$C$232,3,0)</f>
        <v>47</v>
      </c>
      <c r="M51" s="33">
        <f t="shared" si="12"/>
        <v>1.5656229180546302</v>
      </c>
      <c r="N51" s="5">
        <f>VLOOKUP($B51,'Data Vlaue (Cr)'!$C:$FB,67)</f>
        <v>2015</v>
      </c>
      <c r="O51" s="5">
        <f>VLOOKUP($B51,'Data Vlaue (Cr)'!$C:$FB,68)</f>
        <v>963</v>
      </c>
      <c r="P51" s="5">
        <f>(N51-O51)/N51*100</f>
        <v>52.208436724565757</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Metals</v>
      </c>
      <c r="B52" s="79" t="str">
        <f>'Data shares'!C47</f>
        <v>COALINDIA</v>
      </c>
      <c r="C52" s="79">
        <f>VLOOKUP($B52,'Data shares'!$C:$FB,7)</f>
        <v>470.2</v>
      </c>
      <c r="D52" s="80">
        <f>VLOOKUP($B52,'Data shares'!$C:$FB,98)</f>
        <v>100703250</v>
      </c>
      <c r="E52" s="165">
        <f>VLOOKUP(B52,'Snapshot (Volume)'!$A$7:$G$168,7,0)</f>
        <v>98594550</v>
      </c>
      <c r="F52" s="165">
        <f t="shared" ref="F52:F68" si="18">D52-E52</f>
        <v>2108700</v>
      </c>
      <c r="G52" s="166">
        <f t="shared" ref="G52:G68" si="19">F52/E52</f>
        <v>2.138759191050621E-2</v>
      </c>
      <c r="H52" s="165">
        <f>VLOOKUP($B52,'Data shares'!$C:$FB,66)</f>
        <v>73199700</v>
      </c>
      <c r="I52" s="165">
        <f>VLOOKUP($B52,'Data shares'!$C:$FB,67)</f>
        <v>44595900</v>
      </c>
      <c r="J52" s="81">
        <f t="shared" ref="J52:J68" si="20">(H52-I52)/I52*100</f>
        <v>64.139976993400737</v>
      </c>
      <c r="K52" s="81">
        <f>VLOOKUP($B52,'Data Vlaue (Cr)'!$C:$FB,99)</f>
        <v>4746</v>
      </c>
      <c r="L52" s="81">
        <f>VLOOKUP(B52,'OI(Value)'!$A$7:$C$232,3,0)</f>
        <v>99</v>
      </c>
      <c r="M52" s="81">
        <f t="shared" si="12"/>
        <v>2.0859671302149176</v>
      </c>
      <c r="N52" s="81">
        <f>VLOOKUP($B52,'Data Vlaue (Cr)'!$C:$FB,67)</f>
        <v>3450</v>
      </c>
      <c r="O52" s="81">
        <f>VLOOKUP($B52,'Data Vlaue (Cr)'!$C:$FB,68)</f>
        <v>2102</v>
      </c>
      <c r="P52" s="81">
        <f t="shared" ref="P52:P68" si="21">(N52-O52)/N52*100</f>
        <v>39.072463768115945</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COCHINSHIP</v>
      </c>
      <c r="C53" s="4">
        <f>VLOOKUP($B53,'Data shares'!$C:$FB,7)</f>
        <v>1753.1</v>
      </c>
      <c r="D53" s="82">
        <f>VLOOKUP($B53,'Data shares'!$C:$FB,98)</f>
        <v>4730400</v>
      </c>
      <c r="E53" s="165">
        <f>VLOOKUP(B53,'Snapshot (Volume)'!$A$7:$G$168,7,0)</f>
        <v>4578000</v>
      </c>
      <c r="F53" s="165">
        <f t="shared" si="18"/>
        <v>152400</v>
      </c>
      <c r="G53" s="166">
        <f t="shared" si="19"/>
        <v>3.3289646133682828E-2</v>
      </c>
      <c r="H53" s="165">
        <f>VLOOKUP($B53,'Data shares'!$C:$FB,66)</f>
        <v>3762000</v>
      </c>
      <c r="I53" s="165">
        <f>VLOOKUP($B53,'Data shares'!$C:$FB,67)</f>
        <v>1476800</v>
      </c>
      <c r="J53" s="81">
        <f t="shared" si="20"/>
        <v>154.73997833152762</v>
      </c>
      <c r="K53" s="5">
        <f>VLOOKUP($B53,'Data Vlaue (Cr)'!$C:$FB,99)</f>
        <v>832</v>
      </c>
      <c r="L53" s="81">
        <f>VLOOKUP(B53,'OI(Value)'!$A$7:$C$232,3,0)</f>
        <v>27</v>
      </c>
      <c r="M53" s="33">
        <f t="shared" si="12"/>
        <v>3.2451923076923079</v>
      </c>
      <c r="N53" s="5">
        <f>VLOOKUP($B53,'Data Vlaue (Cr)'!$C:$FB,67)</f>
        <v>662</v>
      </c>
      <c r="O53" s="5">
        <f>VLOOKUP($B53,'Data Vlaue (Cr)'!$C:$FB,68)</f>
        <v>260</v>
      </c>
      <c r="P53" s="5">
        <f t="shared" si="21"/>
        <v>60.725075528700913</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Technology</v>
      </c>
      <c r="B54" s="79" t="str">
        <f>'Data shares'!C49</f>
        <v>COFORGE</v>
      </c>
      <c r="C54" s="4">
        <f>VLOOKUP($B54,'Data shares'!$C:$FB,7)</f>
        <v>1280.4000000000001</v>
      </c>
      <c r="D54" s="82">
        <f>VLOOKUP($B54,'Data shares'!$C:$FB,98)</f>
        <v>38215250</v>
      </c>
      <c r="E54" s="165">
        <f>VLOOKUP(B54,'Snapshot (Volume)'!$A$7:$G$168,7,0)</f>
        <v>30824300</v>
      </c>
      <c r="F54" s="165">
        <f t="shared" si="18"/>
        <v>7390950</v>
      </c>
      <c r="G54" s="166">
        <f t="shared" si="19"/>
        <v>0.23977673458926885</v>
      </c>
      <c r="H54" s="165">
        <f>VLOOKUP($B54,'Data shares'!$C:$FB,66)</f>
        <v>134764125</v>
      </c>
      <c r="I54" s="165">
        <f>VLOOKUP($B54,'Data shares'!$C:$FB,67)</f>
        <v>18952125</v>
      </c>
      <c r="J54" s="81">
        <f t="shared" si="20"/>
        <v>611.07659431330262</v>
      </c>
      <c r="K54" s="5">
        <f>VLOOKUP($B54,'Data Vlaue (Cr)'!$C:$FB,99)</f>
        <v>4927</v>
      </c>
      <c r="L54" s="81">
        <f>VLOOKUP(B54,'OI(Value)'!$A$7:$C$232,3,0)</f>
        <v>953</v>
      </c>
      <c r="M54" s="33">
        <f t="shared" si="12"/>
        <v>19.342399025776334</v>
      </c>
      <c r="N54" s="5">
        <f>VLOOKUP($B54,'Data Vlaue (Cr)'!$C:$FB,67)</f>
        <v>17375</v>
      </c>
      <c r="O54" s="5">
        <f>VLOOKUP($B54,'Data Vlaue (Cr)'!$C:$FB,68)</f>
        <v>2443</v>
      </c>
      <c r="P54" s="5">
        <f t="shared" si="21"/>
        <v>85.939568345323735</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FMCG</v>
      </c>
      <c r="B55" s="79" t="str">
        <f>'Data shares'!C50</f>
        <v>COLPAL</v>
      </c>
      <c r="C55" s="4">
        <f>VLOOKUP($B55,'Data shares'!$C:$FB,7)</f>
        <v>2157.1</v>
      </c>
      <c r="D55" s="82">
        <f>VLOOKUP($B55,'Data shares'!$C:$FB,98)</f>
        <v>7244125</v>
      </c>
      <c r="E55" s="165">
        <f>VLOOKUP(B55,'Snapshot (Volume)'!$A$7:$G$168,7,0)</f>
        <v>7160450</v>
      </c>
      <c r="F55" s="165">
        <f t="shared" si="18"/>
        <v>83675</v>
      </c>
      <c r="G55" s="166">
        <f t="shared" si="19"/>
        <v>1.1685718076377881E-2</v>
      </c>
      <c r="H55" s="165">
        <f>VLOOKUP($B55,'Data shares'!$C:$FB,66)</f>
        <v>1910025</v>
      </c>
      <c r="I55" s="165">
        <f>VLOOKUP($B55,'Data shares'!$C:$FB,67)</f>
        <v>2190825</v>
      </c>
      <c r="J55" s="81">
        <f t="shared" si="20"/>
        <v>-12.817089452603472</v>
      </c>
      <c r="K55" s="5">
        <f>VLOOKUP($B55,'Data Vlaue (Cr)'!$C:$FB,99)</f>
        <v>1568</v>
      </c>
      <c r="L55" s="81">
        <f>VLOOKUP(B55,'OI(Value)'!$A$7:$C$232,3,0)</f>
        <v>18</v>
      </c>
      <c r="M55" s="33">
        <f t="shared" si="12"/>
        <v>1.1479591836734695</v>
      </c>
      <c r="N55" s="5">
        <f>VLOOKUP($B55,'Data Vlaue (Cr)'!$C:$FB,67)</f>
        <v>413</v>
      </c>
      <c r="O55" s="5">
        <f>VLOOKUP($B55,'Data Vlaue (Cr)'!$C:$FB,68)</f>
        <v>474</v>
      </c>
      <c r="P55" s="5">
        <f t="shared" si="21"/>
        <v>-14.769975786924938</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Infrastructure</v>
      </c>
      <c r="B56" s="79" t="str">
        <f>'Data shares'!C51</f>
        <v>CONCOR</v>
      </c>
      <c r="C56" s="4">
        <f>VLOOKUP($B56,'Data shares'!$C:$FB,7)</f>
        <v>524.20000000000005</v>
      </c>
      <c r="D56" s="82">
        <f>VLOOKUP($B56,'Data shares'!$C:$FB,98)</f>
        <v>32832500</v>
      </c>
      <c r="E56" s="165">
        <f>VLOOKUP(B56,'Snapshot (Volume)'!$A$7:$G$168,7,0)</f>
        <v>31667500</v>
      </c>
      <c r="F56" s="165">
        <f t="shared" si="18"/>
        <v>1165000</v>
      </c>
      <c r="G56" s="166">
        <f t="shared" si="19"/>
        <v>3.6788505565643011E-2</v>
      </c>
      <c r="H56" s="165">
        <f>VLOOKUP($B56,'Data shares'!$C:$FB,66)</f>
        <v>10140000</v>
      </c>
      <c r="I56" s="165">
        <f>VLOOKUP($B56,'Data shares'!$C:$FB,67)</f>
        <v>5158750</v>
      </c>
      <c r="J56" s="81">
        <f t="shared" si="20"/>
        <v>96.55924400290769</v>
      </c>
      <c r="K56" s="5">
        <f>VLOOKUP($B56,'Data Vlaue (Cr)'!$C:$FB,99)</f>
        <v>1732</v>
      </c>
      <c r="L56" s="81">
        <f>VLOOKUP(B56,'OI(Value)'!$A$7:$C$232,3,0)</f>
        <v>61</v>
      </c>
      <c r="M56" s="33">
        <f t="shared" si="12"/>
        <v>3.521939953810624</v>
      </c>
      <c r="N56" s="5">
        <f>VLOOKUP($B56,'Data Vlaue (Cr)'!$C:$FB,67)</f>
        <v>535</v>
      </c>
      <c r="O56" s="5">
        <f>VLOOKUP($B56,'Data Vlaue (Cr)'!$C:$FB,68)</f>
        <v>272</v>
      </c>
      <c r="P56" s="5">
        <f t="shared" si="21"/>
        <v>49.158878504672899</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Capital_Goods</v>
      </c>
      <c r="B57" s="79" t="str">
        <f>'Data shares'!C52</f>
        <v>CROMPTON</v>
      </c>
      <c r="C57" s="4">
        <f>VLOOKUP($B57,'Data shares'!$C:$FB,7)</f>
        <v>284.05</v>
      </c>
      <c r="D57" s="82">
        <f>VLOOKUP($B57,'Data shares'!$C:$FB,98)</f>
        <v>78033950</v>
      </c>
      <c r="E57" s="165">
        <f>VLOOKUP(B57,'Snapshot (Volume)'!$A$7:$G$168,7,0)</f>
        <v>74693950</v>
      </c>
      <c r="F57" s="165">
        <f t="shared" si="18"/>
        <v>3340000</v>
      </c>
      <c r="G57" s="166">
        <f t="shared" si="19"/>
        <v>4.4715803622649493E-2</v>
      </c>
      <c r="H57" s="165">
        <f>VLOOKUP($B57,'Data shares'!$C:$FB,66)</f>
        <v>57204000</v>
      </c>
      <c r="I57" s="165">
        <f>VLOOKUP($B57,'Data shares'!$C:$FB,67)</f>
        <v>21112200</v>
      </c>
      <c r="J57" s="81">
        <f t="shared" si="20"/>
        <v>170.95234035297128</v>
      </c>
      <c r="K57" s="5">
        <f>VLOOKUP($B57,'Data Vlaue (Cr)'!$C:$FB,99)</f>
        <v>2224</v>
      </c>
      <c r="L57" s="81">
        <f>VLOOKUP(B57,'OI(Value)'!$A$7:$C$232,3,0)</f>
        <v>95</v>
      </c>
      <c r="M57" s="33">
        <f t="shared" si="12"/>
        <v>4.2715827338129495</v>
      </c>
      <c r="N57" s="5">
        <f>VLOOKUP($B57,'Data Vlaue (Cr)'!$C:$FB,67)</f>
        <v>1631</v>
      </c>
      <c r="O57" s="5">
        <f>VLOOKUP($B57,'Data Vlaue (Cr)'!$C:$FB,68)</f>
        <v>602</v>
      </c>
      <c r="P57" s="5">
        <f t="shared" si="21"/>
        <v>63.090128755364802</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Capital_Goods</v>
      </c>
      <c r="B58" s="79" t="str">
        <f>'Data shares'!C53</f>
        <v>CUMMINSIND</v>
      </c>
      <c r="C58" s="4">
        <f>VLOOKUP($B58,'Data shares'!$C:$FB,7)</f>
        <v>5324.5</v>
      </c>
      <c r="D58" s="82">
        <f>VLOOKUP($B58,'Data shares'!$C:$FB,98)</f>
        <v>5178000</v>
      </c>
      <c r="E58" s="165">
        <f>VLOOKUP(B58,'Snapshot (Volume)'!$A$7:$G$168,7,0)</f>
        <v>5102800</v>
      </c>
      <c r="F58" s="165">
        <f t="shared" si="18"/>
        <v>75200</v>
      </c>
      <c r="G58" s="166">
        <f t="shared" si="19"/>
        <v>1.4737007133338559E-2</v>
      </c>
      <c r="H58" s="165">
        <f>VLOOKUP($B58,'Data shares'!$C:$FB,66)</f>
        <v>2774200</v>
      </c>
      <c r="I58" s="165">
        <f>VLOOKUP($B58,'Data shares'!$C:$FB,67)</f>
        <v>1105400</v>
      </c>
      <c r="J58" s="81">
        <f t="shared" si="20"/>
        <v>150.96797539352272</v>
      </c>
      <c r="K58" s="5">
        <f>VLOOKUP($B58,'Data Vlaue (Cr)'!$C:$FB,99)</f>
        <v>2769</v>
      </c>
      <c r="L58" s="81">
        <f>VLOOKUP(B58,'OI(Value)'!$A$7:$C$232,3,0)</f>
        <v>40</v>
      </c>
      <c r="M58" s="33">
        <f t="shared" si="12"/>
        <v>1.444564824846515</v>
      </c>
      <c r="N58" s="5">
        <f>VLOOKUP($B58,'Data Vlaue (Cr)'!$C:$FB,67)</f>
        <v>1484</v>
      </c>
      <c r="O58" s="5">
        <f>VLOOKUP($B58,'Data Vlaue (Cr)'!$C:$FB,68)</f>
        <v>591</v>
      </c>
      <c r="P58" s="5">
        <f t="shared" si="21"/>
        <v>60.17520215633423</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FMCG</v>
      </c>
      <c r="B59" s="79" t="str">
        <f>'Data shares'!C54</f>
        <v>DABUR</v>
      </c>
      <c r="C59" s="4">
        <f>VLOOKUP($B59,'Data shares'!$C:$FB,7)</f>
        <v>466.25</v>
      </c>
      <c r="D59" s="82">
        <f>VLOOKUP($B59,'Data shares'!$C:$FB,98)</f>
        <v>42540000</v>
      </c>
      <c r="E59" s="165">
        <f>VLOOKUP(B59,'Snapshot (Volume)'!$A$7:$G$168,7,0)</f>
        <v>40540000</v>
      </c>
      <c r="F59" s="165">
        <f t="shared" si="18"/>
        <v>2000000</v>
      </c>
      <c r="G59" s="166">
        <f t="shared" si="19"/>
        <v>4.9333991119881598E-2</v>
      </c>
      <c r="H59" s="165">
        <f>VLOOKUP($B59,'Data shares'!$C:$FB,66)</f>
        <v>30672500</v>
      </c>
      <c r="I59" s="165">
        <f>VLOOKUP($B59,'Data shares'!$C:$FB,67)</f>
        <v>30943750</v>
      </c>
      <c r="J59" s="81">
        <f t="shared" si="20"/>
        <v>-0.8765905877600485</v>
      </c>
      <c r="K59" s="5">
        <f>VLOOKUP($B59,'Data Vlaue (Cr)'!$C:$FB,99)</f>
        <v>1992</v>
      </c>
      <c r="L59" s="81">
        <f>VLOOKUP(B59,'OI(Value)'!$A$7:$C$232,3,0)</f>
        <v>94</v>
      </c>
      <c r="M59" s="33">
        <f t="shared" si="12"/>
        <v>4.7188755020080322</v>
      </c>
      <c r="N59" s="5">
        <f>VLOOKUP($B59,'Data Vlaue (Cr)'!$C:$FB,67)</f>
        <v>1437</v>
      </c>
      <c r="O59" s="5">
        <f>VLOOKUP($B59,'Data Vlaue (Cr)'!$C:$FB,68)</f>
        <v>1449</v>
      </c>
      <c r="P59" s="5">
        <f t="shared" si="21"/>
        <v>-0.83507306889352806</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Cement</v>
      </c>
      <c r="B60" s="79" t="str">
        <f>'Data shares'!C55</f>
        <v>DALBHARAT</v>
      </c>
      <c r="C60" s="4">
        <f>VLOOKUP($B60,'Data shares'!$C:$FB,7)</f>
        <v>1974.6</v>
      </c>
      <c r="D60" s="82">
        <f>VLOOKUP($B60,'Data shares'!$C:$FB,98)</f>
        <v>4340050</v>
      </c>
      <c r="E60" s="165">
        <f>VLOOKUP(B60,'Snapshot (Volume)'!$A$7:$G$168,7,0)</f>
        <v>4106375</v>
      </c>
      <c r="F60" s="165">
        <f t="shared" si="18"/>
        <v>233675</v>
      </c>
      <c r="G60" s="166">
        <f t="shared" si="19"/>
        <v>5.6905421448357738E-2</v>
      </c>
      <c r="H60" s="165">
        <f>VLOOKUP($B60,'Data shares'!$C:$FB,66)</f>
        <v>2241525</v>
      </c>
      <c r="I60" s="165">
        <f>VLOOKUP($B60,'Data shares'!$C:$FB,67)</f>
        <v>1677975</v>
      </c>
      <c r="J60" s="81">
        <f t="shared" si="20"/>
        <v>33.585124927367808</v>
      </c>
      <c r="K60" s="5">
        <f>VLOOKUP($B60,'Data Vlaue (Cr)'!$C:$FB,99)</f>
        <v>862</v>
      </c>
      <c r="L60" s="81">
        <f>VLOOKUP(B60,'OI(Value)'!$A$7:$C$232,3,0)</f>
        <v>46</v>
      </c>
      <c r="M60" s="33">
        <f t="shared" si="12"/>
        <v>5.3364269141531322</v>
      </c>
      <c r="N60" s="5">
        <f>VLOOKUP($B60,'Data Vlaue (Cr)'!$C:$FB,67)</f>
        <v>445</v>
      </c>
      <c r="O60" s="5">
        <f>VLOOKUP($B60,'Data Vlaue (Cr)'!$C:$FB,68)</f>
        <v>333</v>
      </c>
      <c r="P60" s="5">
        <f t="shared" si="21"/>
        <v>25.168539325842698</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New_Age</v>
      </c>
      <c r="B61" s="79" t="str">
        <f>'Data shares'!C56</f>
        <v>DELHIVERY</v>
      </c>
      <c r="C61" s="4">
        <f>VLOOKUP($B61,'Data shares'!$C:$FB,7)</f>
        <v>471</v>
      </c>
      <c r="D61" s="82">
        <f>VLOOKUP($B61,'Data shares'!$C:$FB,98)</f>
        <v>40557950</v>
      </c>
      <c r="E61" s="165">
        <f>VLOOKUP(B61,'Snapshot (Volume)'!$A$7:$G$168,7,0)</f>
        <v>41338150</v>
      </c>
      <c r="F61" s="165">
        <f t="shared" si="18"/>
        <v>-780200</v>
      </c>
      <c r="G61" s="166">
        <f t="shared" si="19"/>
        <v>-1.8873607067563497E-2</v>
      </c>
      <c r="H61" s="165">
        <f>VLOOKUP($B61,'Data shares'!$C:$FB,66)</f>
        <v>17932150</v>
      </c>
      <c r="I61" s="165">
        <f>VLOOKUP($B61,'Data shares'!$C:$FB,67)</f>
        <v>41282125</v>
      </c>
      <c r="J61" s="81">
        <f t="shared" si="20"/>
        <v>-56.561950238753454</v>
      </c>
      <c r="K61" s="5">
        <f>VLOOKUP($B61,'Data Vlaue (Cr)'!$C:$FB,99)</f>
        <v>1921</v>
      </c>
      <c r="L61" s="81">
        <f>VLOOKUP(B61,'OI(Value)'!$A$7:$C$232,3,0)</f>
        <v>-37</v>
      </c>
      <c r="M61" s="33">
        <f t="shared" si="12"/>
        <v>-1.9260801665799063</v>
      </c>
      <c r="N61" s="5">
        <f>VLOOKUP($B61,'Data Vlaue (Cr)'!$C:$FB,67)</f>
        <v>849</v>
      </c>
      <c r="O61" s="5">
        <f>VLOOKUP($B61,'Data Vlaue (Cr)'!$C:$FB,68)</f>
        <v>1956</v>
      </c>
      <c r="P61" s="5">
        <f t="shared" si="21"/>
        <v>-130.38869257950529</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Pharma</v>
      </c>
      <c r="B62" s="79" t="str">
        <f>'Data shares'!C57</f>
        <v>DIVISLAB</v>
      </c>
      <c r="C62" s="4">
        <f>VLOOKUP($B62,'Data shares'!$C:$FB,7)</f>
        <v>6702</v>
      </c>
      <c r="D62" s="82">
        <f>VLOOKUP($B62,'Data shares'!$C:$FB,98)</f>
        <v>3598400</v>
      </c>
      <c r="E62" s="165">
        <f>VLOOKUP(B62,'Snapshot (Volume)'!$A$7:$G$168,7,0)</f>
        <v>3494900</v>
      </c>
      <c r="F62" s="165">
        <f t="shared" si="18"/>
        <v>103500</v>
      </c>
      <c r="G62" s="166"/>
      <c r="H62" s="165">
        <f>VLOOKUP($B62,'Data shares'!$C:$FB,66)</f>
        <v>1936500</v>
      </c>
      <c r="I62" s="165">
        <f>VLOOKUP($B62,'Data shares'!$C:$FB,67)</f>
        <v>1332200</v>
      </c>
      <c r="J62" s="81"/>
      <c r="K62" s="5">
        <f>VLOOKUP($B62,'Data Vlaue (Cr)'!$C:$FB,99)</f>
        <v>2425</v>
      </c>
      <c r="L62" s="81">
        <f>VLOOKUP(B62,'OI(Value)'!$A$7:$C$232,3,0)</f>
        <v>70</v>
      </c>
      <c r="M62" s="33"/>
      <c r="N62" s="5">
        <f>VLOOKUP($B62,'Data Vlaue (Cr)'!$C:$FB,67)</f>
        <v>1305</v>
      </c>
      <c r="O62" s="5">
        <f>VLOOKUP($B62,'Data Vlaue (Cr)'!$C:$FB,68)</f>
        <v>898</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Capital_Goods</v>
      </c>
      <c r="B63" s="79" t="str">
        <f>'Data shares'!C58</f>
        <v>DIXON</v>
      </c>
      <c r="C63" s="4">
        <f>VLOOKUP($B63,'Data shares'!$C:$FB,7)</f>
        <v>11299</v>
      </c>
      <c r="D63" s="82">
        <f>VLOOKUP($B63,'Data shares'!$C:$FB,98)</f>
        <v>5347500</v>
      </c>
      <c r="E63" s="165">
        <f>VLOOKUP(B63,'Snapshot (Volume)'!$A$7:$G$168,7,0)</f>
        <v>5155700</v>
      </c>
      <c r="F63" s="165">
        <f t="shared" si="18"/>
        <v>191800</v>
      </c>
      <c r="G63" s="166">
        <f t="shared" si="19"/>
        <v>3.7201543922260799E-2</v>
      </c>
      <c r="H63" s="165">
        <f>VLOOKUP($B63,'Data shares'!$C:$FB,66)</f>
        <v>2038300</v>
      </c>
      <c r="I63" s="165">
        <f>VLOOKUP($B63,'Data shares'!$C:$FB,67)</f>
        <v>3002950</v>
      </c>
      <c r="J63" s="81">
        <f t="shared" si="20"/>
        <v>-32.123411978221419</v>
      </c>
      <c r="K63" s="5">
        <f>VLOOKUP($B63,'Data Vlaue (Cr)'!$C:$FB,99)</f>
        <v>6075</v>
      </c>
      <c r="L63" s="81">
        <f>VLOOKUP(B63,'OI(Value)'!$A$7:$C$232,3,0)</f>
        <v>218</v>
      </c>
      <c r="M63" s="33">
        <f t="shared" si="12"/>
        <v>3.5884773662551437</v>
      </c>
      <c r="N63" s="5">
        <f>VLOOKUP($B63,'Data Vlaue (Cr)'!$C:$FB,67)</f>
        <v>2316</v>
      </c>
      <c r="O63" s="5">
        <f>VLOOKUP($B63,'Data Vlaue (Cr)'!$C:$FB,68)</f>
        <v>3411</v>
      </c>
      <c r="P63" s="5">
        <f t="shared" si="21"/>
        <v>-47.279792746113991</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Realty</v>
      </c>
      <c r="B64" s="79" t="str">
        <f>'Data shares'!C59</f>
        <v>DLF</v>
      </c>
      <c r="C64" s="4">
        <f>VLOOKUP($B64,'Data shares'!$C:$FB,7)</f>
        <v>609.6</v>
      </c>
      <c r="D64" s="82">
        <f>VLOOKUP($B64,'Data shares'!$C:$FB,98)</f>
        <v>59838075</v>
      </c>
      <c r="E64" s="165">
        <f>VLOOKUP(B64,'Snapshot (Volume)'!$A$7:$G$168,7,0)</f>
        <v>59710250</v>
      </c>
      <c r="F64" s="165">
        <f t="shared" si="18"/>
        <v>127825</v>
      </c>
      <c r="G64" s="166">
        <f t="shared" si="19"/>
        <v>2.1407547280408307E-3</v>
      </c>
      <c r="H64" s="165">
        <f>VLOOKUP($B64,'Data shares'!$C:$FB,66)</f>
        <v>20649750</v>
      </c>
      <c r="I64" s="165">
        <f>VLOOKUP($B64,'Data shares'!$C:$FB,67)</f>
        <v>19297575</v>
      </c>
      <c r="J64" s="81">
        <f t="shared" si="20"/>
        <v>7.0069684921551021</v>
      </c>
      <c r="K64" s="5">
        <f>VLOOKUP($B64,'Data Vlaue (Cr)'!$C:$FB,99)</f>
        <v>3674</v>
      </c>
      <c r="L64" s="81">
        <f>VLOOKUP(B64,'OI(Value)'!$A$7:$C$232,3,0)</f>
        <v>8</v>
      </c>
      <c r="M64" s="33">
        <f t="shared" si="12"/>
        <v>0.21774632553075668</v>
      </c>
      <c r="N64" s="5">
        <f>VLOOKUP($B64,'Data Vlaue (Cr)'!$C:$FB,67)</f>
        <v>1268</v>
      </c>
      <c r="O64" s="5">
        <f>VLOOKUP($B64,'Data Vlaue (Cr)'!$C:$FB,68)</f>
        <v>1185</v>
      </c>
      <c r="P64" s="5">
        <f t="shared" si="21"/>
        <v>6.5457413249211349</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New_Age</v>
      </c>
      <c r="B65" s="79" t="str">
        <f>'Data shares'!C60</f>
        <v>DMART</v>
      </c>
      <c r="C65" s="4">
        <f>VLOOKUP($B65,'Data shares'!$C:$FB,7)</f>
        <v>4432.2</v>
      </c>
      <c r="D65" s="82">
        <f>VLOOKUP($B65,'Data shares'!$C:$FB,98)</f>
        <v>6469200</v>
      </c>
      <c r="E65" s="165">
        <f>VLOOKUP(B65,'Snapshot (Volume)'!$A$7:$G$168,7,0)</f>
        <v>6770700</v>
      </c>
      <c r="F65" s="165">
        <f t="shared" si="18"/>
        <v>-301500</v>
      </c>
      <c r="G65" s="166">
        <f t="shared" si="19"/>
        <v>-4.4530107669812573E-2</v>
      </c>
      <c r="H65" s="165">
        <f>VLOOKUP($B65,'Data shares'!$C:$FB,66)</f>
        <v>4987650</v>
      </c>
      <c r="I65" s="165">
        <f>VLOOKUP($B65,'Data shares'!$C:$FB,67)</f>
        <v>5492100</v>
      </c>
      <c r="J65" s="81">
        <f t="shared" si="20"/>
        <v>-9.1850111979024422</v>
      </c>
      <c r="K65" s="5">
        <f>VLOOKUP($B65,'Data Vlaue (Cr)'!$C:$FB,99)</f>
        <v>2868</v>
      </c>
      <c r="L65" s="81">
        <f>VLOOKUP(B65,'OI(Value)'!$A$7:$C$232,3,0)</f>
        <v>-134</v>
      </c>
      <c r="M65" s="33">
        <f t="shared" si="12"/>
        <v>-4.6722454672245464</v>
      </c>
      <c r="N65" s="5">
        <f>VLOOKUP($B65,'Data Vlaue (Cr)'!$C:$FB,67)</f>
        <v>2211</v>
      </c>
      <c r="O65" s="5">
        <f>VLOOKUP($B65,'Data Vlaue (Cr)'!$C:$FB,68)</f>
        <v>2434</v>
      </c>
      <c r="P65" s="5">
        <f t="shared" si="21"/>
        <v>-10.085933966530982</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Pharma</v>
      </c>
      <c r="B66" s="79" t="str">
        <f>'Data shares'!C61</f>
        <v>DRREDDY</v>
      </c>
      <c r="C66" s="4">
        <f>VLOOKUP($B66,'Data shares'!$C:$FB,7)</f>
        <v>1311</v>
      </c>
      <c r="D66" s="82">
        <f>VLOOKUP($B66,'Data shares'!$C:$FB,98)</f>
        <v>33488750</v>
      </c>
      <c r="E66" s="165">
        <f>VLOOKUP(B66,'Snapshot (Volume)'!$A$7:$G$168,7,0)</f>
        <v>30996875</v>
      </c>
      <c r="F66" s="165">
        <f t="shared" si="18"/>
        <v>2491875</v>
      </c>
      <c r="G66" s="166">
        <f t="shared" si="19"/>
        <v>8.0391168464562957E-2</v>
      </c>
      <c r="H66" s="165">
        <f>VLOOKUP($B66,'Data shares'!$C:$FB,66)</f>
        <v>38280625</v>
      </c>
      <c r="I66" s="165">
        <f>VLOOKUP($B66,'Data shares'!$C:$FB,67)</f>
        <v>14960000</v>
      </c>
      <c r="J66" s="81">
        <f t="shared" si="20"/>
        <v>155.88653074866309</v>
      </c>
      <c r="K66" s="5">
        <f>VLOOKUP($B66,'Data Vlaue (Cr)'!$C:$FB,99)</f>
        <v>4372</v>
      </c>
      <c r="L66" s="81">
        <f>VLOOKUP(B66,'OI(Value)'!$A$7:$C$232,3,0)</f>
        <v>325</v>
      </c>
      <c r="M66" s="33">
        <f t="shared" ref="M66:M93" si="22">L66/K66*100</f>
        <v>7.4336688014638606</v>
      </c>
      <c r="N66" s="5">
        <f>VLOOKUP($B66,'Data Vlaue (Cr)'!$C:$FB,67)</f>
        <v>4998</v>
      </c>
      <c r="O66" s="5">
        <f>VLOOKUP($B66,'Data Vlaue (Cr)'!$C:$FB,68)</f>
        <v>1953</v>
      </c>
      <c r="P66" s="5">
        <f t="shared" si="21"/>
        <v>60.924369747899156</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EICHERMOT</v>
      </c>
      <c r="C67" s="4">
        <f>VLOOKUP($B67,'Data shares'!$C:$FB,7)</f>
        <v>7310.5</v>
      </c>
      <c r="D67" s="82">
        <f>VLOOKUP($B67,'Data shares'!$C:$FB,98)</f>
        <v>5374100</v>
      </c>
      <c r="E67" s="165">
        <f>VLOOKUP(B67,'Snapshot (Volume)'!$A$7:$G$168,7,0)</f>
        <v>5466500</v>
      </c>
      <c r="F67" s="165">
        <f t="shared" si="18"/>
        <v>-92400</v>
      </c>
      <c r="G67" s="166">
        <f t="shared" si="19"/>
        <v>-1.6902954358364586E-2</v>
      </c>
      <c r="H67" s="165">
        <f>VLOOKUP($B67,'Data shares'!$C:$FB,66)</f>
        <v>2771200</v>
      </c>
      <c r="I67" s="165">
        <f>VLOOKUP($B67,'Data shares'!$C:$FB,67)</f>
        <v>1992400</v>
      </c>
      <c r="J67" s="81">
        <f t="shared" si="20"/>
        <v>39.088536438466171</v>
      </c>
      <c r="K67" s="5">
        <f>VLOOKUP($B67,'Data Vlaue (Cr)'!$C:$FB,99)</f>
        <v>3950</v>
      </c>
      <c r="L67" s="81">
        <f>VLOOKUP(B67,'OI(Value)'!$A$7:$C$232,3,0)</f>
        <v>-68</v>
      </c>
      <c r="M67" s="33">
        <f t="shared" si="22"/>
        <v>-1.7215189873417722</v>
      </c>
      <c r="N67" s="5">
        <f>VLOOKUP($B67,'Data Vlaue (Cr)'!$C:$FB,67)</f>
        <v>2037</v>
      </c>
      <c r="O67" s="5">
        <f>VLOOKUP($B67,'Data Vlaue (Cr)'!$C:$FB,68)</f>
        <v>1464</v>
      </c>
      <c r="P67" s="5">
        <f t="shared" si="21"/>
        <v>28.12960235640648</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New_Age</v>
      </c>
      <c r="B68" s="79" t="str">
        <f>'Data shares'!C63</f>
        <v>ETERNAL</v>
      </c>
      <c r="C68" s="4">
        <f>VLOOKUP($B68,'Data shares'!$C:$FB,7)</f>
        <v>256.05</v>
      </c>
      <c r="D68" s="82">
        <f>VLOOKUP($B68,'Data shares'!$C:$FB,98)</f>
        <v>351317025</v>
      </c>
      <c r="E68" s="165">
        <f>VLOOKUP(B68,'Snapshot (Volume)'!$A$7:$G$168,7,0)</f>
        <v>355669900</v>
      </c>
      <c r="F68" s="165">
        <f t="shared" si="18"/>
        <v>-4352875</v>
      </c>
      <c r="G68" s="166">
        <f t="shared" si="19"/>
        <v>-1.2238525104317234E-2</v>
      </c>
      <c r="H68" s="165">
        <f>VLOOKUP($B68,'Data shares'!$C:$FB,66)</f>
        <v>169257725</v>
      </c>
      <c r="I68" s="165">
        <f>VLOOKUP($B68,'Data shares'!$C:$FB,67)</f>
        <v>115095350</v>
      </c>
      <c r="J68" s="81">
        <f t="shared" si="20"/>
        <v>47.058699591251951</v>
      </c>
      <c r="K68" s="5">
        <f>VLOOKUP($B68,'Data Vlaue (Cr)'!$C:$FB,99)</f>
        <v>9058</v>
      </c>
      <c r="L68" s="81">
        <f>VLOOKUP(B68,'OI(Value)'!$A$7:$C$232,3,0)</f>
        <v>-112</v>
      </c>
      <c r="M68" s="33">
        <f t="shared" si="22"/>
        <v>-1.2364760432766615</v>
      </c>
      <c r="N68" s="5">
        <f>VLOOKUP($B68,'Data Vlaue (Cr)'!$C:$FB,67)</f>
        <v>4364</v>
      </c>
      <c r="O68" s="5">
        <f>VLOOKUP($B68,'Data Vlaue (Cr)'!$C:$FB,68)</f>
        <v>2968</v>
      </c>
      <c r="P68" s="5">
        <f t="shared" si="21"/>
        <v>31.989000916590282</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Automobile</v>
      </c>
      <c r="B69" s="79" t="str">
        <f>'Data shares'!C64</f>
        <v>EXIDEIND</v>
      </c>
      <c r="C69" s="79">
        <f>VLOOKUP($B69,'Data shares'!$C:$FB,7)</f>
        <v>351.7</v>
      </c>
      <c r="D69" s="165">
        <f>VLOOKUP($B69,'Data shares'!$C:$FB,98)</f>
        <v>55035000</v>
      </c>
      <c r="E69" s="165">
        <f>VLOOKUP(B69,'Snapshot (Volume)'!$A$7:$G$168,7,0)</f>
        <v>52246800</v>
      </c>
      <c r="F69" s="165">
        <f t="shared" ref="F69:F85" si="23">D69-E69</f>
        <v>2788200</v>
      </c>
      <c r="G69" s="166">
        <f t="shared" ref="G69:G85" si="24">F69/E69</f>
        <v>5.3365947770963963E-2</v>
      </c>
      <c r="H69" s="165">
        <f>VLOOKUP($B69,'Data shares'!$C:$FB,66)</f>
        <v>96818400</v>
      </c>
      <c r="I69" s="165">
        <f>VLOOKUP($B69,'Data shares'!$C:$FB,67)</f>
        <v>46773000</v>
      </c>
      <c r="J69" s="81">
        <f t="shared" ref="J69:J85" si="25">(H69-I69)/I69*100</f>
        <v>106.99634404464113</v>
      </c>
      <c r="K69" s="81">
        <f>VLOOKUP($B69,'Data Vlaue (Cr)'!$C:$FB,99)</f>
        <v>1944</v>
      </c>
      <c r="L69" s="81">
        <f>VLOOKUP(B69,'OI(Value)'!$A$7:$C$232,3,0)</f>
        <v>99</v>
      </c>
      <c r="M69" s="81">
        <f t="shared" si="22"/>
        <v>5.0925925925925926</v>
      </c>
      <c r="N69" s="81">
        <f>VLOOKUP($B69,'Data Vlaue (Cr)'!$C:$FB,67)</f>
        <v>3421</v>
      </c>
      <c r="O69" s="81">
        <f>VLOOKUP($B69,'Data Vlaue (Cr)'!$C:$FB,68)</f>
        <v>1652</v>
      </c>
      <c r="P69" s="81">
        <f t="shared" ref="P69:P85" si="26">(N69-O69)/N69*100</f>
        <v>51.710026308097042</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Banking</v>
      </c>
      <c r="B70" s="79" t="str">
        <f>'Data shares'!C65</f>
        <v>FEDERALBNK</v>
      </c>
      <c r="C70" s="79">
        <f>VLOOKUP($B70,'Data shares'!$C:$FB,7)</f>
        <v>293</v>
      </c>
      <c r="D70" s="165">
        <f>VLOOKUP($B70,'Data shares'!$C:$FB,98)</f>
        <v>140620000</v>
      </c>
      <c r="E70" s="165">
        <f>VLOOKUP(B70,'Snapshot (Volume)'!$A$7:$G$168,7,0)</f>
        <v>137990000</v>
      </c>
      <c r="F70" s="165">
        <f t="shared" si="23"/>
        <v>2630000</v>
      </c>
      <c r="G70" s="166">
        <f t="shared" si="24"/>
        <v>1.9059352126965721E-2</v>
      </c>
      <c r="H70" s="165">
        <f>VLOOKUP($B70,'Data shares'!$C:$FB,66)</f>
        <v>77022500</v>
      </c>
      <c r="I70" s="165">
        <f>VLOOKUP($B70,'Data shares'!$C:$FB,67)</f>
        <v>80585000</v>
      </c>
      <c r="J70" s="81">
        <f t="shared" si="25"/>
        <v>-4.4207979152447727</v>
      </c>
      <c r="K70" s="81">
        <f>VLOOKUP($B70,'Data Vlaue (Cr)'!$C:$FB,99)</f>
        <v>4148</v>
      </c>
      <c r="L70" s="81">
        <f>VLOOKUP(B70,'OI(Value)'!$A$7:$C$232,3,0)</f>
        <v>78</v>
      </c>
      <c r="M70" s="81">
        <f t="shared" si="22"/>
        <v>1.8804243008678883</v>
      </c>
      <c r="N70" s="81">
        <f>VLOOKUP($B70,'Data Vlaue (Cr)'!$C:$FB,67)</f>
        <v>2272</v>
      </c>
      <c r="O70" s="81">
        <f>VLOOKUP($B70,'Data Vlaue (Cr)'!$C:$FB,68)</f>
        <v>2377</v>
      </c>
      <c r="P70" s="81">
        <f t="shared" si="26"/>
        <v>-4.621478873239437</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Index</v>
      </c>
      <c r="B71" s="79" t="str">
        <f>'Data shares'!C66</f>
        <v>FINNIFTY</v>
      </c>
      <c r="C71" s="4">
        <f>VLOOKUP($B71,'Data shares'!$C:$FB,7)</f>
        <v>26392.75</v>
      </c>
      <c r="D71" s="82">
        <f>VLOOKUP($B71,'Data shares'!$C:$FB,98)</f>
        <v>371460</v>
      </c>
      <c r="E71" s="165">
        <f>VLOOKUP(B71,'Snapshot (Volume)'!$A$7:$G$168,7,0)</f>
        <v>311280</v>
      </c>
      <c r="F71" s="165">
        <f t="shared" si="23"/>
        <v>60180</v>
      </c>
      <c r="G71" s="166">
        <f t="shared" si="24"/>
        <v>0.19333076329992291</v>
      </c>
      <c r="H71" s="165">
        <f>VLOOKUP($B71,'Data shares'!$C:$FB,66)</f>
        <v>695220</v>
      </c>
      <c r="I71" s="165">
        <f>VLOOKUP($B71,'Data shares'!$C:$FB,67)</f>
        <v>396240</v>
      </c>
      <c r="J71" s="81">
        <f t="shared" si="25"/>
        <v>75.454270139309514</v>
      </c>
      <c r="K71" s="5">
        <f>VLOOKUP($B71,'Data Vlaue (Cr)'!$C:$FB,99)</f>
        <v>986</v>
      </c>
      <c r="L71" s="81">
        <f>VLOOKUP(B71,'OI(Value)'!$A$7:$C$232,3,0)</f>
        <v>160</v>
      </c>
      <c r="M71" s="33">
        <f t="shared" si="22"/>
        <v>16.227180527383368</v>
      </c>
      <c r="N71" s="5">
        <f>VLOOKUP($B71,'Data Vlaue (Cr)'!$C:$FB,67)</f>
        <v>1846</v>
      </c>
      <c r="O71" s="5">
        <f>VLOOKUP($B71,'Data Vlaue (Cr)'!$C:$FB,68)</f>
        <v>1052</v>
      </c>
      <c r="P71" s="5">
        <f t="shared" si="26"/>
        <v>43.011917659804979</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Automobile</v>
      </c>
      <c r="B72" s="79" t="str">
        <f>'Data shares'!C67</f>
        <v>FORCEMOT</v>
      </c>
      <c r="C72" s="4">
        <f>VLOOKUP($B72,'Data shares'!$C:$FB,7)</f>
        <v>20173</v>
      </c>
      <c r="D72" s="82">
        <f>VLOOKUP($B72,'Data shares'!$C:$FB,98)</f>
        <v>519850</v>
      </c>
      <c r="E72" s="165">
        <f>VLOOKUP(B72,'Snapshot (Volume)'!$A$7:$G$168,7,0)</f>
        <v>506875</v>
      </c>
      <c r="F72" s="165">
        <f t="shared" si="23"/>
        <v>12975</v>
      </c>
      <c r="G72" s="166">
        <f t="shared" si="24"/>
        <v>2.5598027127003698E-2</v>
      </c>
      <c r="H72" s="165">
        <f>VLOOKUP($B72,'Data shares'!$C:$FB,66)</f>
        <v>954875</v>
      </c>
      <c r="I72" s="165">
        <f>VLOOKUP($B72,'Data shares'!$C:$FB,67)</f>
        <v>262750</v>
      </c>
      <c r="J72" s="81">
        <f t="shared" si="25"/>
        <v>263.41579448144626</v>
      </c>
      <c r="K72" s="5">
        <f>VLOOKUP($B72,'Data Vlaue (Cr)'!$C:$FB,99)</f>
        <v>1049</v>
      </c>
      <c r="L72" s="81">
        <f>VLOOKUP(B72,'OI(Value)'!$A$7:$C$232,3,0)</f>
        <v>26</v>
      </c>
      <c r="M72" s="33">
        <f t="shared" si="22"/>
        <v>2.478551000953289</v>
      </c>
      <c r="N72" s="5">
        <f>VLOOKUP($B72,'Data Vlaue (Cr)'!$C:$FB,67)</f>
        <v>1927</v>
      </c>
      <c r="O72" s="5">
        <f>VLOOKUP($B72,'Data Vlaue (Cr)'!$C:$FB,68)</f>
        <v>530</v>
      </c>
      <c r="P72" s="5">
        <f t="shared" si="26"/>
        <v>72.496107939802798</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Pharma</v>
      </c>
      <c r="B73" s="79" t="str">
        <f>'Data shares'!C68</f>
        <v>FORTIS</v>
      </c>
      <c r="C73" s="4">
        <f>VLOOKUP($B73,'Data shares'!$C:$FB,7)</f>
        <v>956.9</v>
      </c>
      <c r="D73" s="82">
        <f>VLOOKUP($B73,'Data shares'!$C:$FB,98)</f>
        <v>12113250</v>
      </c>
      <c r="E73" s="165">
        <f>VLOOKUP(B73,'Snapshot (Volume)'!$A$7:$G$168,7,0)</f>
        <v>11905550</v>
      </c>
      <c r="F73" s="165">
        <f t="shared" si="23"/>
        <v>207700</v>
      </c>
      <c r="G73" s="166">
        <f t="shared" si="24"/>
        <v>1.7445645098294493E-2</v>
      </c>
      <c r="H73" s="165">
        <f>VLOOKUP($B73,'Data shares'!$C:$FB,66)</f>
        <v>3003900</v>
      </c>
      <c r="I73" s="165">
        <f>VLOOKUP($B73,'Data shares'!$C:$FB,67)</f>
        <v>2311050</v>
      </c>
      <c r="J73" s="81">
        <f t="shared" si="25"/>
        <v>29.979879275653925</v>
      </c>
      <c r="K73" s="5">
        <f>VLOOKUP($B73,'Data Vlaue (Cr)'!$C:$FB,99)</f>
        <v>1168</v>
      </c>
      <c r="L73" s="81">
        <f>VLOOKUP(B73,'OI(Value)'!$A$7:$C$232,3,0)</f>
        <v>20</v>
      </c>
      <c r="M73" s="33">
        <f t="shared" si="22"/>
        <v>1.7123287671232876</v>
      </c>
      <c r="N73" s="5">
        <f>VLOOKUP($B73,'Data Vlaue (Cr)'!$C:$FB,67)</f>
        <v>290</v>
      </c>
      <c r="O73" s="5">
        <f>VLOOKUP($B73,'Data Vlaue (Cr)'!$C:$FB,68)</f>
        <v>223</v>
      </c>
      <c r="P73" s="5">
        <f t="shared" si="26"/>
        <v>23.103448275862068</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Oil_Gas</v>
      </c>
      <c r="B74" s="79" t="str">
        <f>'Data shares'!C69</f>
        <v>GAIL</v>
      </c>
      <c r="C74" s="4">
        <f>VLOOKUP($B74,'Data shares'!$C:$FB,7)</f>
        <v>165.68</v>
      </c>
      <c r="D74" s="82">
        <f>VLOOKUP($B74,'Data shares'!$C:$FB,98)</f>
        <v>113460850</v>
      </c>
      <c r="E74" s="165">
        <f>VLOOKUP(B74,'Snapshot (Volume)'!$A$7:$G$168,7,0)</f>
        <v>110150100</v>
      </c>
      <c r="F74" s="165">
        <f t="shared" si="23"/>
        <v>3310750</v>
      </c>
      <c r="G74" s="166">
        <f t="shared" si="24"/>
        <v>3.0056713520913735E-2</v>
      </c>
      <c r="H74" s="165">
        <f>VLOOKUP($B74,'Data shares'!$C:$FB,66)</f>
        <v>24428250</v>
      </c>
      <c r="I74" s="165">
        <f>VLOOKUP($B74,'Data shares'!$C:$FB,67)</f>
        <v>27527850</v>
      </c>
      <c r="J74" s="81">
        <f t="shared" si="25"/>
        <v>-11.259869550291796</v>
      </c>
      <c r="K74" s="5">
        <f>VLOOKUP($B74,'Data Vlaue (Cr)'!$C:$FB,99)</f>
        <v>1888</v>
      </c>
      <c r="L74" s="81">
        <f>VLOOKUP(B74,'OI(Value)'!$A$7:$C$232,3,0)</f>
        <v>55</v>
      </c>
      <c r="M74" s="33">
        <f t="shared" si="22"/>
        <v>2.9131355932203387</v>
      </c>
      <c r="N74" s="5">
        <f>VLOOKUP($B74,'Data Vlaue (Cr)'!$C:$FB,67)</f>
        <v>406</v>
      </c>
      <c r="O74" s="5">
        <f>VLOOKUP($B74,'Data Vlaue (Cr)'!$C:$FB,68)</f>
        <v>458</v>
      </c>
      <c r="P74" s="5">
        <f t="shared" si="26"/>
        <v>-12.807881773399016</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Pharma</v>
      </c>
      <c r="B75" s="79" t="str">
        <f>'Data shares'!C70</f>
        <v>GLENMARK</v>
      </c>
      <c r="C75" s="4">
        <f>VLOOKUP($B75,'Data shares'!$C:$FB,7)</f>
        <v>2377.6</v>
      </c>
      <c r="D75" s="82">
        <f>VLOOKUP($B75,'Data shares'!$C:$FB,98)</f>
        <v>14232000</v>
      </c>
      <c r="E75" s="165">
        <f>VLOOKUP(B75,'Snapshot (Volume)'!$A$7:$G$168,7,0)</f>
        <v>13952625</v>
      </c>
      <c r="F75" s="165">
        <f t="shared" si="23"/>
        <v>279375</v>
      </c>
      <c r="G75" s="166">
        <f t="shared" si="24"/>
        <v>2.0023113930174429E-2</v>
      </c>
      <c r="H75" s="165">
        <f>VLOOKUP($B75,'Data shares'!$C:$FB,66)</f>
        <v>8385000</v>
      </c>
      <c r="I75" s="165">
        <f>VLOOKUP($B75,'Data shares'!$C:$FB,67)</f>
        <v>4078500</v>
      </c>
      <c r="J75" s="81">
        <f t="shared" si="25"/>
        <v>105.59029054799558</v>
      </c>
      <c r="K75" s="5">
        <f>VLOOKUP($B75,'Data Vlaue (Cr)'!$C:$FB,99)</f>
        <v>3402</v>
      </c>
      <c r="L75" s="81">
        <f>VLOOKUP(B75,'OI(Value)'!$A$7:$C$232,3,0)</f>
        <v>67</v>
      </c>
      <c r="M75" s="33">
        <f t="shared" si="22"/>
        <v>1.9694297472075251</v>
      </c>
      <c r="N75" s="5">
        <f>VLOOKUP($B75,'Data Vlaue (Cr)'!$C:$FB,67)</f>
        <v>2005</v>
      </c>
      <c r="O75" s="5">
        <f>VLOOKUP($B75,'Data Vlaue (Cr)'!$C:$FB,68)</f>
        <v>975</v>
      </c>
      <c r="P75" s="5">
        <f t="shared" si="26"/>
        <v>51.371571072319199</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Infrastructure</v>
      </c>
      <c r="B76" s="79" t="str">
        <f>'Data shares'!C71</f>
        <v>GMRAIRPORT</v>
      </c>
      <c r="C76" s="4">
        <f>VLOOKUP($B76,'Data shares'!$C:$FB,7)</f>
        <v>99.23</v>
      </c>
      <c r="D76" s="82">
        <f>VLOOKUP($B76,'Data shares'!$C:$FB,98)</f>
        <v>241565175</v>
      </c>
      <c r="E76" s="165">
        <f>VLOOKUP(B76,'Snapshot (Volume)'!$A$7:$G$168,7,0)</f>
        <v>231751350</v>
      </c>
      <c r="F76" s="165">
        <f t="shared" si="23"/>
        <v>9813825</v>
      </c>
      <c r="G76" s="166">
        <f t="shared" si="24"/>
        <v>4.234635526394992E-2</v>
      </c>
      <c r="H76" s="165">
        <f>VLOOKUP($B76,'Data shares'!$C:$FB,66)</f>
        <v>129211875</v>
      </c>
      <c r="I76" s="165">
        <f>VLOOKUP($B76,'Data shares'!$C:$FB,67)</f>
        <v>85918050</v>
      </c>
      <c r="J76" s="81">
        <f t="shared" si="25"/>
        <v>50.38967364831953</v>
      </c>
      <c r="K76" s="5">
        <f>VLOOKUP($B76,'Data Vlaue (Cr)'!$C:$FB,99)</f>
        <v>2415</v>
      </c>
      <c r="L76" s="81">
        <f>VLOOKUP(B76,'OI(Value)'!$A$7:$C$232,3,0)</f>
        <v>98</v>
      </c>
      <c r="M76" s="33">
        <f t="shared" si="22"/>
        <v>4.057971014492753</v>
      </c>
      <c r="N76" s="5">
        <f>VLOOKUP($B76,'Data Vlaue (Cr)'!$C:$FB,67)</f>
        <v>1292</v>
      </c>
      <c r="O76" s="5">
        <f>VLOOKUP($B76,'Data Vlaue (Cr)'!$C:$FB,68)</f>
        <v>859</v>
      </c>
      <c r="P76" s="5">
        <f t="shared" si="26"/>
        <v>33.513931888544889</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FMCG</v>
      </c>
      <c r="B77" s="79" t="str">
        <f>'Data shares'!C72</f>
        <v>GODFRYPHLP</v>
      </c>
      <c r="C77" s="4">
        <f>VLOOKUP($B77,'Data shares'!$C:$FB,7)</f>
        <v>2308</v>
      </c>
      <c r="D77" s="82">
        <f>VLOOKUP($B77,'Data shares'!$C:$FB,98)</f>
        <v>2909775</v>
      </c>
      <c r="E77" s="165">
        <f>VLOOKUP(B77,'Snapshot (Volume)'!$A$7:$G$168,7,0)</f>
        <v>2523675</v>
      </c>
      <c r="F77" s="165">
        <f t="shared" si="23"/>
        <v>386100</v>
      </c>
      <c r="G77" s="166">
        <f t="shared" si="24"/>
        <v>0.15299117358613926</v>
      </c>
      <c r="H77" s="165">
        <f>VLOOKUP($B77,'Data shares'!$C:$FB,66)</f>
        <v>3007675</v>
      </c>
      <c r="I77" s="165">
        <f>VLOOKUP($B77,'Data shares'!$C:$FB,67)</f>
        <v>909700</v>
      </c>
      <c r="J77" s="81">
        <f t="shared" si="25"/>
        <v>230.62273276904475</v>
      </c>
      <c r="K77" s="5">
        <f>VLOOKUP($B77,'Data Vlaue (Cr)'!$C:$FB,99)</f>
        <v>676</v>
      </c>
      <c r="L77" s="81">
        <f>VLOOKUP(B77,'OI(Value)'!$A$7:$C$232,3,0)</f>
        <v>90</v>
      </c>
      <c r="M77" s="33">
        <f t="shared" si="22"/>
        <v>13.313609467455622</v>
      </c>
      <c r="N77" s="5">
        <f>VLOOKUP($B77,'Data Vlaue (Cr)'!$C:$FB,67)</f>
        <v>699</v>
      </c>
      <c r="O77" s="5">
        <f>VLOOKUP($B77,'Data Vlaue (Cr)'!$C:$FB,68)</f>
        <v>211</v>
      </c>
      <c r="P77" s="5">
        <f t="shared" si="26"/>
        <v>69.814020028612305</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FMCG</v>
      </c>
      <c r="B78" s="79" t="str">
        <f>'Data shares'!C73</f>
        <v>GODREJCP</v>
      </c>
      <c r="C78" s="4">
        <f>VLOOKUP($B78,'Data shares'!$C:$FB,7)</f>
        <v>1094.0999999999999</v>
      </c>
      <c r="D78" s="82">
        <f>VLOOKUP($B78,'Data shares'!$C:$FB,98)</f>
        <v>17814000</v>
      </c>
      <c r="E78" s="165">
        <f>VLOOKUP(B78,'Snapshot (Volume)'!$A$7:$G$168,7,0)</f>
        <v>15198000</v>
      </c>
      <c r="F78" s="165">
        <f t="shared" si="23"/>
        <v>2616000</v>
      </c>
      <c r="G78" s="166">
        <f t="shared" si="24"/>
        <v>0.1721279115673115</v>
      </c>
      <c r="H78" s="165">
        <f>VLOOKUP($B78,'Data shares'!$C:$FB,66)</f>
        <v>11738500</v>
      </c>
      <c r="I78" s="165">
        <f>VLOOKUP($B78,'Data shares'!$C:$FB,67)</f>
        <v>5420500</v>
      </c>
      <c r="J78" s="81">
        <f t="shared" si="25"/>
        <v>116.55751314454386</v>
      </c>
      <c r="K78" s="5">
        <f>VLOOKUP($B78,'Data Vlaue (Cr)'!$C:$FB,99)</f>
        <v>1956</v>
      </c>
      <c r="L78" s="81">
        <f>VLOOKUP(B78,'OI(Value)'!$A$7:$C$232,3,0)</f>
        <v>287</v>
      </c>
      <c r="M78" s="33">
        <f t="shared" si="22"/>
        <v>14.672801635991819</v>
      </c>
      <c r="N78" s="5">
        <f>VLOOKUP($B78,'Data Vlaue (Cr)'!$C:$FB,67)</f>
        <v>1289</v>
      </c>
      <c r="O78" s="5">
        <f>VLOOKUP($B78,'Data Vlaue (Cr)'!$C:$FB,68)</f>
        <v>595</v>
      </c>
      <c r="P78" s="5">
        <f t="shared" si="26"/>
        <v>53.840186190845621</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Realty</v>
      </c>
      <c r="B79" s="79" t="str">
        <f>'Data shares'!C74</f>
        <v>GODREJPROP</v>
      </c>
      <c r="C79" s="4">
        <f>VLOOKUP($B79,'Data shares'!$C:$FB,7)</f>
        <v>1867.2</v>
      </c>
      <c r="D79" s="82">
        <f>VLOOKUP($B79,'Data shares'!$C:$FB,98)</f>
        <v>12541275</v>
      </c>
      <c r="E79" s="165">
        <f>VLOOKUP(B79,'Snapshot (Volume)'!$A$7:$G$168,7,0)</f>
        <v>13346250</v>
      </c>
      <c r="F79" s="165">
        <f t="shared" si="23"/>
        <v>-804975</v>
      </c>
      <c r="G79" s="166">
        <f t="shared" si="24"/>
        <v>-6.031469513908401E-2</v>
      </c>
      <c r="H79" s="165">
        <f>VLOOKUP($B79,'Data shares'!$C:$FB,66)</f>
        <v>7759400</v>
      </c>
      <c r="I79" s="165">
        <f>VLOOKUP($B79,'Data shares'!$C:$FB,67)</f>
        <v>19368800</v>
      </c>
      <c r="J79" s="81">
        <f t="shared" si="25"/>
        <v>-59.938664243525672</v>
      </c>
      <c r="K79" s="5">
        <f>VLOOKUP($B79,'Data Vlaue (Cr)'!$C:$FB,99)</f>
        <v>2356</v>
      </c>
      <c r="L79" s="81">
        <f>VLOOKUP(B79,'OI(Value)'!$A$7:$C$232,3,0)</f>
        <v>-151</v>
      </c>
      <c r="M79" s="33">
        <f t="shared" si="22"/>
        <v>-6.409168081494057</v>
      </c>
      <c r="N79" s="5">
        <f>VLOOKUP($B79,'Data Vlaue (Cr)'!$C:$FB,67)</f>
        <v>1457</v>
      </c>
      <c r="O79" s="5">
        <f>VLOOKUP($B79,'Data Vlaue (Cr)'!$C:$FB,68)</f>
        <v>3638</v>
      </c>
      <c r="P79" s="5">
        <f t="shared" si="26"/>
        <v>-149.69114619080301</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Cement</v>
      </c>
      <c r="B80" s="79" t="str">
        <f>'Data shares'!C75</f>
        <v>GRASIM</v>
      </c>
      <c r="C80" s="4">
        <f>VLOOKUP($B80,'Data shares'!$C:$FB,7)</f>
        <v>2914.8</v>
      </c>
      <c r="D80" s="82">
        <f>VLOOKUP($B80,'Data shares'!$C:$FB,98)</f>
        <v>16986000</v>
      </c>
      <c r="E80" s="165">
        <f>VLOOKUP(B80,'Snapshot (Volume)'!$A$7:$G$168,7,0)</f>
        <v>16718000</v>
      </c>
      <c r="F80" s="165">
        <f t="shared" si="23"/>
        <v>268000</v>
      </c>
      <c r="G80" s="166">
        <f t="shared" si="24"/>
        <v>1.6030625672927384E-2</v>
      </c>
      <c r="H80" s="165">
        <f>VLOOKUP($B80,'Data shares'!$C:$FB,66)</f>
        <v>3255000</v>
      </c>
      <c r="I80" s="165">
        <f>VLOOKUP($B80,'Data shares'!$C:$FB,67)</f>
        <v>2301500</v>
      </c>
      <c r="J80" s="81">
        <f t="shared" si="25"/>
        <v>41.429502498370631</v>
      </c>
      <c r="K80" s="5">
        <f>VLOOKUP($B80,'Data Vlaue (Cr)'!$C:$FB,99)</f>
        <v>4986</v>
      </c>
      <c r="L80" s="81">
        <f>VLOOKUP(B80,'OI(Value)'!$A$7:$C$232,3,0)</f>
        <v>79</v>
      </c>
      <c r="M80" s="33">
        <f t="shared" si="22"/>
        <v>1.5844364219815485</v>
      </c>
      <c r="N80" s="5">
        <f>VLOOKUP($B80,'Data Vlaue (Cr)'!$C:$FB,67)</f>
        <v>955</v>
      </c>
      <c r="O80" s="5">
        <f>VLOOKUP($B80,'Data Vlaue (Cr)'!$C:$FB,68)</f>
        <v>676</v>
      </c>
      <c r="P80" s="5">
        <f t="shared" si="26"/>
        <v>29.214659685863875</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Capital_Goods</v>
      </c>
      <c r="B81" s="79" t="str">
        <f>'Data shares'!C76</f>
        <v>HAL</v>
      </c>
      <c r="C81" s="4">
        <f>VLOOKUP($B81,'Data shares'!$C:$FB,7)</f>
        <v>4626.8999999999996</v>
      </c>
      <c r="D81" s="82">
        <f>VLOOKUP($B81,'Data shares'!$C:$FB,98)</f>
        <v>11207550</v>
      </c>
      <c r="E81" s="165">
        <f>VLOOKUP(B81,'Snapshot (Volume)'!$A$7:$G$168,7,0)</f>
        <v>11306400</v>
      </c>
      <c r="F81" s="165">
        <f t="shared" si="23"/>
        <v>-98850</v>
      </c>
      <c r="G81" s="166">
        <f t="shared" si="24"/>
        <v>-8.7428359159414139E-3</v>
      </c>
      <c r="H81" s="165">
        <f>VLOOKUP($B81,'Data shares'!$C:$FB,66)</f>
        <v>5676150</v>
      </c>
      <c r="I81" s="165">
        <f>VLOOKUP($B81,'Data shares'!$C:$FB,67)</f>
        <v>12163350</v>
      </c>
      <c r="J81" s="81">
        <f t="shared" si="25"/>
        <v>-53.333991046874416</v>
      </c>
      <c r="K81" s="5">
        <f>VLOOKUP($B81,'Data Vlaue (Cr)'!$C:$FB,99)</f>
        <v>5207</v>
      </c>
      <c r="L81" s="81">
        <f>VLOOKUP(B81,'OI(Value)'!$A$7:$C$232,3,0)</f>
        <v>-46</v>
      </c>
      <c r="M81" s="33">
        <f t="shared" si="22"/>
        <v>-0.88342615709621664</v>
      </c>
      <c r="N81" s="5">
        <f>VLOOKUP($B81,'Data Vlaue (Cr)'!$C:$FB,67)</f>
        <v>2637</v>
      </c>
      <c r="O81" s="5">
        <f>VLOOKUP($B81,'Data Vlaue (Cr)'!$C:$FB,68)</f>
        <v>5651</v>
      </c>
      <c r="P81" s="5">
        <f t="shared" si="26"/>
        <v>-114.2965491088358</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Capital_Goods</v>
      </c>
      <c r="B82" s="79" t="str">
        <f>'Data shares'!C77</f>
        <v>HAVELLS</v>
      </c>
      <c r="C82" s="4">
        <f>VLOOKUP($B82,'Data shares'!$C:$FB,7)</f>
        <v>1257.3</v>
      </c>
      <c r="D82" s="82">
        <f>VLOOKUP($B82,'Data shares'!$C:$FB,98)</f>
        <v>18218000</v>
      </c>
      <c r="E82" s="165">
        <f>VLOOKUP(B82,'Snapshot (Volume)'!$A$7:$G$168,7,0)</f>
        <v>18294500</v>
      </c>
      <c r="F82" s="165">
        <f t="shared" si="23"/>
        <v>-76500</v>
      </c>
      <c r="G82" s="166">
        <f t="shared" si="24"/>
        <v>-4.1815846292601599E-3</v>
      </c>
      <c r="H82" s="165">
        <f>VLOOKUP($B82,'Data shares'!$C:$FB,66)</f>
        <v>6257000</v>
      </c>
      <c r="I82" s="165">
        <f>VLOOKUP($B82,'Data shares'!$C:$FB,67)</f>
        <v>7618000</v>
      </c>
      <c r="J82" s="81">
        <f t="shared" si="25"/>
        <v>-17.865581517458651</v>
      </c>
      <c r="K82" s="5">
        <f>VLOOKUP($B82,'Data Vlaue (Cr)'!$C:$FB,99)</f>
        <v>2296</v>
      </c>
      <c r="L82" s="81">
        <f>VLOOKUP(B82,'OI(Value)'!$A$7:$C$232,3,0)</f>
        <v>-10</v>
      </c>
      <c r="M82" s="33">
        <f t="shared" si="22"/>
        <v>-0.43554006968641112</v>
      </c>
      <c r="N82" s="5">
        <f>VLOOKUP($B82,'Data Vlaue (Cr)'!$C:$FB,67)</f>
        <v>788</v>
      </c>
      <c r="O82" s="5">
        <f>VLOOKUP($B82,'Data Vlaue (Cr)'!$C:$FB,68)</f>
        <v>960</v>
      </c>
      <c r="P82" s="5">
        <f t="shared" si="26"/>
        <v>-21.82741116751269</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Technology</v>
      </c>
      <c r="B83" s="79" t="str">
        <f>'Data shares'!C78</f>
        <v>HCLTECH</v>
      </c>
      <c r="C83" s="4">
        <f>VLOOKUP($B83,'Data shares'!$C:$FB,7)</f>
        <v>1189.0999999999999</v>
      </c>
      <c r="D83" s="82">
        <f>VLOOKUP($B83,'Data shares'!$C:$FB,98)</f>
        <v>81157850</v>
      </c>
      <c r="E83" s="165">
        <f>VLOOKUP(B83,'Snapshot (Volume)'!$A$7:$G$168,7,0)</f>
        <v>77742150</v>
      </c>
      <c r="F83" s="165">
        <f t="shared" si="23"/>
        <v>3415700</v>
      </c>
      <c r="G83" s="166">
        <f t="shared" si="24"/>
        <v>4.393626880656118E-2</v>
      </c>
      <c r="H83" s="165">
        <f>VLOOKUP($B83,'Data shares'!$C:$FB,66)</f>
        <v>28787850</v>
      </c>
      <c r="I83" s="165">
        <f>VLOOKUP($B83,'Data shares'!$C:$FB,67)</f>
        <v>14850500</v>
      </c>
      <c r="J83" s="81">
        <f t="shared" si="25"/>
        <v>93.851048786236163</v>
      </c>
      <c r="K83" s="5">
        <f>VLOOKUP($B83,'Data Vlaue (Cr)'!$C:$FB,99)</f>
        <v>9673</v>
      </c>
      <c r="L83" s="81">
        <f>VLOOKUP(B83,'OI(Value)'!$A$7:$C$232,3,0)</f>
        <v>407</v>
      </c>
      <c r="M83" s="33">
        <f t="shared" si="22"/>
        <v>4.2075881319135737</v>
      </c>
      <c r="N83" s="5">
        <f>VLOOKUP($B83,'Data Vlaue (Cr)'!$C:$FB,67)</f>
        <v>3431</v>
      </c>
      <c r="O83" s="5">
        <f>VLOOKUP($B83,'Data Vlaue (Cr)'!$C:$FB,68)</f>
        <v>1770</v>
      </c>
      <c r="P83" s="5">
        <f t="shared" si="26"/>
        <v>48.411541824540947</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Finance</v>
      </c>
      <c r="B84" s="79" t="str">
        <f>'Data shares'!C79</f>
        <v>HDFCAMC</v>
      </c>
      <c r="C84" s="4">
        <f>VLOOKUP($B84,'Data shares'!$C:$FB,7)</f>
        <v>2815.9</v>
      </c>
      <c r="D84" s="82">
        <f>VLOOKUP($B84,'Data shares'!$C:$FB,98)</f>
        <v>8079000</v>
      </c>
      <c r="E84" s="165">
        <f>VLOOKUP(B84,'Snapshot (Volume)'!$A$7:$G$168,7,0)</f>
        <v>7829400</v>
      </c>
      <c r="F84" s="165">
        <f t="shared" si="23"/>
        <v>249600</v>
      </c>
      <c r="G84" s="166">
        <f t="shared" si="24"/>
        <v>3.187983753544333E-2</v>
      </c>
      <c r="H84" s="165">
        <f>VLOOKUP($B84,'Data shares'!$C:$FB,66)</f>
        <v>3755700</v>
      </c>
      <c r="I84" s="165">
        <f>VLOOKUP($B84,'Data shares'!$C:$FB,67)</f>
        <v>6280800</v>
      </c>
      <c r="J84" s="81">
        <f t="shared" si="25"/>
        <v>-40.203477264042796</v>
      </c>
      <c r="K84" s="5">
        <f>VLOOKUP($B84,'Data Vlaue (Cr)'!$C:$FB,99)</f>
        <v>2291</v>
      </c>
      <c r="L84" s="81">
        <f>VLOOKUP(B84,'OI(Value)'!$A$7:$C$232,3,0)</f>
        <v>71</v>
      </c>
      <c r="M84" s="33">
        <f t="shared" si="22"/>
        <v>3.0990833697075515</v>
      </c>
      <c r="N84" s="5">
        <f>VLOOKUP($B84,'Data Vlaue (Cr)'!$C:$FB,67)</f>
        <v>1065</v>
      </c>
      <c r="O84" s="5">
        <f>VLOOKUP($B84,'Data Vlaue (Cr)'!$C:$FB,68)</f>
        <v>1781</v>
      </c>
      <c r="P84" s="5">
        <f t="shared" si="26"/>
        <v>-67.230046948356801</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Banking</v>
      </c>
      <c r="B85" s="79" t="str">
        <f>'Data shares'!C80</f>
        <v>HDFCBANK</v>
      </c>
      <c r="C85" s="4">
        <f>VLOOKUP($B85,'Data shares'!$C:$FB,7)</f>
        <v>796.55</v>
      </c>
      <c r="D85" s="82">
        <f>VLOOKUP($B85,'Data shares'!$C:$FB,98)</f>
        <v>454610550</v>
      </c>
      <c r="E85" s="165">
        <f>VLOOKUP(B85,'Snapshot (Volume)'!$A$7:$G$168,7,0)</f>
        <v>446716400</v>
      </c>
      <c r="F85" s="165">
        <f t="shared" si="23"/>
        <v>7894150</v>
      </c>
      <c r="G85" s="166">
        <f t="shared" si="24"/>
        <v>1.7671502546134414E-2</v>
      </c>
      <c r="H85" s="165">
        <f>VLOOKUP($B85,'Data shares'!$C:$FB,66)</f>
        <v>237721000</v>
      </c>
      <c r="I85" s="165">
        <f>VLOOKUP($B85,'Data shares'!$C:$FB,67)</f>
        <v>126233800</v>
      </c>
      <c r="J85" s="81">
        <f t="shared" si="25"/>
        <v>88.318025758552778</v>
      </c>
      <c r="K85" s="5">
        <f>VLOOKUP($B85,'Data Vlaue (Cr)'!$C:$FB,99)</f>
        <v>36453</v>
      </c>
      <c r="L85" s="81">
        <f>VLOOKUP(B85,'OI(Value)'!$A$7:$C$232,3,0)</f>
        <v>633</v>
      </c>
      <c r="M85" s="33">
        <f t="shared" si="22"/>
        <v>1.7364825940251831</v>
      </c>
      <c r="N85" s="5">
        <f>VLOOKUP($B85,'Data Vlaue (Cr)'!$C:$FB,67)</f>
        <v>19062</v>
      </c>
      <c r="O85" s="5">
        <f>VLOOKUP($B85,'Data Vlaue (Cr)'!$C:$FB,68)</f>
        <v>10122</v>
      </c>
      <c r="P85" s="5">
        <f t="shared" si="26"/>
        <v>46.899590808939251</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Finance</v>
      </c>
      <c r="B86" s="79" t="str">
        <f>'Data shares'!C81</f>
        <v>HDFCLIFE</v>
      </c>
      <c r="C86" s="4">
        <f>VLOOKUP($B86,'Data shares'!$C:$FB,7)</f>
        <v>606.35</v>
      </c>
      <c r="D86" s="82">
        <f>VLOOKUP($B86,'Data shares'!$C:$FB,98)</f>
        <v>78835900</v>
      </c>
      <c r="E86" s="165">
        <f>VLOOKUP(B86,'Snapshot (Volume)'!$A$7:$G$168,7,0)</f>
        <v>69405600</v>
      </c>
      <c r="F86" s="165">
        <f t="shared" ref="F86:F96" si="27">D86-E86</f>
        <v>9430300</v>
      </c>
      <c r="G86" s="166">
        <f t="shared" ref="G86:G96" si="28">F86/E86</f>
        <v>0.13587232154177761</v>
      </c>
      <c r="H86" s="165">
        <f>VLOOKUP($B86,'Data shares'!$C:$FB,66)</f>
        <v>89230900</v>
      </c>
      <c r="I86" s="165">
        <f>VLOOKUP($B86,'Data shares'!$C:$FB,67)</f>
        <v>38805800</v>
      </c>
      <c r="J86" s="81">
        <f t="shared" ref="J86:J96" si="29">(H86-I86)/I86*100</f>
        <v>129.9421735926073</v>
      </c>
      <c r="K86" s="5">
        <f>VLOOKUP($B86,'Data Vlaue (Cr)'!$C:$FB,99)</f>
        <v>4813</v>
      </c>
      <c r="L86" s="81">
        <f>VLOOKUP(B86,'OI(Value)'!$A$7:$C$232,3,0)</f>
        <v>576</v>
      </c>
      <c r="M86" s="33">
        <f t="shared" si="22"/>
        <v>11.967587783087472</v>
      </c>
      <c r="N86" s="5">
        <f>VLOOKUP($B86,'Data Vlaue (Cr)'!$C:$FB,67)</f>
        <v>5448</v>
      </c>
      <c r="O86" s="5">
        <f>VLOOKUP($B86,'Data Vlaue (Cr)'!$C:$FB,68)</f>
        <v>2369</v>
      </c>
      <c r="P86" s="5">
        <f t="shared" ref="P86:P96" si="30">(N86-O86)/N86*100</f>
        <v>56.516152716593247</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Automobile</v>
      </c>
      <c r="B87" s="79" t="str">
        <f>'Data shares'!C82</f>
        <v>HEROMOTOCO</v>
      </c>
      <c r="C87" s="4">
        <f>VLOOKUP($B87,'Data shares'!$C:$FB,7)</f>
        <v>5170</v>
      </c>
      <c r="D87" s="82">
        <f>VLOOKUP($B87,'Data shares'!$C:$FB,98)</f>
        <v>8602050</v>
      </c>
      <c r="E87" s="165">
        <f>VLOOKUP(B87,'Snapshot (Volume)'!$A$7:$G$168,7,0)</f>
        <v>8089350</v>
      </c>
      <c r="F87" s="165">
        <f t="shared" si="27"/>
        <v>512700</v>
      </c>
      <c r="G87" s="166">
        <f t="shared" si="28"/>
        <v>6.3379628771162086E-2</v>
      </c>
      <c r="H87" s="165">
        <f>VLOOKUP($B87,'Data shares'!$C:$FB,66)</f>
        <v>39724050</v>
      </c>
      <c r="I87" s="165">
        <f>VLOOKUP($B87,'Data shares'!$C:$FB,67)</f>
        <v>5914050</v>
      </c>
      <c r="J87" s="81">
        <f t="shared" si="29"/>
        <v>571.68945139117864</v>
      </c>
      <c r="K87" s="5">
        <f>VLOOKUP($B87,'Data Vlaue (Cr)'!$C:$FB,99)</f>
        <v>4471</v>
      </c>
      <c r="L87" s="81">
        <f>VLOOKUP(B87,'OI(Value)'!$A$7:$C$232,3,0)</f>
        <v>267</v>
      </c>
      <c r="M87" s="33">
        <f t="shared" si="22"/>
        <v>5.9718183851487359</v>
      </c>
      <c r="N87" s="5">
        <f>VLOOKUP($B87,'Data Vlaue (Cr)'!$C:$FB,67)</f>
        <v>20649</v>
      </c>
      <c r="O87" s="5">
        <f>VLOOKUP($B87,'Data Vlaue (Cr)'!$C:$FB,68)</f>
        <v>3074</v>
      </c>
      <c r="P87" s="5">
        <f t="shared" si="30"/>
        <v>85.113080536587731</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HINDALCO</v>
      </c>
      <c r="C88" s="4">
        <f>VLOOKUP($B88,'Data shares'!$C:$FB,7)</f>
        <v>1045.8</v>
      </c>
      <c r="D88" s="82">
        <f>VLOOKUP($B88,'Data shares'!$C:$FB,98)</f>
        <v>46334400</v>
      </c>
      <c r="E88" s="165">
        <f>VLOOKUP(B88,'Snapshot (Volume)'!$A$7:$G$168,7,0)</f>
        <v>45880800</v>
      </c>
      <c r="F88" s="165">
        <f t="shared" si="27"/>
        <v>453600</v>
      </c>
      <c r="G88" s="166">
        <f t="shared" si="28"/>
        <v>9.8864884657634561E-3</v>
      </c>
      <c r="H88" s="165">
        <f>VLOOKUP($B88,'Data shares'!$C:$FB,66)</f>
        <v>22053500</v>
      </c>
      <c r="I88" s="165">
        <f>VLOOKUP($B88,'Data shares'!$C:$FB,67)</f>
        <v>23233000</v>
      </c>
      <c r="J88" s="81">
        <f t="shared" si="29"/>
        <v>-5.0768303705935525</v>
      </c>
      <c r="K88" s="5">
        <f>VLOOKUP($B88,'Data Vlaue (Cr)'!$C:$FB,99)</f>
        <v>4874</v>
      </c>
      <c r="L88" s="81">
        <f>VLOOKUP(B88,'OI(Value)'!$A$7:$C$232,3,0)</f>
        <v>48</v>
      </c>
      <c r="M88" s="33">
        <f t="shared" si="22"/>
        <v>0.98481739844070582</v>
      </c>
      <c r="N88" s="5">
        <f>VLOOKUP($B88,'Data Vlaue (Cr)'!$C:$FB,67)</f>
        <v>2320</v>
      </c>
      <c r="O88" s="5">
        <f>VLOOKUP($B88,'Data Vlaue (Cr)'!$C:$FB,68)</f>
        <v>2444</v>
      </c>
      <c r="P88" s="5">
        <f t="shared" si="30"/>
        <v>-5.3448275862068968</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Oil_Gas</v>
      </c>
      <c r="B89" s="79" t="str">
        <f>'Data shares'!C84</f>
        <v>HINDPETRO</v>
      </c>
      <c r="C89" s="4">
        <f>VLOOKUP($B89,'Data shares'!$C:$FB,7)</f>
        <v>399.2</v>
      </c>
      <c r="D89" s="82">
        <f>VLOOKUP($B89,'Data shares'!$C:$FB,98)</f>
        <v>65103750</v>
      </c>
      <c r="E89" s="165">
        <f>VLOOKUP(B89,'Snapshot (Volume)'!$A$7:$G$168,7,0)</f>
        <v>60272100</v>
      </c>
      <c r="F89" s="165">
        <f t="shared" si="27"/>
        <v>4831650</v>
      </c>
      <c r="G89" s="166">
        <f t="shared" si="28"/>
        <v>8.0163956457465393E-2</v>
      </c>
      <c r="H89" s="165">
        <f>VLOOKUP($B89,'Data shares'!$C:$FB,66)</f>
        <v>84541725</v>
      </c>
      <c r="I89" s="165">
        <f>VLOOKUP($B89,'Data shares'!$C:$FB,67)</f>
        <v>25687125</v>
      </c>
      <c r="J89" s="81">
        <f t="shared" si="29"/>
        <v>229.12100906582577</v>
      </c>
      <c r="K89" s="5">
        <f>VLOOKUP($B89,'Data Vlaue (Cr)'!$C:$FB,99)</f>
        <v>2615</v>
      </c>
      <c r="L89" s="81">
        <f>VLOOKUP(B89,'OI(Value)'!$A$7:$C$232,3,0)</f>
        <v>194</v>
      </c>
      <c r="M89" s="33">
        <f t="shared" si="22"/>
        <v>7.418738049713193</v>
      </c>
      <c r="N89" s="5">
        <f>VLOOKUP($B89,'Data Vlaue (Cr)'!$C:$FB,67)</f>
        <v>3396</v>
      </c>
      <c r="O89" s="5">
        <f>VLOOKUP($B89,'Data Vlaue (Cr)'!$C:$FB,68)</f>
        <v>1032</v>
      </c>
      <c r="P89" s="5">
        <f t="shared" si="30"/>
        <v>69.611307420494697</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FMCG</v>
      </c>
      <c r="B90" s="79" t="str">
        <f>'Data shares'!C85</f>
        <v>HINDUNILVR</v>
      </c>
      <c r="C90" s="4">
        <f>VLOOKUP($B90,'Data shares'!$C:$FB,7)</f>
        <v>2317.1</v>
      </c>
      <c r="D90" s="82">
        <f>VLOOKUP($B90,'Data shares'!$C:$FB,98)</f>
        <v>27431700</v>
      </c>
      <c r="E90" s="165">
        <f>VLOOKUP(B90,'Snapshot (Volume)'!$A$7:$G$168,7,0)</f>
        <v>26849400</v>
      </c>
      <c r="F90" s="165">
        <f t="shared" si="27"/>
        <v>582300</v>
      </c>
      <c r="G90" s="166">
        <f t="shared" si="28"/>
        <v>2.1687635477887775E-2</v>
      </c>
      <c r="H90" s="165">
        <f>VLOOKUP($B90,'Data shares'!$C:$FB,66)</f>
        <v>16941000</v>
      </c>
      <c r="I90" s="165">
        <f>VLOOKUP($B90,'Data shares'!$C:$FB,67)</f>
        <v>14694000</v>
      </c>
      <c r="J90" s="81">
        <f t="shared" si="29"/>
        <v>15.291955900367496</v>
      </c>
      <c r="K90" s="5">
        <f>VLOOKUP($B90,'Data Vlaue (Cr)'!$C:$FB,99)</f>
        <v>6383</v>
      </c>
      <c r="L90" s="81">
        <f>VLOOKUP(B90,'OI(Value)'!$A$7:$C$232,3,0)</f>
        <v>135</v>
      </c>
      <c r="M90" s="33">
        <f t="shared" si="22"/>
        <v>2.1149929500234999</v>
      </c>
      <c r="N90" s="5">
        <f>VLOOKUP($B90,'Data Vlaue (Cr)'!$C:$FB,67)</f>
        <v>3942</v>
      </c>
      <c r="O90" s="5">
        <f>VLOOKUP($B90,'Data Vlaue (Cr)'!$C:$FB,68)</f>
        <v>3419</v>
      </c>
      <c r="P90" s="5">
        <f t="shared" si="30"/>
        <v>13.267376966007102</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Metals</v>
      </c>
      <c r="B91" s="79" t="str">
        <f>'Data shares'!C86</f>
        <v>HINDZINC</v>
      </c>
      <c r="C91" s="4">
        <f>VLOOKUP($B91,'Data shares'!$C:$FB,7)</f>
        <v>634.6</v>
      </c>
      <c r="D91" s="82">
        <f>VLOOKUP($B91,'Data shares'!$C:$FB,98)</f>
        <v>65478700</v>
      </c>
      <c r="E91" s="165">
        <f>VLOOKUP(B91,'Snapshot (Volume)'!$A$7:$G$168,7,0)</f>
        <v>61813500</v>
      </c>
      <c r="F91" s="165">
        <f t="shared" si="27"/>
        <v>3665200</v>
      </c>
      <c r="G91" s="166">
        <f t="shared" si="28"/>
        <v>5.9294490685691634E-2</v>
      </c>
      <c r="H91" s="165">
        <f>VLOOKUP($B91,'Data shares'!$C:$FB,66)</f>
        <v>88663050</v>
      </c>
      <c r="I91" s="165">
        <f>VLOOKUP($B91,'Data shares'!$C:$FB,67)</f>
        <v>30236675</v>
      </c>
      <c r="J91" s="81">
        <f t="shared" si="29"/>
        <v>193.23015840862132</v>
      </c>
      <c r="K91" s="5">
        <f>VLOOKUP($B91,'Data Vlaue (Cr)'!$C:$FB,99)</f>
        <v>4184</v>
      </c>
      <c r="L91" s="81">
        <f>VLOOKUP(B91,'OI(Value)'!$A$7:$C$232,3,0)</f>
        <v>234</v>
      </c>
      <c r="M91" s="33">
        <f t="shared" si="22"/>
        <v>5.592734225621415</v>
      </c>
      <c r="N91" s="5">
        <f>VLOOKUP($B91,'Data Vlaue (Cr)'!$C:$FB,67)</f>
        <v>5665</v>
      </c>
      <c r="O91" s="5">
        <f>VLOOKUP($B91,'Data Vlaue (Cr)'!$C:$FB,68)</f>
        <v>1932</v>
      </c>
      <c r="P91" s="5">
        <f t="shared" si="30"/>
        <v>65.895851721094445</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Automobile</v>
      </c>
      <c r="B92" s="79" t="str">
        <f>'Data shares'!C87</f>
        <v>HYUNDAI</v>
      </c>
      <c r="C92" s="4">
        <f>VLOOKUP($B92,'Data shares'!$C:$FB,7)</f>
        <v>1839.9</v>
      </c>
      <c r="D92" s="82">
        <f>VLOOKUP($B92,'Data shares'!$C:$FB,98)</f>
        <v>11698225</v>
      </c>
      <c r="E92" s="165">
        <f>VLOOKUP(B92,'Snapshot (Volume)'!$A$7:$G$168,7,0)</f>
        <v>11473825</v>
      </c>
      <c r="F92" s="165">
        <f t="shared" si="27"/>
        <v>224400</v>
      </c>
      <c r="G92" s="166">
        <f t="shared" si="28"/>
        <v>1.9557558181338829E-2</v>
      </c>
      <c r="H92" s="165">
        <f>VLOOKUP($B92,'Data shares'!$C:$FB,66)</f>
        <v>3699025</v>
      </c>
      <c r="I92" s="165">
        <f>VLOOKUP($B92,'Data shares'!$C:$FB,67)</f>
        <v>4958525</v>
      </c>
      <c r="J92" s="81">
        <f t="shared" si="29"/>
        <v>-25.400698796517108</v>
      </c>
      <c r="K92" s="5">
        <f>VLOOKUP($B92,'Data Vlaue (Cr)'!$C:$FB,99)</f>
        <v>2153</v>
      </c>
      <c r="L92" s="81">
        <f>VLOOKUP(B92,'OI(Value)'!$A$7:$C$232,3,0)</f>
        <v>41</v>
      </c>
      <c r="M92" s="33">
        <f t="shared" si="22"/>
        <v>1.9043195541105433</v>
      </c>
      <c r="N92" s="5">
        <f>VLOOKUP($B92,'Data Vlaue (Cr)'!$C:$FB,67)</f>
        <v>681</v>
      </c>
      <c r="O92" s="5">
        <f>VLOOKUP($B92,'Data Vlaue (Cr)'!$C:$FB,68)</f>
        <v>913</v>
      </c>
      <c r="P92" s="5">
        <f t="shared" si="30"/>
        <v>-34.067547723935391</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Banking</v>
      </c>
      <c r="B93" s="79" t="str">
        <f>'Data shares'!C88</f>
        <v>ICICIBANK</v>
      </c>
      <c r="C93" s="4">
        <f>VLOOKUP($B93,'Data shares'!$C:$FB,7)</f>
        <v>1279.5</v>
      </c>
      <c r="D93" s="82">
        <f>VLOOKUP($B93,'Data shares'!$C:$FB,98)</f>
        <v>208527900</v>
      </c>
      <c r="E93" s="165">
        <f>VLOOKUP(B93,'Snapshot (Volume)'!$A$7:$G$168,7,0)</f>
        <v>203286300</v>
      </c>
      <c r="F93" s="165">
        <f t="shared" si="27"/>
        <v>5241600</v>
      </c>
      <c r="G93" s="166">
        <f t="shared" si="28"/>
        <v>2.5784324865964898E-2</v>
      </c>
      <c r="H93" s="165">
        <f>VLOOKUP($B93,'Data shares'!$C:$FB,66)</f>
        <v>103857600</v>
      </c>
      <c r="I93" s="165">
        <f>VLOOKUP($B93,'Data shares'!$C:$FB,67)</f>
        <v>70694400</v>
      </c>
      <c r="J93" s="81">
        <f t="shared" si="29"/>
        <v>46.910646387832699</v>
      </c>
      <c r="K93" s="5">
        <f>VLOOKUP($B93,'Data Vlaue (Cr)'!$C:$FB,99)</f>
        <v>26850</v>
      </c>
      <c r="L93" s="81">
        <f>VLOOKUP(B93,'OI(Value)'!$A$7:$C$232,3,0)</f>
        <v>675</v>
      </c>
      <c r="M93" s="33">
        <f t="shared" si="22"/>
        <v>2.5139664804469275</v>
      </c>
      <c r="N93" s="5">
        <f>VLOOKUP($B93,'Data Vlaue (Cr)'!$C:$FB,67)</f>
        <v>13373</v>
      </c>
      <c r="O93" s="5">
        <f>VLOOKUP($B93,'Data Vlaue (Cr)'!$C:$FB,68)</f>
        <v>9103</v>
      </c>
      <c r="P93" s="5">
        <f t="shared" si="30"/>
        <v>31.93000822552905</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Finance</v>
      </c>
      <c r="B94" s="79" t="str">
        <f>'Data shares'!C89</f>
        <v>ICICIGI</v>
      </c>
      <c r="C94" s="4">
        <f>VLOOKUP($B94,'Data shares'!$C:$FB,7)</f>
        <v>1809.9</v>
      </c>
      <c r="D94" s="82">
        <f>VLOOKUP($B94,'Data shares'!$C:$FB,98)</f>
        <v>6413875</v>
      </c>
      <c r="E94" s="165">
        <f>VLOOKUP(B94,'Snapshot (Volume)'!$A$7:$G$168,7,0)</f>
        <v>6319300</v>
      </c>
      <c r="F94" s="165">
        <f t="shared" si="27"/>
        <v>94575</v>
      </c>
      <c r="G94" s="166">
        <f t="shared" si="28"/>
        <v>1.4966056367002675E-2</v>
      </c>
      <c r="H94" s="165">
        <f>VLOOKUP($B94,'Data shares'!$C:$FB,66)</f>
        <v>2764450</v>
      </c>
      <c r="I94" s="165">
        <f>VLOOKUP($B94,'Data shares'!$C:$FB,67)</f>
        <v>1418950</v>
      </c>
      <c r="J94" s="81">
        <f t="shared" si="29"/>
        <v>94.823637196518547</v>
      </c>
      <c r="K94" s="5">
        <f>VLOOKUP($B94,'Data Vlaue (Cr)'!$C:$FB,99)</f>
        <v>1165</v>
      </c>
      <c r="L94" s="81">
        <f>VLOOKUP(B94,'OI(Value)'!$A$7:$C$232,3,0)</f>
        <v>17</v>
      </c>
      <c r="M94" s="33">
        <f t="shared" ref="M94:M122" si="31">L94/K94*100</f>
        <v>1.4592274678111588</v>
      </c>
      <c r="N94" s="5">
        <f>VLOOKUP($B94,'Data Vlaue (Cr)'!$C:$FB,67)</f>
        <v>502</v>
      </c>
      <c r="O94" s="5">
        <f>VLOOKUP($B94,'Data Vlaue (Cr)'!$C:$FB,68)</f>
        <v>258</v>
      </c>
      <c r="P94" s="5">
        <f t="shared" si="30"/>
        <v>48.605577689243027</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Finance</v>
      </c>
      <c r="B95" s="79" t="str">
        <f>'Data shares'!C90</f>
        <v>ICICIPRULI</v>
      </c>
      <c r="C95" s="4">
        <f>VLOOKUP($B95,'Data shares'!$C:$FB,7)</f>
        <v>550.1</v>
      </c>
      <c r="D95" s="82">
        <f>VLOOKUP($B95,'Data shares'!$C:$FB,98)</f>
        <v>28563075</v>
      </c>
      <c r="E95" s="165">
        <f>VLOOKUP(B95,'Snapshot (Volume)'!$A$7:$G$168,7,0)</f>
        <v>28800800</v>
      </c>
      <c r="F95" s="165">
        <f t="shared" si="27"/>
        <v>-237725</v>
      </c>
      <c r="G95" s="166">
        <f t="shared" si="28"/>
        <v>-8.2541109969167525E-3</v>
      </c>
      <c r="H95" s="165">
        <f>VLOOKUP($B95,'Data shares'!$C:$FB,66)</f>
        <v>11148100</v>
      </c>
      <c r="I95" s="165">
        <f>VLOOKUP($B95,'Data shares'!$C:$FB,67)</f>
        <v>10406250</v>
      </c>
      <c r="J95" s="81">
        <f t="shared" si="29"/>
        <v>7.1288888888888886</v>
      </c>
      <c r="K95" s="5">
        <f>VLOOKUP($B95,'Data Vlaue (Cr)'!$C:$FB,99)</f>
        <v>1579</v>
      </c>
      <c r="L95" s="81">
        <f>VLOOKUP(B95,'OI(Value)'!$A$7:$C$232,3,0)</f>
        <v>-13</v>
      </c>
      <c r="M95" s="33">
        <f t="shared" si="31"/>
        <v>-0.82330588980367314</v>
      </c>
      <c r="N95" s="5">
        <f>VLOOKUP($B95,'Data Vlaue (Cr)'!$C:$FB,67)</f>
        <v>616</v>
      </c>
      <c r="O95" s="5">
        <f>VLOOKUP($B95,'Data Vlaue (Cr)'!$C:$FB,68)</f>
        <v>575</v>
      </c>
      <c r="P95" s="5">
        <f t="shared" si="30"/>
        <v>6.6558441558441555</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Telecom</v>
      </c>
      <c r="B96" s="79" t="str">
        <f>'Data shares'!C91</f>
        <v>IDEA</v>
      </c>
      <c r="C96" s="4">
        <f>VLOOKUP($B96,'Data shares'!$C:$FB,7)</f>
        <v>11.3</v>
      </c>
      <c r="D96" s="82">
        <f>VLOOKUP($B96,'Data shares'!$C:$FB,98)</f>
        <v>9141723975</v>
      </c>
      <c r="E96" s="165">
        <f>VLOOKUP(B96,'Snapshot (Volume)'!$A$7:$G$168,7,0)</f>
        <v>9253010550</v>
      </c>
      <c r="F96" s="165">
        <f t="shared" si="27"/>
        <v>-111286575</v>
      </c>
      <c r="G96" s="166">
        <f t="shared" si="28"/>
        <v>-1.2027066693444978E-2</v>
      </c>
      <c r="H96" s="165">
        <f>VLOOKUP($B96,'Data shares'!$C:$FB,66)</f>
        <v>4381203075</v>
      </c>
      <c r="I96" s="165">
        <f>VLOOKUP($B96,'Data shares'!$C:$FB,67)</f>
        <v>4721924400</v>
      </c>
      <c r="J96" s="81">
        <f t="shared" si="29"/>
        <v>-7.2157302010171955</v>
      </c>
      <c r="K96" s="5">
        <f>VLOOKUP($B96,'Data Vlaue (Cr)'!$C:$FB,99)</f>
        <v>10394</v>
      </c>
      <c r="L96" s="81">
        <f>VLOOKUP(B96,'OI(Value)'!$A$7:$C$232,3,0)</f>
        <v>-127</v>
      </c>
      <c r="M96" s="33">
        <f t="shared" si="31"/>
        <v>-1.2218587646719261</v>
      </c>
      <c r="N96" s="5">
        <f>VLOOKUP($B96,'Data Vlaue (Cr)'!$C:$FB,67)</f>
        <v>4981</v>
      </c>
      <c r="O96" s="5">
        <f>VLOOKUP($B96,'Data Vlaue (Cr)'!$C:$FB,68)</f>
        <v>5369</v>
      </c>
      <c r="P96" s="5">
        <f t="shared" si="30"/>
        <v>-7.7896004818309574</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Banking</v>
      </c>
      <c r="B97" s="79" t="str">
        <f>'Data shares'!C92</f>
        <v>IDFCFIRSTB</v>
      </c>
      <c r="C97" s="4">
        <f>VLOOKUP($B97,'Data shares'!$C:$FB,7)</f>
        <v>69.59</v>
      </c>
      <c r="D97" s="82">
        <f>VLOOKUP($B97,'Data shares'!$C:$FB,98)</f>
        <v>612493175</v>
      </c>
      <c r="E97" s="165">
        <f>VLOOKUP(B97,'Snapshot (Volume)'!$A$7:$G$168,7,0)</f>
        <v>587868050</v>
      </c>
      <c r="F97" s="165">
        <f t="shared" ref="F97:F105" si="32">D97-E97</f>
        <v>24625125</v>
      </c>
      <c r="G97" s="166">
        <f t="shared" ref="G97:G105" si="33">F97/E97</f>
        <v>4.1888864346344389E-2</v>
      </c>
      <c r="H97" s="165">
        <f>VLOOKUP($B97,'Data shares'!$C:$FB,66)</f>
        <v>257000975</v>
      </c>
      <c r="I97" s="165">
        <f>VLOOKUP($B97,'Data shares'!$C:$FB,67)</f>
        <v>148390725</v>
      </c>
      <c r="J97" s="81">
        <f t="shared" ref="J97:J105" si="34">(H97-I97)/I97*100</f>
        <v>73.192074504656546</v>
      </c>
      <c r="K97" s="5">
        <f>VLOOKUP($B97,'Data Vlaue (Cr)'!$C:$FB,99)</f>
        <v>4292</v>
      </c>
      <c r="L97" s="81">
        <f>VLOOKUP(B97,'OI(Value)'!$A$7:$C$232,3,0)</f>
        <v>173</v>
      </c>
      <c r="M97" s="33">
        <f t="shared" si="31"/>
        <v>4.0307548928238583</v>
      </c>
      <c r="N97" s="5">
        <f>VLOOKUP($B97,'Data Vlaue (Cr)'!$C:$FB,67)</f>
        <v>1801</v>
      </c>
      <c r="O97" s="5">
        <f>VLOOKUP($B97,'Data Vlaue (Cr)'!$C:$FB,68)</f>
        <v>1040</v>
      </c>
      <c r="P97" s="5">
        <f t="shared" ref="P97:P105" si="35">(N97-O97)/N97*100</f>
        <v>42.254303164908386</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Power</v>
      </c>
      <c r="B98" s="79" t="str">
        <f>'Data shares'!C93</f>
        <v>IEX</v>
      </c>
      <c r="C98" s="4">
        <f>VLOOKUP($B98,'Data shares'!$C:$FB,7)</f>
        <v>129.80000000000001</v>
      </c>
      <c r="D98" s="82">
        <f>VLOOKUP($B98,'Data shares'!$C:$FB,98)</f>
        <v>144562200</v>
      </c>
      <c r="E98" s="165">
        <f>VLOOKUP(B98,'Snapshot (Volume)'!$A$7:$G$168,7,0)</f>
        <v>142461750</v>
      </c>
      <c r="F98" s="165">
        <f t="shared" si="32"/>
        <v>2100450</v>
      </c>
      <c r="G98" s="166">
        <f t="shared" si="33"/>
        <v>1.4743957588615892E-2</v>
      </c>
      <c r="H98" s="165">
        <f>VLOOKUP($B98,'Data shares'!$C:$FB,66)</f>
        <v>59722500</v>
      </c>
      <c r="I98" s="165">
        <f>VLOOKUP($B98,'Data shares'!$C:$FB,67)</f>
        <v>43751250</v>
      </c>
      <c r="J98" s="81">
        <f t="shared" si="34"/>
        <v>36.504671295105858</v>
      </c>
      <c r="K98" s="5">
        <f>VLOOKUP($B98,'Data Vlaue (Cr)'!$C:$FB,99)</f>
        <v>1861</v>
      </c>
      <c r="L98" s="81">
        <f>VLOOKUP(B98,'OI(Value)'!$A$7:$C$232,3,0)</f>
        <v>27</v>
      </c>
      <c r="M98" s="33">
        <f t="shared" si="31"/>
        <v>1.4508328855454058</v>
      </c>
      <c r="N98" s="5">
        <f>VLOOKUP($B98,'Data Vlaue (Cr)'!$C:$FB,67)</f>
        <v>769</v>
      </c>
      <c r="O98" s="5">
        <f>VLOOKUP($B98,'Data Vlaue (Cr)'!$C:$FB,68)</f>
        <v>563</v>
      </c>
      <c r="P98" s="5">
        <f t="shared" si="35"/>
        <v>26.788036410923276</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Realty</v>
      </c>
      <c r="B99" s="79" t="str">
        <f>'Data shares'!C94</f>
        <v>INDHOTEL</v>
      </c>
      <c r="C99" s="4">
        <f>VLOOKUP($B99,'Data shares'!$C:$FB,7)</f>
        <v>666.15</v>
      </c>
      <c r="D99" s="82">
        <f>VLOOKUP($B99,'Data shares'!$C:$FB,98)</f>
        <v>32638000</v>
      </c>
      <c r="E99" s="165">
        <f>VLOOKUP(B99,'Snapshot (Volume)'!$A$7:$G$168,7,0)</f>
        <v>32219000</v>
      </c>
      <c r="F99" s="165">
        <f t="shared" si="32"/>
        <v>419000</v>
      </c>
      <c r="G99" s="166">
        <f t="shared" si="33"/>
        <v>1.3004748750737143E-2</v>
      </c>
      <c r="H99" s="165">
        <f>VLOOKUP($B99,'Data shares'!$C:$FB,66)</f>
        <v>23177000</v>
      </c>
      <c r="I99" s="165">
        <f>VLOOKUP($B99,'Data shares'!$C:$FB,67)</f>
        <v>9283000</v>
      </c>
      <c r="J99" s="81">
        <f t="shared" si="34"/>
        <v>149.67144242163093</v>
      </c>
      <c r="K99" s="5">
        <f>VLOOKUP($B99,'Data Vlaue (Cr)'!$C:$FB,99)</f>
        <v>2186</v>
      </c>
      <c r="L99" s="81">
        <f>VLOOKUP(B99,'OI(Value)'!$A$7:$C$232,3,0)</f>
        <v>28</v>
      </c>
      <c r="M99" s="33">
        <f t="shared" si="31"/>
        <v>1.2808783165599267</v>
      </c>
      <c r="N99" s="5">
        <f>VLOOKUP($B99,'Data Vlaue (Cr)'!$C:$FB,67)</f>
        <v>1553</v>
      </c>
      <c r="O99" s="5">
        <f>VLOOKUP($B99,'Data Vlaue (Cr)'!$C:$FB,68)</f>
        <v>622</v>
      </c>
      <c r="P99" s="5">
        <f t="shared" si="35"/>
        <v>59.948486799742426</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Banking</v>
      </c>
      <c r="B100" s="79" t="str">
        <f>'Data shares'!C95</f>
        <v>INDIANB</v>
      </c>
      <c r="C100" s="4">
        <f>VLOOKUP($B100,'Data shares'!$C:$FB,7)</f>
        <v>866.85</v>
      </c>
      <c r="D100" s="82">
        <f>VLOOKUP($B100,'Data shares'!$C:$FB,98)</f>
        <v>24809000</v>
      </c>
      <c r="E100" s="165">
        <f>VLOOKUP(B100,'Snapshot (Volume)'!$A$7:$G$168,7,0)</f>
        <v>24473000</v>
      </c>
      <c r="F100" s="165">
        <f t="shared" si="32"/>
        <v>336000</v>
      </c>
      <c r="G100" s="166">
        <f t="shared" si="33"/>
        <v>1.372941609120255E-2</v>
      </c>
      <c r="H100" s="165">
        <f>VLOOKUP($B100,'Data shares'!$C:$FB,66)</f>
        <v>28377000</v>
      </c>
      <c r="I100" s="165">
        <f>VLOOKUP($B100,'Data shares'!$C:$FB,67)</f>
        <v>23127000</v>
      </c>
      <c r="J100" s="81">
        <f t="shared" si="34"/>
        <v>22.700739395511739</v>
      </c>
      <c r="K100" s="5">
        <f>VLOOKUP($B100,'Data Vlaue (Cr)'!$C:$FB,99)</f>
        <v>2166</v>
      </c>
      <c r="L100" s="81">
        <f>VLOOKUP(B100,'OI(Value)'!$A$7:$C$232,3,0)</f>
        <v>29</v>
      </c>
      <c r="M100" s="33">
        <f t="shared" si="31"/>
        <v>1.3388734995383196</v>
      </c>
      <c r="N100" s="5">
        <f>VLOOKUP($B100,'Data Vlaue (Cr)'!$C:$FB,67)</f>
        <v>2477</v>
      </c>
      <c r="O100" s="5">
        <f>VLOOKUP($B100,'Data Vlaue (Cr)'!$C:$FB,68)</f>
        <v>2019</v>
      </c>
      <c r="P100" s="5">
        <f t="shared" si="35"/>
        <v>18.490109002825999</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Index</v>
      </c>
      <c r="B101" s="79" t="str">
        <f>'Data shares'!C96</f>
        <v>INDIAVIX</v>
      </c>
      <c r="C101" s="4">
        <f>VLOOKUP($B101,'Data shares'!$C:$FB,7)</f>
        <v>16.68</v>
      </c>
      <c r="D101" s="82">
        <f>VLOOKUP($B101,'Data shares'!$C:$FB,98)</f>
        <v>0</v>
      </c>
      <c r="E101" s="165">
        <f>VLOOKUP(B101,'Snapshot (Volume)'!$A$7:$G$168,7,0)</f>
        <v>0</v>
      </c>
      <c r="F101" s="165">
        <f t="shared" si="32"/>
        <v>0</v>
      </c>
      <c r="G101" s="166" t="e">
        <f t="shared" si="33"/>
        <v>#DIV/0!</v>
      </c>
      <c r="H101" s="165">
        <f>VLOOKUP($B101,'Data shares'!$C:$FB,66)</f>
        <v>0</v>
      </c>
      <c r="I101" s="165">
        <f>VLOOKUP($B101,'Data shares'!$C:$FB,67)</f>
        <v>0</v>
      </c>
      <c r="J101" s="81" t="e">
        <f t="shared" si="34"/>
        <v>#DIV/0!</v>
      </c>
      <c r="K101" s="5">
        <f>VLOOKUP($B101,'Data Vlaue (Cr)'!$C:$FB,99)</f>
        <v>0</v>
      </c>
      <c r="L101" s="81">
        <f>VLOOKUP(B101,'OI(Value)'!$A$7:$C$232,3,0)</f>
        <v>0</v>
      </c>
      <c r="M101" s="33" t="e">
        <f t="shared" si="31"/>
        <v>#DIV/0!</v>
      </c>
      <c r="N101" s="5">
        <f>VLOOKUP($B101,'Data Vlaue (Cr)'!$C:$FB,67)</f>
        <v>0</v>
      </c>
      <c r="O101" s="5">
        <f>VLOOKUP($B101,'Data Vlaue (Cr)'!$C:$FB,68)</f>
        <v>0</v>
      </c>
      <c r="P101" s="5" t="e">
        <f t="shared" si="35"/>
        <v>#DIV/0!</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Infrastructure</v>
      </c>
      <c r="B102" s="79" t="str">
        <f>'Data shares'!C97</f>
        <v>INDIGO</v>
      </c>
      <c r="C102" s="4">
        <f>VLOOKUP($B102,'Data shares'!$C:$FB,7)</f>
        <v>4520.2</v>
      </c>
      <c r="D102" s="82">
        <f>VLOOKUP($B102,'Data shares'!$C:$FB,98)</f>
        <v>14641050</v>
      </c>
      <c r="E102" s="165">
        <f>VLOOKUP(B102,'Snapshot (Volume)'!$A$7:$G$168,7,0)</f>
        <v>13756950</v>
      </c>
      <c r="F102" s="165">
        <f t="shared" si="32"/>
        <v>884100</v>
      </c>
      <c r="G102" s="166">
        <f t="shared" si="33"/>
        <v>6.4265698428794177E-2</v>
      </c>
      <c r="H102" s="165">
        <f>VLOOKUP($B102,'Data shares'!$C:$FB,66)</f>
        <v>23247450</v>
      </c>
      <c r="I102" s="165">
        <f>VLOOKUP($B102,'Data shares'!$C:$FB,67)</f>
        <v>8166150</v>
      </c>
      <c r="J102" s="81">
        <f t="shared" si="34"/>
        <v>184.68066347054611</v>
      </c>
      <c r="K102" s="5">
        <f>VLOOKUP($B102,'Data Vlaue (Cr)'!$C:$FB,99)</f>
        <v>6650</v>
      </c>
      <c r="L102" s="81">
        <f>VLOOKUP(B102,'OI(Value)'!$A$7:$C$232,3,0)</f>
        <v>402</v>
      </c>
      <c r="M102" s="33">
        <f t="shared" si="31"/>
        <v>6.0451127819548871</v>
      </c>
      <c r="N102" s="5">
        <f>VLOOKUP($B102,'Data Vlaue (Cr)'!$C:$FB,67)</f>
        <v>10559</v>
      </c>
      <c r="O102" s="5">
        <f>VLOOKUP($B102,'Data Vlaue (Cr)'!$C:$FB,68)</f>
        <v>3709</v>
      </c>
      <c r="P102" s="5">
        <f t="shared" si="35"/>
        <v>64.87356757268681</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Banking</v>
      </c>
      <c r="B103" s="79" t="str">
        <f>'Data shares'!C98</f>
        <v>INDUSINDBK</v>
      </c>
      <c r="C103" s="4">
        <f>VLOOKUP($B103,'Data shares'!$C:$FB,7)</f>
        <v>946.75</v>
      </c>
      <c r="D103" s="82">
        <f>VLOOKUP($B103,'Data shares'!$C:$FB,98)</f>
        <v>49156100</v>
      </c>
      <c r="E103" s="165">
        <f>VLOOKUP(B103,'Snapshot (Volume)'!$A$7:$G$168,7,0)</f>
        <v>48157200</v>
      </c>
      <c r="F103" s="165">
        <f t="shared" si="32"/>
        <v>998900</v>
      </c>
      <c r="G103" s="166">
        <f t="shared" si="33"/>
        <v>2.0742485028199312E-2</v>
      </c>
      <c r="H103" s="165">
        <f>VLOOKUP($B103,'Data shares'!$C:$FB,66)</f>
        <v>22284500</v>
      </c>
      <c r="I103" s="165">
        <f>VLOOKUP($B103,'Data shares'!$C:$FB,67)</f>
        <v>14585200</v>
      </c>
      <c r="J103" s="81">
        <f t="shared" si="34"/>
        <v>52.788443079285855</v>
      </c>
      <c r="K103" s="5">
        <f>VLOOKUP($B103,'Data Vlaue (Cr)'!$C:$FB,99)</f>
        <v>4685</v>
      </c>
      <c r="L103" s="81">
        <f>VLOOKUP(B103,'OI(Value)'!$A$7:$C$232,3,0)</f>
        <v>95</v>
      </c>
      <c r="M103" s="33">
        <f t="shared" si="31"/>
        <v>2.0277481323372464</v>
      </c>
      <c r="N103" s="5">
        <f>VLOOKUP($B103,'Data Vlaue (Cr)'!$C:$FB,67)</f>
        <v>2124</v>
      </c>
      <c r="O103" s="5">
        <f>VLOOKUP($B103,'Data Vlaue (Cr)'!$C:$FB,68)</f>
        <v>1390</v>
      </c>
      <c r="P103" s="5">
        <f t="shared" si="35"/>
        <v>34.557438794726927</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Telecom</v>
      </c>
      <c r="B104" s="79" t="str">
        <f>'Data shares'!C99</f>
        <v>INDUSTOWER</v>
      </c>
      <c r="C104" s="4">
        <f>VLOOKUP($B104,'Data shares'!$C:$FB,7)</f>
        <v>408.3</v>
      </c>
      <c r="D104" s="82">
        <f>VLOOKUP($B104,'Data shares'!$C:$FB,98)</f>
        <v>133565600</v>
      </c>
      <c r="E104" s="165">
        <f>VLOOKUP(B104,'Snapshot (Volume)'!$A$7:$G$168,7,0)</f>
        <v>134133400</v>
      </c>
      <c r="F104" s="165">
        <f t="shared" si="32"/>
        <v>-567800</v>
      </c>
      <c r="G104" s="166">
        <f t="shared" si="33"/>
        <v>-4.2330992877240119E-3</v>
      </c>
      <c r="H104" s="165">
        <f>VLOOKUP($B104,'Data shares'!$C:$FB,66)</f>
        <v>55047700</v>
      </c>
      <c r="I104" s="165">
        <f>VLOOKUP($B104,'Data shares'!$C:$FB,67)</f>
        <v>57436200</v>
      </c>
      <c r="J104" s="81">
        <f t="shared" si="34"/>
        <v>-4.1585272006156391</v>
      </c>
      <c r="K104" s="5">
        <f>VLOOKUP($B104,'Data Vlaue (Cr)'!$C:$FB,99)</f>
        <v>5478</v>
      </c>
      <c r="L104" s="81">
        <f>VLOOKUP(B104,'OI(Value)'!$A$7:$C$232,3,0)</f>
        <v>-23</v>
      </c>
      <c r="M104" s="33">
        <f t="shared" si="31"/>
        <v>-0.4198612632347572</v>
      </c>
      <c r="N104" s="5">
        <f>VLOOKUP($B104,'Data Vlaue (Cr)'!$C:$FB,67)</f>
        <v>2258</v>
      </c>
      <c r="O104" s="5">
        <f>VLOOKUP($B104,'Data Vlaue (Cr)'!$C:$FB,68)</f>
        <v>2355</v>
      </c>
      <c r="P104" s="5">
        <f t="shared" si="35"/>
        <v>-4.2958370239149692</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Technology</v>
      </c>
      <c r="B105" s="79" t="str">
        <f>'Data shares'!C100</f>
        <v>INFY</v>
      </c>
      <c r="C105" s="4">
        <f>VLOOKUP($B105,'Data shares'!$C:$FB,7)</f>
        <v>1167.2</v>
      </c>
      <c r="D105" s="82">
        <f>VLOOKUP($B105,'Data shares'!$C:$FB,98)</f>
        <v>149236800</v>
      </c>
      <c r="E105" s="165">
        <f>VLOOKUP(B105,'Snapshot (Volume)'!$A$7:$G$168,7,0)</f>
        <v>139869600</v>
      </c>
      <c r="F105" s="165">
        <f t="shared" si="32"/>
        <v>9367200</v>
      </c>
      <c r="G105" s="166">
        <f t="shared" si="33"/>
        <v>6.6970950084936254E-2</v>
      </c>
      <c r="H105" s="165">
        <f>VLOOKUP($B105,'Data shares'!$C:$FB,66)</f>
        <v>59049600</v>
      </c>
      <c r="I105" s="165">
        <f>VLOOKUP($B105,'Data shares'!$C:$FB,67)</f>
        <v>33260000</v>
      </c>
      <c r="J105" s="81">
        <f t="shared" si="34"/>
        <v>77.539386650631386</v>
      </c>
      <c r="K105" s="5">
        <f>VLOOKUP($B105,'Data Vlaue (Cr)'!$C:$FB,99)</f>
        <v>17476</v>
      </c>
      <c r="L105" s="81">
        <f>VLOOKUP(B105,'OI(Value)'!$A$7:$C$232,3,0)</f>
        <v>1097</v>
      </c>
      <c r="M105" s="33">
        <f t="shared" si="31"/>
        <v>6.2771801327534904</v>
      </c>
      <c r="N105" s="5">
        <f>VLOOKUP($B105,'Data Vlaue (Cr)'!$C:$FB,67)</f>
        <v>6915</v>
      </c>
      <c r="O105" s="5">
        <f>VLOOKUP($B105,'Data Vlaue (Cr)'!$C:$FB,68)</f>
        <v>3895</v>
      </c>
      <c r="P105" s="5">
        <f t="shared" si="35"/>
        <v>43.673174258857557</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Power</v>
      </c>
      <c r="B106" s="79" t="str">
        <f>'Data shares'!C101</f>
        <v>INOXWIND</v>
      </c>
      <c r="C106" s="79">
        <f>VLOOKUP($B106,'Data shares'!$C:$FB,7)</f>
        <v>107.11</v>
      </c>
      <c r="D106" s="80">
        <f>VLOOKUP($B106,'Data shares'!$C:$FB,98)</f>
        <v>131858750</v>
      </c>
      <c r="E106" s="165">
        <f>VLOOKUP(B106,'Snapshot (Volume)'!$A$7:$G$168,7,0)</f>
        <v>130525275</v>
      </c>
      <c r="F106" s="165">
        <f t="shared" ref="F106:F114" si="36">D106-E106</f>
        <v>1333475</v>
      </c>
      <c r="G106" s="166">
        <f t="shared" ref="G106:G114" si="37">F106/E106</f>
        <v>1.021622057490398E-2</v>
      </c>
      <c r="H106" s="165">
        <f>VLOOKUP($B106,'Data shares'!$C:$FB,66)</f>
        <v>66312675</v>
      </c>
      <c r="I106" s="165">
        <f>VLOOKUP($B106,'Data shares'!$C:$FB,67)</f>
        <v>85413900</v>
      </c>
      <c r="J106" s="81">
        <f t="shared" ref="J106:J114" si="38">(H106-I106)/I106*100</f>
        <v>-22.363134103465594</v>
      </c>
      <c r="K106" s="81">
        <f>VLOOKUP($B106,'Data Vlaue (Cr)'!$C:$FB,99)</f>
        <v>1418</v>
      </c>
      <c r="L106" s="81">
        <f>VLOOKUP(B106,'OI(Value)'!$A$7:$C$232,3,0)</f>
        <v>14</v>
      </c>
      <c r="M106" s="81">
        <f t="shared" si="31"/>
        <v>0.98730606488011285</v>
      </c>
      <c r="N106" s="81">
        <f>VLOOKUP($B106,'Data Vlaue (Cr)'!$C:$FB,67)</f>
        <v>713</v>
      </c>
      <c r="O106" s="81">
        <f>VLOOKUP($B106,'Data Vlaue (Cr)'!$C:$FB,68)</f>
        <v>918</v>
      </c>
      <c r="P106" s="81">
        <f t="shared" ref="P106:P114" si="39">(N106-O106)/N106*100</f>
        <v>-28.751753155680227</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Oil_Gas</v>
      </c>
      <c r="B107" s="79" t="str">
        <f>'Data shares'!C102</f>
        <v>IOC</v>
      </c>
      <c r="C107" s="79">
        <f>VLOOKUP($B107,'Data shares'!$C:$FB,7)</f>
        <v>148.21</v>
      </c>
      <c r="D107" s="80">
        <f>VLOOKUP($B107,'Data shares'!$C:$FB,98)</f>
        <v>193454625</v>
      </c>
      <c r="E107" s="165">
        <f>VLOOKUP(B107,'Snapshot (Volume)'!$A$7:$G$168,7,0)</f>
        <v>186400500</v>
      </c>
      <c r="F107" s="165">
        <f t="shared" si="36"/>
        <v>7054125</v>
      </c>
      <c r="G107" s="166">
        <f t="shared" si="37"/>
        <v>3.7843916727691183E-2</v>
      </c>
      <c r="H107" s="165">
        <f>VLOOKUP($B107,'Data shares'!$C:$FB,66)</f>
        <v>191563125</v>
      </c>
      <c r="I107" s="165">
        <f>VLOOKUP($B107,'Data shares'!$C:$FB,67)</f>
        <v>45274125</v>
      </c>
      <c r="J107" s="81">
        <f t="shared" si="38"/>
        <v>323.11833746096698</v>
      </c>
      <c r="K107" s="81">
        <f>VLOOKUP($B107,'Data Vlaue (Cr)'!$C:$FB,99)</f>
        <v>2886</v>
      </c>
      <c r="L107" s="81">
        <f>VLOOKUP(B107,'OI(Value)'!$A$7:$C$232,3,0)</f>
        <v>105</v>
      </c>
      <c r="M107" s="81">
        <f t="shared" si="31"/>
        <v>3.6382536382536386</v>
      </c>
      <c r="N107" s="81">
        <f>VLOOKUP($B107,'Data Vlaue (Cr)'!$C:$FB,67)</f>
        <v>2858</v>
      </c>
      <c r="O107" s="81">
        <f>VLOOKUP($B107,'Data Vlaue (Cr)'!$C:$FB,68)</f>
        <v>675</v>
      </c>
      <c r="P107" s="81">
        <f t="shared" si="39"/>
        <v>76.382085374387685</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Finance</v>
      </c>
      <c r="B108" s="79" t="str">
        <f>'Data shares'!C103</f>
        <v>IREDA</v>
      </c>
      <c r="C108" s="4">
        <f>VLOOKUP($B108,'Data shares'!$C:$FB,7)</f>
        <v>136.41</v>
      </c>
      <c r="D108" s="82">
        <f>VLOOKUP($B108,'Data shares'!$C:$FB,98)</f>
        <v>77801875</v>
      </c>
      <c r="E108" s="165">
        <f>VLOOKUP(B108,'Snapshot (Volume)'!$A$7:$G$168,7,0)</f>
        <v>75941975</v>
      </c>
      <c r="F108" s="165">
        <f t="shared" si="36"/>
        <v>1859900</v>
      </c>
      <c r="G108" s="166">
        <f t="shared" si="37"/>
        <v>2.4491067028477993E-2</v>
      </c>
      <c r="H108" s="165">
        <f>VLOOKUP($B108,'Data shares'!$C:$FB,66)</f>
        <v>18509250</v>
      </c>
      <c r="I108" s="165">
        <f>VLOOKUP($B108,'Data shares'!$C:$FB,67)</f>
        <v>14327850</v>
      </c>
      <c r="J108" s="81">
        <f t="shared" si="38"/>
        <v>29.183722610161329</v>
      </c>
      <c r="K108" s="5">
        <f>VLOOKUP($B108,'Data Vlaue (Cr)'!$C:$FB,99)</f>
        <v>1066</v>
      </c>
      <c r="L108" s="81">
        <f>VLOOKUP(B108,'OI(Value)'!$A$7:$C$232,3,0)</f>
        <v>25</v>
      </c>
      <c r="M108" s="33">
        <f t="shared" si="31"/>
        <v>2.3452157598499062</v>
      </c>
      <c r="N108" s="5">
        <f>VLOOKUP($B108,'Data Vlaue (Cr)'!$C:$FB,67)</f>
        <v>254</v>
      </c>
      <c r="O108" s="5">
        <f>VLOOKUP($B108,'Data Vlaue (Cr)'!$C:$FB,68)</f>
        <v>196</v>
      </c>
      <c r="P108" s="5">
        <f t="shared" si="39"/>
        <v>22.834645669291341</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Infrastructure</v>
      </c>
      <c r="B109" s="79" t="str">
        <f>'Data shares'!C104</f>
        <v>IRFC</v>
      </c>
      <c r="C109" s="4">
        <f>VLOOKUP($B109,'Data shares'!$C:$FB,7)</f>
        <v>106.74</v>
      </c>
      <c r="D109" s="82">
        <f>VLOOKUP($B109,'Data shares'!$C:$FB,98)</f>
        <v>115610800</v>
      </c>
      <c r="E109" s="165">
        <f>VLOOKUP(B109,'Snapshot (Volume)'!$A$7:$G$168,7,0)</f>
        <v>113390325</v>
      </c>
      <c r="F109" s="165">
        <f t="shared" si="36"/>
        <v>2220475</v>
      </c>
      <c r="G109" s="166">
        <f t="shared" si="37"/>
        <v>1.9582579025150513E-2</v>
      </c>
      <c r="H109" s="165">
        <f>VLOOKUP($B109,'Data shares'!$C:$FB,66)</f>
        <v>56916000</v>
      </c>
      <c r="I109" s="165">
        <f>VLOOKUP($B109,'Data shares'!$C:$FB,67)</f>
        <v>100529500</v>
      </c>
      <c r="J109" s="81">
        <f t="shared" si="38"/>
        <v>-43.383782869704909</v>
      </c>
      <c r="K109" s="5">
        <f>VLOOKUP($B109,'Data Vlaue (Cr)'!$C:$FB,99)</f>
        <v>1242</v>
      </c>
      <c r="L109" s="81">
        <f>VLOOKUP(B109,'OI(Value)'!$A$7:$C$232,3,0)</f>
        <v>24</v>
      </c>
      <c r="M109" s="33">
        <f t="shared" si="31"/>
        <v>1.932367149758454</v>
      </c>
      <c r="N109" s="5">
        <f>VLOOKUP($B109,'Data Vlaue (Cr)'!$C:$FB,67)</f>
        <v>611</v>
      </c>
      <c r="O109" s="5">
        <f>VLOOKUP($B109,'Data Vlaue (Cr)'!$C:$FB,68)</f>
        <v>1080</v>
      </c>
      <c r="P109" s="5">
        <f t="shared" si="39"/>
        <v>-76.759410801963995</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FMCG</v>
      </c>
      <c r="B110" s="79" t="str">
        <f>'Data shares'!C105</f>
        <v>ITC</v>
      </c>
      <c r="C110" s="4">
        <f>VLOOKUP($B110,'Data shares'!$C:$FB,7)</f>
        <v>310.7</v>
      </c>
      <c r="D110" s="82">
        <f>VLOOKUP($B110,'Data shares'!$C:$FB,98)</f>
        <v>327481925</v>
      </c>
      <c r="E110" s="165">
        <f>VLOOKUP(B110,'Snapshot (Volume)'!$A$7:$G$168,7,0)</f>
        <v>317415475</v>
      </c>
      <c r="F110" s="165">
        <f t="shared" si="36"/>
        <v>10066450</v>
      </c>
      <c r="G110" s="166">
        <f t="shared" si="37"/>
        <v>3.1713797192780217E-2</v>
      </c>
      <c r="H110" s="165">
        <f>VLOOKUP($B110,'Data shares'!$C:$FB,66)</f>
        <v>137014400</v>
      </c>
      <c r="I110" s="165">
        <f>VLOOKUP($B110,'Data shares'!$C:$FB,67)</f>
        <v>158748800</v>
      </c>
      <c r="J110" s="81">
        <f t="shared" si="38"/>
        <v>-13.69106412142958</v>
      </c>
      <c r="K110" s="5">
        <f>VLOOKUP($B110,'Data Vlaue (Cr)'!$C:$FB,99)</f>
        <v>10229</v>
      </c>
      <c r="L110" s="81">
        <f>VLOOKUP(B110,'OI(Value)'!$A$7:$C$232,3,0)</f>
        <v>314</v>
      </c>
      <c r="M110" s="33">
        <f t="shared" si="31"/>
        <v>3.0697037833610321</v>
      </c>
      <c r="N110" s="5">
        <f>VLOOKUP($B110,'Data Vlaue (Cr)'!$C:$FB,67)</f>
        <v>4280</v>
      </c>
      <c r="O110" s="5">
        <f>VLOOKUP($B110,'Data Vlaue (Cr)'!$C:$FB,68)</f>
        <v>4959</v>
      </c>
      <c r="P110" s="5">
        <f t="shared" si="39"/>
        <v>-15.864485981308411</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Metals</v>
      </c>
      <c r="B111" s="79" t="str">
        <f>'Data shares'!C106</f>
        <v>JINDALSTEL</v>
      </c>
      <c r="C111" s="4">
        <f>VLOOKUP($B111,'Data shares'!$C:$FB,7)</f>
        <v>1264.3</v>
      </c>
      <c r="D111" s="82">
        <f>VLOOKUP($B111,'Data shares'!$C:$FB,98)</f>
        <v>18915000</v>
      </c>
      <c r="E111" s="165">
        <f>VLOOKUP(B111,'Snapshot (Volume)'!$A$7:$G$168,7,0)</f>
        <v>18911875</v>
      </c>
      <c r="F111" s="165">
        <f t="shared" si="36"/>
        <v>3125</v>
      </c>
      <c r="G111" s="166">
        <f t="shared" si="37"/>
        <v>1.6524009385637331E-4</v>
      </c>
      <c r="H111" s="165">
        <f>VLOOKUP($B111,'Data shares'!$C:$FB,66)</f>
        <v>10355000</v>
      </c>
      <c r="I111" s="165">
        <f>VLOOKUP($B111,'Data shares'!$C:$FB,67)</f>
        <v>19796875</v>
      </c>
      <c r="J111" s="81">
        <f t="shared" si="38"/>
        <v>-47.693764798737178</v>
      </c>
      <c r="K111" s="5">
        <f>VLOOKUP($B111,'Data Vlaue (Cr)'!$C:$FB,99)</f>
        <v>2407</v>
      </c>
      <c r="L111" s="81">
        <f>VLOOKUP(B111,'OI(Value)'!$A$7:$C$232,3,0)</f>
        <v>0</v>
      </c>
      <c r="M111" s="33">
        <f t="shared" si="31"/>
        <v>0</v>
      </c>
      <c r="N111" s="5">
        <f>VLOOKUP($B111,'Data Vlaue (Cr)'!$C:$FB,67)</f>
        <v>1318</v>
      </c>
      <c r="O111" s="5">
        <f>VLOOKUP($B111,'Data Vlaue (Cr)'!$C:$FB,68)</f>
        <v>2519</v>
      </c>
      <c r="P111" s="5">
        <f t="shared" si="39"/>
        <v>-91.122913505311075</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Finance</v>
      </c>
      <c r="B112" s="79" t="str">
        <f>'Data shares'!C107</f>
        <v>JIOFIN</v>
      </c>
      <c r="C112" s="4">
        <f>VLOOKUP($B112,'Data shares'!$C:$FB,7)</f>
        <v>252.44</v>
      </c>
      <c r="D112" s="82">
        <f>VLOOKUP($B112,'Data shares'!$C:$FB,98)</f>
        <v>300231300</v>
      </c>
      <c r="E112" s="165">
        <f>VLOOKUP(B112,'Snapshot (Volume)'!$A$7:$G$168,7,0)</f>
        <v>300346450</v>
      </c>
      <c r="F112" s="165">
        <f t="shared" si="36"/>
        <v>-115150</v>
      </c>
      <c r="G112" s="166">
        <f t="shared" si="37"/>
        <v>-3.8339058111058077E-4</v>
      </c>
      <c r="H112" s="165">
        <f>VLOOKUP($B112,'Data shares'!$C:$FB,66)</f>
        <v>100135850</v>
      </c>
      <c r="I112" s="165">
        <f>VLOOKUP($B112,'Data shares'!$C:$FB,67)</f>
        <v>80849400</v>
      </c>
      <c r="J112" s="81">
        <f t="shared" si="38"/>
        <v>23.854784327403792</v>
      </c>
      <c r="K112" s="5">
        <f>VLOOKUP($B112,'Data Vlaue (Cr)'!$C:$FB,99)</f>
        <v>7626</v>
      </c>
      <c r="L112" s="81">
        <f>VLOOKUP(B112,'OI(Value)'!$A$7:$C$232,3,0)</f>
        <v>-3</v>
      </c>
      <c r="M112" s="33">
        <f t="shared" si="31"/>
        <v>-3.9339103068450038E-2</v>
      </c>
      <c r="N112" s="5">
        <f>VLOOKUP($B112,'Data Vlaue (Cr)'!$C:$FB,67)</f>
        <v>2544</v>
      </c>
      <c r="O112" s="5">
        <f>VLOOKUP($B112,'Data Vlaue (Cr)'!$C:$FB,68)</f>
        <v>2054</v>
      </c>
      <c r="P112" s="5">
        <f t="shared" si="39"/>
        <v>19.261006289308177</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Power</v>
      </c>
      <c r="B113" s="79" t="str">
        <f>'Data shares'!C108</f>
        <v>JSWENERGY</v>
      </c>
      <c r="C113" s="4">
        <f>VLOOKUP($B113,'Data shares'!$C:$FB,7)</f>
        <v>567.9</v>
      </c>
      <c r="D113" s="82">
        <f>VLOOKUP($B113,'Data shares'!$C:$FB,98)</f>
        <v>33668450</v>
      </c>
      <c r="E113" s="165">
        <f>VLOOKUP(B113,'Snapshot (Volume)'!$A$7:$G$168,7,0)</f>
        <v>33730450</v>
      </c>
      <c r="F113" s="165">
        <f t="shared" si="36"/>
        <v>-62000</v>
      </c>
      <c r="G113" s="166">
        <f t="shared" si="37"/>
        <v>-1.8381017745093824E-3</v>
      </c>
      <c r="H113" s="165">
        <f>VLOOKUP($B113,'Data shares'!$C:$FB,66)</f>
        <v>8856000</v>
      </c>
      <c r="I113" s="165">
        <f>VLOOKUP($B113,'Data shares'!$C:$FB,67)</f>
        <v>6816000</v>
      </c>
      <c r="J113" s="81">
        <f t="shared" si="38"/>
        <v>29.929577464788732</v>
      </c>
      <c r="K113" s="5">
        <f>VLOOKUP($B113,'Data Vlaue (Cr)'!$C:$FB,99)</f>
        <v>1914</v>
      </c>
      <c r="L113" s="81">
        <f>VLOOKUP(B113,'OI(Value)'!$A$7:$C$232,3,0)</f>
        <v>-4</v>
      </c>
      <c r="M113" s="33">
        <f t="shared" si="31"/>
        <v>-0.20898641588296762</v>
      </c>
      <c r="N113" s="5">
        <f>VLOOKUP($B113,'Data Vlaue (Cr)'!$C:$FB,67)</f>
        <v>504</v>
      </c>
      <c r="O113" s="5">
        <f>VLOOKUP($B113,'Data Vlaue (Cr)'!$C:$FB,68)</f>
        <v>388</v>
      </c>
      <c r="P113" s="5">
        <f t="shared" si="39"/>
        <v>23.015873015873016</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Metals</v>
      </c>
      <c r="B114" s="79" t="str">
        <f>'Data shares'!C109</f>
        <v>JSWSTEEL</v>
      </c>
      <c r="C114" s="4">
        <f>VLOOKUP($B114,'Data shares'!$C:$FB,7)</f>
        <v>1273.3</v>
      </c>
      <c r="D114" s="82">
        <f>VLOOKUP($B114,'Data shares'!$C:$FB,98)</f>
        <v>57661875</v>
      </c>
      <c r="E114" s="165">
        <f>VLOOKUP(B114,'Snapshot (Volume)'!$A$7:$G$168,7,0)</f>
        <v>57929175</v>
      </c>
      <c r="F114" s="165">
        <f t="shared" si="36"/>
        <v>-267300</v>
      </c>
      <c r="G114" s="166">
        <f t="shared" si="37"/>
        <v>-4.6142552522109971E-3</v>
      </c>
      <c r="H114" s="165">
        <f>VLOOKUP($B114,'Data shares'!$C:$FB,66)</f>
        <v>7776000</v>
      </c>
      <c r="I114" s="165">
        <f>VLOOKUP($B114,'Data shares'!$C:$FB,67)</f>
        <v>7682175</v>
      </c>
      <c r="J114" s="81">
        <f t="shared" si="38"/>
        <v>1.2213338019506195</v>
      </c>
      <c r="K114" s="5">
        <f>VLOOKUP($B114,'Data Vlaue (Cr)'!$C:$FB,99)</f>
        <v>7384</v>
      </c>
      <c r="L114" s="81">
        <f>VLOOKUP(B114,'OI(Value)'!$A$7:$C$232,3,0)</f>
        <v>-34</v>
      </c>
      <c r="M114" s="33">
        <f t="shared" si="31"/>
        <v>-0.46045503791982662</v>
      </c>
      <c r="N114" s="5">
        <f>VLOOKUP($B114,'Data Vlaue (Cr)'!$C:$FB,67)</f>
        <v>996</v>
      </c>
      <c r="O114" s="5">
        <f>VLOOKUP($B114,'Data Vlaue (Cr)'!$C:$FB,68)</f>
        <v>984</v>
      </c>
      <c r="P114" s="5">
        <f t="shared" si="39"/>
        <v>1.2048192771084338</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JUBLFOOD</v>
      </c>
      <c r="C115" s="79">
        <f>VLOOKUP($B115,'Data shares'!$C:$FB,7)</f>
        <v>471.25</v>
      </c>
      <c r="D115" s="80">
        <f>VLOOKUP($B115,'Data shares'!$C:$FB,98)</f>
        <v>50665000</v>
      </c>
      <c r="E115" s="165">
        <f>VLOOKUP(B115,'Snapshot (Volume)'!$A$7:$G$168,7,0)</f>
        <v>50910000</v>
      </c>
      <c r="F115" s="165">
        <f t="shared" ref="F115:F126" si="40">D115-E115</f>
        <v>-245000</v>
      </c>
      <c r="G115" s="166">
        <f t="shared" ref="G115:G126" si="41">F115/E115</f>
        <v>-4.8124140640345711E-3</v>
      </c>
      <c r="H115" s="165">
        <f>VLOOKUP($B115,'Data shares'!$C:$FB,66)</f>
        <v>14785000</v>
      </c>
      <c r="I115" s="165">
        <f>VLOOKUP($B115,'Data shares'!$C:$FB,67)</f>
        <v>8015000</v>
      </c>
      <c r="J115" s="81">
        <f t="shared" ref="J115:J126" si="42">(H115-I115)/I115*100</f>
        <v>84.46662507797879</v>
      </c>
      <c r="K115" s="81">
        <f>VLOOKUP($B115,'Data Vlaue (Cr)'!$C:$FB,99)</f>
        <v>2401</v>
      </c>
      <c r="L115" s="81">
        <f>VLOOKUP(B115,'OI(Value)'!$A$7:$C$232,3,0)</f>
        <v>-12</v>
      </c>
      <c r="M115" s="81">
        <f t="shared" si="31"/>
        <v>-0.49979175343606835</v>
      </c>
      <c r="N115" s="81">
        <f>VLOOKUP($B115,'Data Vlaue (Cr)'!$C:$FB,67)</f>
        <v>701</v>
      </c>
      <c r="O115" s="81">
        <f>VLOOKUP($B115,'Data Vlaue (Cr)'!$C:$FB,68)</f>
        <v>380</v>
      </c>
      <c r="P115" s="81">
        <f t="shared" ref="P115:P126" si="43">(N115-O115)/N115*100</f>
        <v>45.791726105563477</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FMCG</v>
      </c>
      <c r="B116" s="79" t="str">
        <f>'Data shares'!C111</f>
        <v>KALYANKJIL</v>
      </c>
      <c r="C116" s="4">
        <f>VLOOKUP($B116,'Data shares'!$C:$FB,7)</f>
        <v>415.65</v>
      </c>
      <c r="D116" s="82">
        <f>VLOOKUP($B116,'Data shares'!$C:$FB,98)</f>
        <v>38617700</v>
      </c>
      <c r="E116" s="165">
        <f>VLOOKUP(B116,'Snapshot (Volume)'!$A$7:$G$168,7,0)</f>
        <v>36606525</v>
      </c>
      <c r="F116" s="165">
        <f t="shared" si="40"/>
        <v>2011175</v>
      </c>
      <c r="G116" s="166">
        <f t="shared" si="41"/>
        <v>5.4940341919917285E-2</v>
      </c>
      <c r="H116" s="165">
        <f>VLOOKUP($B116,'Data shares'!$C:$FB,66)</f>
        <v>14586450</v>
      </c>
      <c r="I116" s="165">
        <f>VLOOKUP($B116,'Data shares'!$C:$FB,67)</f>
        <v>8293150</v>
      </c>
      <c r="J116" s="81">
        <f t="shared" si="42"/>
        <v>75.885519977330688</v>
      </c>
      <c r="K116" s="5">
        <f>VLOOKUP($B116,'Data Vlaue (Cr)'!$C:$FB,99)</f>
        <v>1617</v>
      </c>
      <c r="L116" s="81">
        <f>VLOOKUP(B116,'OI(Value)'!$A$7:$C$232,3,0)</f>
        <v>84</v>
      </c>
      <c r="M116" s="33">
        <f t="shared" si="31"/>
        <v>5.1948051948051948</v>
      </c>
      <c r="N116" s="5">
        <f>VLOOKUP($B116,'Data Vlaue (Cr)'!$C:$FB,67)</f>
        <v>611</v>
      </c>
      <c r="O116" s="5">
        <f>VLOOKUP($B116,'Data Vlaue (Cr)'!$C:$FB,68)</f>
        <v>347</v>
      </c>
      <c r="P116" s="5">
        <f t="shared" si="43"/>
        <v>43.207855973813416</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Capital_Goods</v>
      </c>
      <c r="B117" s="79" t="str">
        <f>'Data shares'!C112</f>
        <v>KAYNES</v>
      </c>
      <c r="C117" s="4">
        <f>VLOOKUP($B117,'Data shares'!$C:$FB,7)</f>
        <v>4305.5</v>
      </c>
      <c r="D117" s="82">
        <f>VLOOKUP($B117,'Data shares'!$C:$FB,98)</f>
        <v>4385500</v>
      </c>
      <c r="E117" s="165">
        <f>VLOOKUP(B117,'Snapshot (Volume)'!$A$7:$G$168,7,0)</f>
        <v>4482500</v>
      </c>
      <c r="F117" s="165">
        <f t="shared" si="40"/>
        <v>-97000</v>
      </c>
      <c r="G117" s="166">
        <f t="shared" si="41"/>
        <v>-2.1639709983268265E-2</v>
      </c>
      <c r="H117" s="165">
        <f>VLOOKUP($B117,'Data shares'!$C:$FB,66)</f>
        <v>3209500</v>
      </c>
      <c r="I117" s="165">
        <f>VLOOKUP($B117,'Data shares'!$C:$FB,67)</f>
        <v>2916200</v>
      </c>
      <c r="J117" s="81">
        <f t="shared" si="42"/>
        <v>10.057609217474797</v>
      </c>
      <c r="K117" s="5">
        <f>VLOOKUP($B117,'Data Vlaue (Cr)'!$C:$FB,99)</f>
        <v>1897</v>
      </c>
      <c r="L117" s="81">
        <f>VLOOKUP(B117,'OI(Value)'!$A$7:$C$232,3,0)</f>
        <v>-42</v>
      </c>
      <c r="M117" s="33">
        <f t="shared" si="31"/>
        <v>-2.214022140221402</v>
      </c>
      <c r="N117" s="5">
        <f>VLOOKUP($B117,'Data Vlaue (Cr)'!$C:$FB,67)</f>
        <v>1388</v>
      </c>
      <c r="O117" s="5">
        <f>VLOOKUP($B117,'Data Vlaue (Cr)'!$C:$FB,68)</f>
        <v>1262</v>
      </c>
      <c r="P117" s="5">
        <f t="shared" si="43"/>
        <v>9.0778097982708932</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Power</v>
      </c>
      <c r="B118" s="79" t="str">
        <f>'Data shares'!C113</f>
        <v>KEI</v>
      </c>
      <c r="C118" s="4">
        <f>VLOOKUP($B118,'Data shares'!$C:$FB,7)</f>
        <v>5148.6000000000004</v>
      </c>
      <c r="D118" s="82">
        <f>VLOOKUP($B118,'Data shares'!$C:$FB,98)</f>
        <v>2997050</v>
      </c>
      <c r="E118" s="165">
        <f>VLOOKUP(B118,'Snapshot (Volume)'!$A$7:$G$168,7,0)</f>
        <v>3028550</v>
      </c>
      <c r="F118" s="165">
        <f t="shared" si="40"/>
        <v>-31500</v>
      </c>
      <c r="G118" s="166">
        <f t="shared" si="41"/>
        <v>-1.0401016988327747E-2</v>
      </c>
      <c r="H118" s="165">
        <f>VLOOKUP($B118,'Data shares'!$C:$FB,66)</f>
        <v>4993100</v>
      </c>
      <c r="I118" s="165">
        <f>VLOOKUP($B118,'Data shares'!$C:$FB,67)</f>
        <v>13749925</v>
      </c>
      <c r="J118" s="81">
        <f t="shared" si="42"/>
        <v>-63.686347380076612</v>
      </c>
      <c r="K118" s="5">
        <f>VLOOKUP($B118,'Data Vlaue (Cr)'!$C:$FB,99)</f>
        <v>1553</v>
      </c>
      <c r="L118" s="81">
        <f>VLOOKUP(B118,'OI(Value)'!$A$7:$C$232,3,0)</f>
        <v>-16</v>
      </c>
      <c r="M118" s="33">
        <f t="shared" si="31"/>
        <v>-1.0302640051513201</v>
      </c>
      <c r="N118" s="5">
        <f>VLOOKUP($B118,'Data Vlaue (Cr)'!$C:$FB,67)</f>
        <v>2587</v>
      </c>
      <c r="O118" s="5">
        <f>VLOOKUP($B118,'Data Vlaue (Cr)'!$C:$FB,68)</f>
        <v>7123</v>
      </c>
      <c r="P118" s="5">
        <f t="shared" si="43"/>
        <v>-175.33822960958639</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Finance</v>
      </c>
      <c r="B119" s="79" t="str">
        <f>'Data shares'!C114</f>
        <v>KFINTECH</v>
      </c>
      <c r="C119" s="4">
        <f>VLOOKUP($B119,'Data shares'!$C:$FB,7)</f>
        <v>912.5</v>
      </c>
      <c r="D119" s="82">
        <f>VLOOKUP($B119,'Data shares'!$C:$FB,98)</f>
        <v>11496825</v>
      </c>
      <c r="E119" s="165">
        <f>VLOOKUP(B119,'Snapshot (Volume)'!$A$7:$G$168,7,0)</f>
        <v>12624100</v>
      </c>
      <c r="F119" s="165">
        <f t="shared" si="40"/>
        <v>-1127275</v>
      </c>
      <c r="G119" s="166">
        <f t="shared" si="41"/>
        <v>-8.9295474528877303E-2</v>
      </c>
      <c r="H119" s="165">
        <f>VLOOKUP($B119,'Data shares'!$C:$FB,66)</f>
        <v>7600000</v>
      </c>
      <c r="I119" s="165">
        <f>VLOOKUP($B119,'Data shares'!$C:$FB,67)</f>
        <v>20093500</v>
      </c>
      <c r="J119" s="81">
        <f t="shared" si="42"/>
        <v>-62.176823350834844</v>
      </c>
      <c r="K119" s="5">
        <f>VLOOKUP($B119,'Data Vlaue (Cr)'!$C:$FB,99)</f>
        <v>1049</v>
      </c>
      <c r="L119" s="81">
        <f>VLOOKUP(B119,'OI(Value)'!$A$7:$C$232,3,0)</f>
        <v>-103</v>
      </c>
      <c r="M119" s="33">
        <f t="shared" si="31"/>
        <v>-9.8188751191611061</v>
      </c>
      <c r="N119" s="5">
        <f>VLOOKUP($B119,'Data Vlaue (Cr)'!$C:$FB,67)</f>
        <v>693</v>
      </c>
      <c r="O119" s="5">
        <f>VLOOKUP($B119,'Data Vlaue (Cr)'!$C:$FB,68)</f>
        <v>1833</v>
      </c>
      <c r="P119" s="5">
        <f t="shared" si="43"/>
        <v>-164.5021645021645</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Banking</v>
      </c>
      <c r="B120" s="79" t="str">
        <f>'Data shares'!C115</f>
        <v>KOTAKBANK</v>
      </c>
      <c r="C120" s="4">
        <f>VLOOKUP($B120,'Data shares'!$C:$FB,7)</f>
        <v>376.6</v>
      </c>
      <c r="D120" s="82">
        <f>VLOOKUP($B120,'Data shares'!$C:$FB,98)</f>
        <v>299546000</v>
      </c>
      <c r="E120" s="165">
        <f>VLOOKUP(B120,'Snapshot (Volume)'!$A$7:$G$168,7,0)</f>
        <v>301052000</v>
      </c>
      <c r="F120" s="165">
        <f t="shared" si="40"/>
        <v>-1506000</v>
      </c>
      <c r="G120" s="166">
        <f t="shared" si="41"/>
        <v>-5.0024580471147839E-3</v>
      </c>
      <c r="H120" s="165">
        <f>VLOOKUP($B120,'Data shares'!$C:$FB,66)</f>
        <v>164668000</v>
      </c>
      <c r="I120" s="165">
        <f>VLOOKUP($B120,'Data shares'!$C:$FB,67)</f>
        <v>97966000</v>
      </c>
      <c r="J120" s="81">
        <f t="shared" si="42"/>
        <v>68.086887287426251</v>
      </c>
      <c r="K120" s="5">
        <f>VLOOKUP($B120,'Data Vlaue (Cr)'!$C:$FB,99)</f>
        <v>11353</v>
      </c>
      <c r="L120" s="81">
        <f>VLOOKUP(B120,'OI(Value)'!$A$7:$C$232,3,0)</f>
        <v>-57</v>
      </c>
      <c r="M120" s="33">
        <f t="shared" si="31"/>
        <v>-0.502069937461464</v>
      </c>
      <c r="N120" s="5">
        <f>VLOOKUP($B120,'Data Vlaue (Cr)'!$C:$FB,67)</f>
        <v>6241</v>
      </c>
      <c r="O120" s="5">
        <f>VLOOKUP($B120,'Data Vlaue (Cr)'!$C:$FB,68)</f>
        <v>3713</v>
      </c>
      <c r="P120" s="5">
        <f t="shared" si="43"/>
        <v>40.506329113924053</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Technology</v>
      </c>
      <c r="B121" s="79" t="str">
        <f>'Data shares'!C116</f>
        <v>KPITTECH</v>
      </c>
      <c r="C121" s="4">
        <f>VLOOKUP($B121,'Data shares'!$C:$FB,7)</f>
        <v>748.6</v>
      </c>
      <c r="D121" s="82">
        <f>VLOOKUP($B121,'Data shares'!$C:$FB,98)</f>
        <v>15233250</v>
      </c>
      <c r="E121" s="165">
        <f>VLOOKUP(B121,'Snapshot (Volume)'!$A$7:$G$168,7,0)</f>
        <v>10472400</v>
      </c>
      <c r="F121" s="165">
        <f t="shared" si="40"/>
        <v>4760850</v>
      </c>
      <c r="G121" s="166">
        <f t="shared" si="41"/>
        <v>0.45460925862266527</v>
      </c>
      <c r="H121" s="165">
        <f>VLOOKUP($B121,'Data shares'!$C:$FB,66)</f>
        <v>107675025</v>
      </c>
      <c r="I121" s="165">
        <f>VLOOKUP($B121,'Data shares'!$C:$FB,67)</f>
        <v>5173950</v>
      </c>
      <c r="J121" s="81">
        <f t="shared" si="42"/>
        <v>1981.0990635781175</v>
      </c>
      <c r="K121" s="5">
        <f>VLOOKUP($B121,'Data Vlaue (Cr)'!$C:$FB,99)</f>
        <v>1142</v>
      </c>
      <c r="L121" s="81">
        <f>VLOOKUP(B121,'OI(Value)'!$A$7:$C$232,3,0)</f>
        <v>357</v>
      </c>
      <c r="M121" s="33">
        <f t="shared" si="31"/>
        <v>31.260945709281962</v>
      </c>
      <c r="N121" s="5">
        <f>VLOOKUP($B121,'Data Vlaue (Cr)'!$C:$FB,67)</f>
        <v>8069</v>
      </c>
      <c r="O121" s="5">
        <f>VLOOKUP($B121,'Data Vlaue (Cr)'!$C:$FB,68)</f>
        <v>388</v>
      </c>
      <c r="P121" s="5">
        <f t="shared" si="43"/>
        <v>95.191473540711371</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Pharma</v>
      </c>
      <c r="B122" s="79" t="str">
        <f>'Data shares'!C117</f>
        <v>LAURUSLABS</v>
      </c>
      <c r="C122" s="4">
        <f>VLOOKUP($B122,'Data shares'!$C:$FB,7)</f>
        <v>1177.5999999999999</v>
      </c>
      <c r="D122" s="82">
        <f>VLOOKUP($B122,'Data shares'!$C:$FB,98)</f>
        <v>30400250</v>
      </c>
      <c r="E122" s="165">
        <f>VLOOKUP(B122,'Snapshot (Volume)'!$A$7:$G$168,7,0)</f>
        <v>29480550</v>
      </c>
      <c r="F122" s="165">
        <f t="shared" si="40"/>
        <v>919700</v>
      </c>
      <c r="G122" s="166">
        <f t="shared" si="41"/>
        <v>3.1196839950407982E-2</v>
      </c>
      <c r="H122" s="165">
        <f>VLOOKUP($B122,'Data shares'!$C:$FB,66)</f>
        <v>29962500</v>
      </c>
      <c r="I122" s="165">
        <f>VLOOKUP($B122,'Data shares'!$C:$FB,67)</f>
        <v>19116500</v>
      </c>
      <c r="J122" s="81">
        <f t="shared" si="42"/>
        <v>56.736327256558475</v>
      </c>
      <c r="K122" s="5">
        <f>VLOOKUP($B122,'Data Vlaue (Cr)'!$C:$FB,99)</f>
        <v>3600</v>
      </c>
      <c r="L122" s="81">
        <f>VLOOKUP(B122,'OI(Value)'!$A$7:$C$232,3,0)</f>
        <v>109</v>
      </c>
      <c r="M122" s="33">
        <f t="shared" si="31"/>
        <v>3.0277777777777777</v>
      </c>
      <c r="N122" s="5">
        <f>VLOOKUP($B122,'Data Vlaue (Cr)'!$C:$FB,67)</f>
        <v>3548</v>
      </c>
      <c r="O122" s="5">
        <f>VLOOKUP($B122,'Data Vlaue (Cr)'!$C:$FB,68)</f>
        <v>2264</v>
      </c>
      <c r="P122" s="5">
        <f t="shared" si="43"/>
        <v>36.18940248027058</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LICHSGFIN</v>
      </c>
      <c r="C123" s="4">
        <f>VLOOKUP($B123,'Data shares'!$C:$FB,7)</f>
        <v>582.15</v>
      </c>
      <c r="D123" s="82">
        <f>VLOOKUP($B123,'Data shares'!$C:$FB,98)</f>
        <v>41761000</v>
      </c>
      <c r="E123" s="165">
        <f>VLOOKUP(B123,'Snapshot (Volume)'!$A$7:$G$168,7,0)</f>
        <v>39246000</v>
      </c>
      <c r="F123" s="165">
        <f t="shared" si="40"/>
        <v>2515000</v>
      </c>
      <c r="G123" s="166">
        <f t="shared" si="41"/>
        <v>6.4082963868929324E-2</v>
      </c>
      <c r="H123" s="165">
        <f>VLOOKUP($B123,'Data shares'!$C:$FB,66)</f>
        <v>45844000</v>
      </c>
      <c r="I123" s="165">
        <f>VLOOKUP($B123,'Data shares'!$C:$FB,67)</f>
        <v>5642000</v>
      </c>
      <c r="J123" s="81">
        <f t="shared" si="42"/>
        <v>712.54874158099972</v>
      </c>
      <c r="K123" s="5">
        <f>VLOOKUP($B123,'Data Vlaue (Cr)'!$C:$FB,99)</f>
        <v>2445</v>
      </c>
      <c r="L123" s="81">
        <f>VLOOKUP(B123,'OI(Value)'!$A$7:$C$232,3,0)</f>
        <v>147</v>
      </c>
      <c r="M123" s="33">
        <f t="shared" ref="M123:M144" si="44">L123/K123*100</f>
        <v>6.0122699386503067</v>
      </c>
      <c r="N123" s="5">
        <f>VLOOKUP($B123,'Data Vlaue (Cr)'!$C:$FB,67)</f>
        <v>2684</v>
      </c>
      <c r="O123" s="5">
        <f>VLOOKUP($B123,'Data Vlaue (Cr)'!$C:$FB,68)</f>
        <v>330</v>
      </c>
      <c r="P123" s="5">
        <f t="shared" si="43"/>
        <v>87.704918032786878</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LICI</v>
      </c>
      <c r="C124" s="4">
        <f>VLOOKUP($B124,'Data shares'!$C:$FB,7)</f>
        <v>807.25</v>
      </c>
      <c r="D124" s="82">
        <f>VLOOKUP($B124,'Data shares'!$C:$FB,98)</f>
        <v>19400500</v>
      </c>
      <c r="E124" s="165">
        <f>VLOOKUP(B124,'Snapshot (Volume)'!$A$7:$G$168,7,0)</f>
        <v>19702200</v>
      </c>
      <c r="F124" s="165">
        <f t="shared" si="40"/>
        <v>-301700</v>
      </c>
      <c r="G124" s="166">
        <f t="shared" si="41"/>
        <v>-1.531301072976622E-2</v>
      </c>
      <c r="H124" s="165">
        <f>VLOOKUP($B124,'Data shares'!$C:$FB,66)</f>
        <v>6948900</v>
      </c>
      <c r="I124" s="165">
        <f>VLOOKUP($B124,'Data shares'!$C:$FB,67)</f>
        <v>3021200</v>
      </c>
      <c r="J124" s="81">
        <f t="shared" si="42"/>
        <v>130.00463392029658</v>
      </c>
      <c r="K124" s="5">
        <f>VLOOKUP($B124,'Data Vlaue (Cr)'!$C:$FB,99)</f>
        <v>1575</v>
      </c>
      <c r="L124" s="81">
        <f>VLOOKUP(B124,'OI(Value)'!$A$7:$C$232,3,0)</f>
        <v>-24</v>
      </c>
      <c r="M124" s="33">
        <f t="shared" si="44"/>
        <v>-1.5238095238095237</v>
      </c>
      <c r="N124" s="5">
        <f>VLOOKUP($B124,'Data Vlaue (Cr)'!$C:$FB,67)</f>
        <v>564</v>
      </c>
      <c r="O124" s="5">
        <f>VLOOKUP($B124,'Data Vlaue (Cr)'!$C:$FB,68)</f>
        <v>245</v>
      </c>
      <c r="P124" s="5">
        <f t="shared" si="43"/>
        <v>56.560283687943254</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Realty</v>
      </c>
      <c r="B125" s="79" t="str">
        <f>'Data shares'!C120</f>
        <v>LODHA</v>
      </c>
      <c r="C125" s="4">
        <f>VLOOKUP($B125,'Data shares'!$C:$FB,7)</f>
        <v>949.15</v>
      </c>
      <c r="D125" s="82">
        <f>VLOOKUP($B125,'Data shares'!$C:$FB,98)</f>
        <v>18322475</v>
      </c>
      <c r="E125" s="165">
        <f>VLOOKUP(B125,'Snapshot (Volume)'!$A$7:$G$168,7,0)</f>
        <v>19039325</v>
      </c>
      <c r="F125" s="165">
        <f t="shared" si="40"/>
        <v>-716850</v>
      </c>
      <c r="G125" s="166">
        <f t="shared" si="41"/>
        <v>-3.7651019665875758E-2</v>
      </c>
      <c r="H125" s="165">
        <f>VLOOKUP($B125,'Data shares'!$C:$FB,66)</f>
        <v>8902350</v>
      </c>
      <c r="I125" s="165">
        <f>VLOOKUP($B125,'Data shares'!$C:$FB,67)</f>
        <v>5832450</v>
      </c>
      <c r="J125" s="81">
        <f t="shared" si="42"/>
        <v>52.634827559601881</v>
      </c>
      <c r="K125" s="5">
        <f>VLOOKUP($B125,'Data Vlaue (Cr)'!$C:$FB,99)</f>
        <v>1747</v>
      </c>
      <c r="L125" s="81">
        <f>VLOOKUP(B125,'OI(Value)'!$A$7:$C$232,3,0)</f>
        <v>-68</v>
      </c>
      <c r="M125" s="33">
        <f t="shared" si="44"/>
        <v>-3.8923869490555236</v>
      </c>
      <c r="N125" s="5">
        <f>VLOOKUP($B125,'Data Vlaue (Cr)'!$C:$FB,67)</f>
        <v>849</v>
      </c>
      <c r="O125" s="5">
        <f>VLOOKUP($B125,'Data Vlaue (Cr)'!$C:$FB,68)</f>
        <v>556</v>
      </c>
      <c r="P125" s="5">
        <f t="shared" si="43"/>
        <v>34.51118963486455</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Capital_Goods</v>
      </c>
      <c r="B126" s="79" t="str">
        <f>'Data shares'!C121</f>
        <v>LT</v>
      </c>
      <c r="C126" s="4">
        <f>VLOOKUP($B126,'Data shares'!$C:$FB,7)</f>
        <v>4008.5</v>
      </c>
      <c r="D126" s="82">
        <f>VLOOKUP($B126,'Data shares'!$C:$FB,98)</f>
        <v>30930200</v>
      </c>
      <c r="E126" s="165">
        <f>VLOOKUP(B126,'Snapshot (Volume)'!$A$7:$G$168,7,0)</f>
        <v>25047225</v>
      </c>
      <c r="F126" s="165">
        <f t="shared" si="40"/>
        <v>5882975</v>
      </c>
      <c r="G126" s="166">
        <f t="shared" si="41"/>
        <v>0.23487532051953861</v>
      </c>
      <c r="H126" s="165">
        <f>VLOOKUP($B126,'Data shares'!$C:$FB,66)</f>
        <v>61375125</v>
      </c>
      <c r="I126" s="165">
        <f>VLOOKUP($B126,'Data shares'!$C:$FB,67)</f>
        <v>16248750</v>
      </c>
      <c r="J126" s="81">
        <f t="shared" si="42"/>
        <v>277.72213247172857</v>
      </c>
      <c r="K126" s="5">
        <f>VLOOKUP($B126,'Data Vlaue (Cr)'!$C:$FB,99)</f>
        <v>12371</v>
      </c>
      <c r="L126" s="81">
        <f>VLOOKUP(B126,'OI(Value)'!$A$7:$C$232,3,0)</f>
        <v>2353</v>
      </c>
      <c r="M126" s="33">
        <f t="shared" si="44"/>
        <v>19.020289386468352</v>
      </c>
      <c r="N126" s="5">
        <f>VLOOKUP($B126,'Data Vlaue (Cr)'!$C:$FB,67)</f>
        <v>24548</v>
      </c>
      <c r="O126" s="5">
        <f>VLOOKUP($B126,'Data Vlaue (Cr)'!$C:$FB,68)</f>
        <v>6499</v>
      </c>
      <c r="P126" s="5">
        <f t="shared" si="43"/>
        <v>73.525338113084572</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Finance</v>
      </c>
      <c r="B127" s="79" t="str">
        <f>'Data shares'!C122</f>
        <v>LTF</v>
      </c>
      <c r="C127" s="4">
        <f>VLOOKUP($B127,'Data shares'!$C:$FB,7)</f>
        <v>300.3</v>
      </c>
      <c r="D127" s="82">
        <f>VLOOKUP($B127,'Data shares'!$C:$FB,98)</f>
        <v>70107750</v>
      </c>
      <c r="E127" s="165">
        <f>VLOOKUP(B127,'Snapshot (Volume)'!$A$7:$G$168,7,0)</f>
        <v>70654500</v>
      </c>
      <c r="F127" s="165">
        <f>D127-E127</f>
        <v>-546750</v>
      </c>
      <c r="G127" s="166">
        <f>F127/E127</f>
        <v>-7.738360613973632E-3</v>
      </c>
      <c r="H127" s="165">
        <f>VLOOKUP($B127,'Data shares'!$C:$FB,66)</f>
        <v>60401250</v>
      </c>
      <c r="I127" s="165">
        <f>VLOOKUP($B127,'Data shares'!$C:$FB,67)</f>
        <v>22527000</v>
      </c>
      <c r="J127" s="81">
        <f>(H127-I127)/I127*100</f>
        <v>168.12824610467439</v>
      </c>
      <c r="K127" s="5">
        <f>VLOOKUP($B127,'Data Vlaue (Cr)'!$C:$FB,99)</f>
        <v>2093</v>
      </c>
      <c r="L127" s="81">
        <f>VLOOKUP(B127,'OI(Value)'!$A$7:$C$232,3,0)</f>
        <v>-16</v>
      </c>
      <c r="M127" s="33">
        <f t="shared" si="44"/>
        <v>-0.76445293836598183</v>
      </c>
      <c r="N127" s="5">
        <f>VLOOKUP($B127,'Data Vlaue (Cr)'!$C:$FB,67)</f>
        <v>1804</v>
      </c>
      <c r="O127" s="5">
        <f>VLOOKUP($B127,'Data Vlaue (Cr)'!$C:$FB,68)</f>
        <v>673</v>
      </c>
      <c r="P127" s="5">
        <f>(N127-O127)/N127*100</f>
        <v>62.694013303769403</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Technology</v>
      </c>
      <c r="B128" s="79" t="str">
        <f>'Data shares'!C123</f>
        <v>LTM</v>
      </c>
      <c r="C128" s="4">
        <f>VLOOKUP($B128,'Data shares'!$C:$FB,7)</f>
        <v>4316</v>
      </c>
      <c r="D128" s="82">
        <f>VLOOKUP($B128,'Data shares'!$C:$FB,98)</f>
        <v>5301450</v>
      </c>
      <c r="E128" s="165">
        <f>VLOOKUP(B128,'Snapshot (Volume)'!$A$7:$G$168,7,0)</f>
        <v>5098500</v>
      </c>
      <c r="F128" s="165">
        <f>D128-E128</f>
        <v>202950</v>
      </c>
      <c r="G128" s="166">
        <f>F128/E128</f>
        <v>3.9805825242718446E-2</v>
      </c>
      <c r="H128" s="165">
        <f>VLOOKUP($B128,'Data shares'!$C:$FB,66)</f>
        <v>2821050</v>
      </c>
      <c r="I128" s="165">
        <f>VLOOKUP($B128,'Data shares'!$C:$FB,67)</f>
        <v>2881200</v>
      </c>
      <c r="J128" s="81">
        <f>(H128-I128)/I128*100</f>
        <v>-2.0876718034152435</v>
      </c>
      <c r="K128" s="5">
        <f>VLOOKUP($B128,'Data Vlaue (Cr)'!$C:$FB,99)</f>
        <v>2260</v>
      </c>
      <c r="L128" s="81">
        <f>VLOOKUP(B128,'OI(Value)'!$A$7:$C$232,3,0)</f>
        <v>87</v>
      </c>
      <c r="M128" s="33">
        <f t="shared" si="44"/>
        <v>3.8495575221238942</v>
      </c>
      <c r="N128" s="5">
        <f>VLOOKUP($B128,'Data Vlaue (Cr)'!$C:$FB,67)</f>
        <v>1203</v>
      </c>
      <c r="O128" s="5">
        <f>VLOOKUP($B128,'Data Vlaue (Cr)'!$C:$FB,68)</f>
        <v>1228</v>
      </c>
      <c r="P128" s="5">
        <f>(N128-O128)/N128*100</f>
        <v>-2.0781379883624274</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Pharma</v>
      </c>
      <c r="B129" s="79" t="str">
        <f>'Data shares'!C124</f>
        <v>LUPIN</v>
      </c>
      <c r="C129" s="4">
        <f>VLOOKUP($B129,'Data shares'!$C:$FB,7)</f>
        <v>2442.9</v>
      </c>
      <c r="D129" s="82">
        <f>VLOOKUP($B129,'Data shares'!$C:$FB,98)</f>
        <v>13901750</v>
      </c>
      <c r="E129" s="165">
        <f>VLOOKUP(B129,'Snapshot (Volume)'!$A$7:$G$168,7,0)</f>
        <v>12656500</v>
      </c>
      <c r="F129" s="165">
        <f>D129-E129</f>
        <v>1245250</v>
      </c>
      <c r="G129" s="166">
        <f>F129/E129</f>
        <v>9.8388179986568167E-2</v>
      </c>
      <c r="H129" s="165">
        <f>VLOOKUP($B129,'Data shares'!$C:$FB,66)</f>
        <v>28873650</v>
      </c>
      <c r="I129" s="165">
        <f>VLOOKUP($B129,'Data shares'!$C:$FB,67)</f>
        <v>6186725</v>
      </c>
      <c r="J129" s="81">
        <f>(H129-I129)/I129*100</f>
        <v>366.70330425224978</v>
      </c>
      <c r="K129" s="5">
        <f>VLOOKUP($B129,'Data Vlaue (Cr)'!$C:$FB,99)</f>
        <v>3419</v>
      </c>
      <c r="L129" s="81">
        <f>VLOOKUP(B129,'OI(Value)'!$A$7:$C$232,3,0)</f>
        <v>306</v>
      </c>
      <c r="M129" s="33">
        <f t="shared" si="44"/>
        <v>8.9499853758408889</v>
      </c>
      <c r="N129" s="5">
        <f>VLOOKUP($B129,'Data Vlaue (Cr)'!$C:$FB,67)</f>
        <v>7100</v>
      </c>
      <c r="O129" s="5">
        <f>VLOOKUP($B129,'Data Vlaue (Cr)'!$C:$FB,68)</f>
        <v>1521</v>
      </c>
      <c r="P129" s="5">
        <f>(N129-O129)/N129*100</f>
        <v>78.577464788732399</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Automobile</v>
      </c>
      <c r="B130" s="79" t="str">
        <f>'Data shares'!C125</f>
        <v>M&amp;M</v>
      </c>
      <c r="C130" s="4">
        <f>VLOOKUP($B130,'Data shares'!$C:$FB,7)</f>
        <v>3300.8</v>
      </c>
      <c r="D130" s="82">
        <f>VLOOKUP($B130,'Data shares'!$C:$FB,98)</f>
        <v>30425200</v>
      </c>
      <c r="E130" s="165">
        <f>VLOOKUP(B130,'Snapshot (Volume)'!$A$7:$G$168,7,0)</f>
        <v>31042400</v>
      </c>
      <c r="F130" s="165">
        <f>D130-E130</f>
        <v>-617200</v>
      </c>
      <c r="G130" s="166">
        <f>F130/E130</f>
        <v>-1.9882483313145891E-2</v>
      </c>
      <c r="H130" s="165">
        <f>VLOOKUP($B130,'Data shares'!$C:$FB,66)</f>
        <v>43244400</v>
      </c>
      <c r="I130" s="165">
        <f>VLOOKUP($B130,'Data shares'!$C:$FB,67)</f>
        <v>53853000</v>
      </c>
      <c r="J130" s="81">
        <f>(H130-I130)/I130*100</f>
        <v>-19.699181104116761</v>
      </c>
      <c r="K130" s="5">
        <f>VLOOKUP($B130,'Data Vlaue (Cr)'!$C:$FB,99)</f>
        <v>10083</v>
      </c>
      <c r="L130" s="81">
        <f>VLOOKUP(B130,'OI(Value)'!$A$7:$C$232,3,0)</f>
        <v>-205</v>
      </c>
      <c r="M130" s="33">
        <f t="shared" si="44"/>
        <v>-2.0331250619855199</v>
      </c>
      <c r="N130" s="5">
        <f>VLOOKUP($B130,'Data Vlaue (Cr)'!$C:$FB,67)</f>
        <v>14331</v>
      </c>
      <c r="O130" s="5">
        <f>VLOOKUP($B130,'Data Vlaue (Cr)'!$C:$FB,68)</f>
        <v>17847</v>
      </c>
      <c r="P130" s="5">
        <f>(N130-O130)/N130*100</f>
        <v>-24.534226501988694</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Finance</v>
      </c>
      <c r="B131" s="79" t="str">
        <f>'Data shares'!C126</f>
        <v>MANAPPURAM</v>
      </c>
      <c r="C131" s="4">
        <f>VLOOKUP($B131,'Data shares'!$C:$FB,7)</f>
        <v>309.95</v>
      </c>
      <c r="D131" s="82">
        <f>VLOOKUP($B131,'Data shares'!$C:$FB,98)</f>
        <v>70512000</v>
      </c>
      <c r="E131" s="165">
        <f>VLOOKUP(B131,'Snapshot (Volume)'!$A$7:$G$168,7,0)</f>
        <v>71892000</v>
      </c>
      <c r="F131" s="165">
        <f>D131-E131</f>
        <v>-1380000</v>
      </c>
      <c r="G131" s="166">
        <f>F131/E131</f>
        <v>-1.9195459856451345E-2</v>
      </c>
      <c r="H131" s="165">
        <f>VLOOKUP($B131,'Data shares'!$C:$FB,66)</f>
        <v>37398000</v>
      </c>
      <c r="I131" s="165">
        <f>VLOOKUP($B131,'Data shares'!$C:$FB,67)</f>
        <v>118494000</v>
      </c>
      <c r="J131" s="81">
        <f>(H131-I131)/I131*100</f>
        <v>-68.438908299154392</v>
      </c>
      <c r="K131" s="5">
        <f>VLOOKUP($B131,'Data Vlaue (Cr)'!$C:$FB,99)</f>
        <v>2197</v>
      </c>
      <c r="L131" s="81">
        <f>VLOOKUP(B131,'OI(Value)'!$A$7:$C$232,3,0)</f>
        <v>-43</v>
      </c>
      <c r="M131" s="33">
        <f t="shared" si="44"/>
        <v>-1.9572143832498861</v>
      </c>
      <c r="N131" s="5">
        <f>VLOOKUP($B131,'Data Vlaue (Cr)'!$C:$FB,67)</f>
        <v>1165</v>
      </c>
      <c r="O131" s="5">
        <f>VLOOKUP($B131,'Data Vlaue (Cr)'!$C:$FB,68)</f>
        <v>3692</v>
      </c>
      <c r="P131" s="5">
        <f>(N131-O131)/N131*100</f>
        <v>-216.90987124463521</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Pharma</v>
      </c>
      <c r="B132" s="79" t="str">
        <f>'Data shares'!C127</f>
        <v>MANKIND</v>
      </c>
      <c r="C132" s="79">
        <f>VLOOKUP($B132,'Data shares'!$C:$FB,7)</f>
        <v>2361</v>
      </c>
      <c r="D132" s="165">
        <f>VLOOKUP($B132,'Data shares'!$C:$FB,98)</f>
        <v>5739000</v>
      </c>
      <c r="E132" s="165">
        <f>VLOOKUP(B132,'Snapshot (Volume)'!$A$7:$G$168,7,0)</f>
        <v>5539050</v>
      </c>
      <c r="F132" s="165">
        <f t="shared" ref="F132:F139" si="45">D132-E132</f>
        <v>199950</v>
      </c>
      <c r="G132" s="166">
        <f t="shared" ref="G132:G139" si="46">F132/E132</f>
        <v>3.6098247894494541E-2</v>
      </c>
      <c r="H132" s="165">
        <f>VLOOKUP($B132,'Data shares'!$C:$FB,66)</f>
        <v>6430050</v>
      </c>
      <c r="I132" s="165">
        <f>VLOOKUP($B132,'Data shares'!$C:$FB,67)</f>
        <v>4988700</v>
      </c>
      <c r="J132" s="81">
        <f t="shared" ref="J132:J139" si="47">(H132-I132)/I132*100</f>
        <v>28.892296590294066</v>
      </c>
      <c r="K132" s="81">
        <f>VLOOKUP($B132,'Data Vlaue (Cr)'!$C:$FB,99)</f>
        <v>1358</v>
      </c>
      <c r="L132" s="81">
        <f>VLOOKUP(B132,'OI(Value)'!$A$7:$C$232,3,0)</f>
        <v>47</v>
      </c>
      <c r="M132" s="81">
        <f t="shared" si="44"/>
        <v>3.4609720176730487</v>
      </c>
      <c r="N132" s="81">
        <f>VLOOKUP($B132,'Data Vlaue (Cr)'!$C:$FB,67)</f>
        <v>1522</v>
      </c>
      <c r="O132" s="81">
        <f>VLOOKUP($B132,'Data Vlaue (Cr)'!$C:$FB,68)</f>
        <v>1181</v>
      </c>
      <c r="P132" s="81">
        <f t="shared" ref="P132:P139" si="48">(N132-O132)/N132*100</f>
        <v>22.404730617608408</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FMCG</v>
      </c>
      <c r="B133" s="79" t="str">
        <f>'Data shares'!C128</f>
        <v>MARICO</v>
      </c>
      <c r="C133" s="79">
        <f>VLOOKUP($B133,'Data shares'!$C:$FB,7)</f>
        <v>814.8</v>
      </c>
      <c r="D133" s="165">
        <f>VLOOKUP($B133,'Data shares'!$C:$FB,98)</f>
        <v>35252400</v>
      </c>
      <c r="E133" s="165">
        <f>VLOOKUP(B133,'Snapshot (Volume)'!$A$7:$G$168,7,0)</f>
        <v>34492800</v>
      </c>
      <c r="F133" s="165">
        <f t="shared" si="45"/>
        <v>759600</v>
      </c>
      <c r="G133" s="166">
        <f t="shared" si="46"/>
        <v>2.202198719732814E-2</v>
      </c>
      <c r="H133" s="165">
        <f>VLOOKUP($B133,'Data shares'!$C:$FB,66)</f>
        <v>73628400</v>
      </c>
      <c r="I133" s="165">
        <f>VLOOKUP($B133,'Data shares'!$C:$FB,67)</f>
        <v>112729200</v>
      </c>
      <c r="J133" s="81">
        <f t="shared" si="47"/>
        <v>-34.685600536506954</v>
      </c>
      <c r="K133" s="81">
        <f>VLOOKUP($B133,'Data Vlaue (Cr)'!$C:$FB,99)</f>
        <v>2889</v>
      </c>
      <c r="L133" s="81">
        <f>VLOOKUP(B133,'OI(Value)'!$A$7:$C$232,3,0)</f>
        <v>62</v>
      </c>
      <c r="M133" s="81">
        <f t="shared" si="44"/>
        <v>2.1460713049498095</v>
      </c>
      <c r="N133" s="81">
        <f>VLOOKUP($B133,'Data Vlaue (Cr)'!$C:$FB,67)</f>
        <v>6033</v>
      </c>
      <c r="O133" s="81">
        <f>VLOOKUP($B133,'Data Vlaue (Cr)'!$C:$FB,68)</f>
        <v>9237</v>
      </c>
      <c r="P133" s="81">
        <f t="shared" si="48"/>
        <v>-53.107906514172058</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Automobile</v>
      </c>
      <c r="B134" s="79" t="str">
        <f>'Data shares'!C129</f>
        <v>MARUTI</v>
      </c>
      <c r="C134" s="4">
        <f>VLOOKUP($B134,'Data shares'!$C:$FB,7)</f>
        <v>13722</v>
      </c>
      <c r="D134" s="82">
        <f>VLOOKUP($B134,'Data shares'!$C:$FB,98)</f>
        <v>6195150</v>
      </c>
      <c r="E134" s="165">
        <f>VLOOKUP(B134,'Snapshot (Volume)'!$A$7:$G$168,7,0)</f>
        <v>6301550</v>
      </c>
      <c r="F134" s="165">
        <f t="shared" si="45"/>
        <v>-106400</v>
      </c>
      <c r="G134" s="166">
        <f t="shared" si="46"/>
        <v>-1.6884734708127364E-2</v>
      </c>
      <c r="H134" s="165">
        <f>VLOOKUP($B134,'Data shares'!$C:$FB,66)</f>
        <v>5776800</v>
      </c>
      <c r="I134" s="165">
        <f>VLOOKUP($B134,'Data shares'!$C:$FB,67)</f>
        <v>4417800</v>
      </c>
      <c r="J134" s="81">
        <f t="shared" si="47"/>
        <v>30.761917696591063</v>
      </c>
      <c r="K134" s="5">
        <f>VLOOKUP($B134,'Data Vlaue (Cr)'!$C:$FB,99)</f>
        <v>8552</v>
      </c>
      <c r="L134" s="81">
        <f>VLOOKUP(B134,'OI(Value)'!$A$7:$C$232,3,0)</f>
        <v>-147</v>
      </c>
      <c r="M134" s="33">
        <f t="shared" si="44"/>
        <v>-1.7188961646398504</v>
      </c>
      <c r="N134" s="5">
        <f>VLOOKUP($B134,'Data Vlaue (Cr)'!$C:$FB,67)</f>
        <v>7974</v>
      </c>
      <c r="O134" s="5">
        <f>VLOOKUP($B134,'Data Vlaue (Cr)'!$C:$FB,68)</f>
        <v>6098</v>
      </c>
      <c r="P134" s="5">
        <f t="shared" si="48"/>
        <v>23.526460998244296</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Pharma</v>
      </c>
      <c r="B135" s="79" t="str">
        <f>'Data shares'!C130</f>
        <v>MAXHEALTH</v>
      </c>
      <c r="C135" s="4">
        <f>VLOOKUP($B135,'Data shares'!$C:$FB,7)</f>
        <v>1015.9</v>
      </c>
      <c r="D135" s="82">
        <f>VLOOKUP($B135,'Data shares'!$C:$FB,98)</f>
        <v>17104500</v>
      </c>
      <c r="E135" s="165">
        <f>VLOOKUP(B135,'Snapshot (Volume)'!$A$7:$G$168,7,0)</f>
        <v>16941225</v>
      </c>
      <c r="F135" s="165">
        <f t="shared" si="45"/>
        <v>163275</v>
      </c>
      <c r="G135" s="166">
        <f t="shared" si="46"/>
        <v>9.6377328085778917E-3</v>
      </c>
      <c r="H135" s="165">
        <f>VLOOKUP($B135,'Data shares'!$C:$FB,66)</f>
        <v>4020450</v>
      </c>
      <c r="I135" s="165">
        <f>VLOOKUP($B135,'Data shares'!$C:$FB,67)</f>
        <v>2945250</v>
      </c>
      <c r="J135" s="81">
        <f t="shared" si="47"/>
        <v>36.506238859180037</v>
      </c>
      <c r="K135" s="5">
        <f>VLOOKUP($B135,'Data Vlaue (Cr)'!$C:$FB,99)</f>
        <v>1749</v>
      </c>
      <c r="L135" s="81">
        <f>VLOOKUP(B135,'OI(Value)'!$A$7:$C$232,3,0)</f>
        <v>17</v>
      </c>
      <c r="M135" s="33">
        <f t="shared" si="44"/>
        <v>0.97198399085191534</v>
      </c>
      <c r="N135" s="5">
        <f>VLOOKUP($B135,'Data Vlaue (Cr)'!$C:$FB,67)</f>
        <v>411</v>
      </c>
      <c r="O135" s="5">
        <f>VLOOKUP($B135,'Data Vlaue (Cr)'!$C:$FB,68)</f>
        <v>301</v>
      </c>
      <c r="P135" s="5">
        <f t="shared" si="48"/>
        <v>26.763990267639905</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Infrastructure</v>
      </c>
      <c r="B136" s="79" t="str">
        <f>'Data shares'!C131</f>
        <v>MAZDOCK</v>
      </c>
      <c r="C136" s="4">
        <f>VLOOKUP($B136,'Data shares'!$C:$FB,7)</f>
        <v>2644.5</v>
      </c>
      <c r="D136" s="82">
        <f>VLOOKUP($B136,'Data shares'!$C:$FB,98)</f>
        <v>11143375</v>
      </c>
      <c r="E136" s="165">
        <f>VLOOKUP(B136,'Snapshot (Volume)'!$A$7:$G$168,7,0)</f>
        <v>11106975</v>
      </c>
      <c r="F136" s="165">
        <f t="shared" si="45"/>
        <v>36400</v>
      </c>
      <c r="G136" s="166">
        <f t="shared" si="46"/>
        <v>3.2772199451245724E-3</v>
      </c>
      <c r="H136" s="165">
        <f>VLOOKUP($B136,'Data shares'!$C:$FB,66)</f>
        <v>4769800</v>
      </c>
      <c r="I136" s="165">
        <f>VLOOKUP($B136,'Data shares'!$C:$FB,67)</f>
        <v>5800800</v>
      </c>
      <c r="J136" s="81">
        <f t="shared" si="47"/>
        <v>-17.773410564060129</v>
      </c>
      <c r="K136" s="5">
        <f>VLOOKUP($B136,'Data Vlaue (Cr)'!$C:$FB,99)</f>
        <v>2963</v>
      </c>
      <c r="L136" s="81">
        <f>VLOOKUP(B136,'OI(Value)'!$A$7:$C$232,3,0)</f>
        <v>10</v>
      </c>
      <c r="M136" s="33">
        <f t="shared" si="44"/>
        <v>0.33749578130273372</v>
      </c>
      <c r="N136" s="5">
        <f>VLOOKUP($B136,'Data Vlaue (Cr)'!$C:$FB,67)</f>
        <v>1268</v>
      </c>
      <c r="O136" s="5">
        <f>VLOOKUP($B136,'Data Vlaue (Cr)'!$C:$FB,68)</f>
        <v>1542</v>
      </c>
      <c r="P136" s="5">
        <f t="shared" si="48"/>
        <v>-21.608832807570977</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MCX</v>
      </c>
      <c r="C137" s="4">
        <f>VLOOKUP($B137,'Data shares'!$C:$FB,7)</f>
        <v>2973.2</v>
      </c>
      <c r="D137" s="82">
        <f>VLOOKUP($B137,'Data shares'!$C:$FB,98)</f>
        <v>21226825</v>
      </c>
      <c r="E137" s="165">
        <f>VLOOKUP(B137,'Snapshot (Volume)'!$A$7:$G$168,7,0)</f>
        <v>21277650</v>
      </c>
      <c r="F137" s="165">
        <f t="shared" si="45"/>
        <v>-50825</v>
      </c>
      <c r="G137" s="166">
        <f t="shared" si="46"/>
        <v>-2.3886566420633858E-3</v>
      </c>
      <c r="H137" s="165">
        <f>VLOOKUP($B137,'Data shares'!$C:$FB,66)</f>
        <v>15392500</v>
      </c>
      <c r="I137" s="165">
        <f>VLOOKUP($B137,'Data shares'!$C:$FB,67)</f>
        <v>12175625</v>
      </c>
      <c r="J137" s="81">
        <f t="shared" si="47"/>
        <v>26.420614958164368</v>
      </c>
      <c r="K137" s="5">
        <f>VLOOKUP($B137,'Data Vlaue (Cr)'!$C:$FB,99)</f>
        <v>6341</v>
      </c>
      <c r="L137" s="81">
        <f>VLOOKUP(B137,'OI(Value)'!$A$7:$C$232,3,0)</f>
        <v>-15</v>
      </c>
      <c r="M137" s="33">
        <f t="shared" si="44"/>
        <v>-0.23655574830468382</v>
      </c>
      <c r="N137" s="5">
        <f>VLOOKUP($B137,'Data Vlaue (Cr)'!$C:$FB,67)</f>
        <v>4598</v>
      </c>
      <c r="O137" s="5">
        <f>VLOOKUP($B137,'Data Vlaue (Cr)'!$C:$FB,68)</f>
        <v>3637</v>
      </c>
      <c r="P137" s="5">
        <f t="shared" si="48"/>
        <v>20.900391474554151</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MFSL</v>
      </c>
      <c r="C138" s="4">
        <f>VLOOKUP($B138,'Data shares'!$C:$FB,7)</f>
        <v>1652.8</v>
      </c>
      <c r="D138" s="82">
        <f>VLOOKUP($B138,'Data shares'!$C:$FB,98)</f>
        <v>10576800</v>
      </c>
      <c r="E138" s="165">
        <f>VLOOKUP(B138,'Snapshot (Volume)'!$A$7:$G$168,7,0)</f>
        <v>10118400</v>
      </c>
      <c r="F138" s="165">
        <f t="shared" si="45"/>
        <v>458400</v>
      </c>
      <c r="G138" s="166">
        <f t="shared" si="46"/>
        <v>4.5303605313092979E-2</v>
      </c>
      <c r="H138" s="165">
        <f>VLOOKUP($B138,'Data shares'!$C:$FB,66)</f>
        <v>2489600</v>
      </c>
      <c r="I138" s="165">
        <f>VLOOKUP($B138,'Data shares'!$C:$FB,67)</f>
        <v>1154000</v>
      </c>
      <c r="J138" s="81">
        <f t="shared" si="47"/>
        <v>115.73656845753899</v>
      </c>
      <c r="K138" s="5">
        <f>VLOOKUP($B138,'Data Vlaue (Cr)'!$C:$FB,99)</f>
        <v>1760</v>
      </c>
      <c r="L138" s="81">
        <f>VLOOKUP(B138,'OI(Value)'!$A$7:$C$232,3,0)</f>
        <v>76</v>
      </c>
      <c r="M138" s="33">
        <f t="shared" si="44"/>
        <v>4.3181818181818183</v>
      </c>
      <c r="N138" s="5">
        <f>VLOOKUP($B138,'Data Vlaue (Cr)'!$C:$FB,67)</f>
        <v>414</v>
      </c>
      <c r="O138" s="5">
        <f>VLOOKUP($B138,'Data Vlaue (Cr)'!$C:$FB,68)</f>
        <v>192</v>
      </c>
      <c r="P138" s="5">
        <f t="shared" si="48"/>
        <v>53.623188405797109</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Index</v>
      </c>
      <c r="B139" s="79" t="str">
        <f>'Data shares'!C134</f>
        <v>MIDCPNIFTY</v>
      </c>
      <c r="C139" s="4">
        <f>VLOOKUP($B139,'Data shares'!$C:$FB,7)</f>
        <v>14312.9</v>
      </c>
      <c r="D139" s="82">
        <f>VLOOKUP($B139,'Data shares'!$C:$FB,98)</f>
        <v>11962920</v>
      </c>
      <c r="E139" s="165">
        <f>VLOOKUP(B139,'Snapshot (Volume)'!$A$7:$G$168,7,0)</f>
        <v>10062480</v>
      </c>
      <c r="F139" s="165">
        <f t="shared" si="45"/>
        <v>1900440</v>
      </c>
      <c r="G139" s="166">
        <f t="shared" si="46"/>
        <v>0.18886397786629142</v>
      </c>
      <c r="H139" s="165">
        <f>VLOOKUP($B139,'Data shares'!$C:$FB,66)</f>
        <v>26676600</v>
      </c>
      <c r="I139" s="165">
        <f>VLOOKUP($B139,'Data shares'!$C:$FB,67)</f>
        <v>11416080</v>
      </c>
      <c r="J139" s="81">
        <f t="shared" si="47"/>
        <v>133.67565749364053</v>
      </c>
      <c r="K139" s="5">
        <f>VLOOKUP($B139,'Data Vlaue (Cr)'!$C:$FB,99)</f>
        <v>17227</v>
      </c>
      <c r="L139" s="81">
        <f>VLOOKUP(B139,'OI(Value)'!$A$7:$C$232,3,0)</f>
        <v>2737</v>
      </c>
      <c r="M139" s="33">
        <f t="shared" si="44"/>
        <v>15.887850467289718</v>
      </c>
      <c r="N139" s="5">
        <f>VLOOKUP($B139,'Data Vlaue (Cr)'!$C:$FB,67)</f>
        <v>38416</v>
      </c>
      <c r="O139" s="5">
        <f>VLOOKUP($B139,'Data Vlaue (Cr)'!$C:$FB,68)</f>
        <v>16440</v>
      </c>
      <c r="P139" s="5">
        <f t="shared" si="48"/>
        <v>57.205331112036653</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Automobile</v>
      </c>
      <c r="B140" s="79" t="str">
        <f>'Data shares'!C135</f>
        <v>MOTHERSON</v>
      </c>
      <c r="C140" s="79">
        <f>VLOOKUP($B140,'Data shares'!$C:$FB,7)</f>
        <v>127.41</v>
      </c>
      <c r="D140" s="165">
        <f>VLOOKUP($B140,'Data shares'!$C:$FB,98)</f>
        <v>189616800</v>
      </c>
      <c r="E140" s="165">
        <f>VLOOKUP(B140,'Snapshot (Volume)'!$A$7:$G$168,7,0)</f>
        <v>184051050</v>
      </c>
      <c r="F140" s="165">
        <f>D140-E140</f>
        <v>5565750</v>
      </c>
      <c r="G140" s="166">
        <f>F140/E140</f>
        <v>3.0240251278110069E-2</v>
      </c>
      <c r="H140" s="165">
        <f>VLOOKUP($B140,'Data shares'!$C:$FB,66)</f>
        <v>109925100</v>
      </c>
      <c r="I140" s="165">
        <f>VLOOKUP($B140,'Data shares'!$C:$FB,67)</f>
        <v>36537150</v>
      </c>
      <c r="J140" s="81">
        <f>(H140-I140)/I140*100</f>
        <v>200.85844133984176</v>
      </c>
      <c r="K140" s="81">
        <f>VLOOKUP($B140,'Data Vlaue (Cr)'!$C:$FB,99)</f>
        <v>2433</v>
      </c>
      <c r="L140" s="81">
        <f>VLOOKUP(B140,'OI(Value)'!$A$7:$C$232,3,0)</f>
        <v>71</v>
      </c>
      <c r="M140" s="81">
        <f t="shared" si="44"/>
        <v>2.9182079736950266</v>
      </c>
      <c r="N140" s="81">
        <f>VLOOKUP($B140,'Data Vlaue (Cr)'!$C:$FB,67)</f>
        <v>1411</v>
      </c>
      <c r="O140" s="81">
        <f>VLOOKUP($B140,'Data Vlaue (Cr)'!$C:$FB,68)</f>
        <v>469</v>
      </c>
      <c r="P140" s="81">
        <f>(N140-O140)/N140*100</f>
        <v>66.76116229624381</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Finance</v>
      </c>
      <c r="B141" s="79" t="str">
        <f>'Data shares'!C136</f>
        <v>MOTILALOFS</v>
      </c>
      <c r="C141" s="4">
        <f>VLOOKUP($B141,'Data shares'!$C:$FB,7)</f>
        <v>881.7</v>
      </c>
      <c r="D141" s="82">
        <f>VLOOKUP($B141,'Data shares'!$C:$FB,98)</f>
        <v>6412350</v>
      </c>
      <c r="E141" s="165">
        <f>VLOOKUP(B141,'Snapshot (Volume)'!$A$7:$G$168,7,0)</f>
        <v>6798300</v>
      </c>
      <c r="F141" s="165">
        <f>D141-E141</f>
        <v>-385950</v>
      </c>
      <c r="G141" s="166">
        <f>F141/E141</f>
        <v>-5.6771545827633378E-2</v>
      </c>
      <c r="H141" s="165">
        <f>VLOOKUP($B141,'Data shares'!$C:$FB,66)</f>
        <v>5883800</v>
      </c>
      <c r="I141" s="165">
        <f>VLOOKUP($B141,'Data shares'!$C:$FB,67)</f>
        <v>4619000</v>
      </c>
      <c r="J141" s="81">
        <f>(H141-I141)/I141*100</f>
        <v>27.382550335570471</v>
      </c>
      <c r="K141" s="5">
        <f>VLOOKUP($B141,'Data Vlaue (Cr)'!$C:$FB,99)</f>
        <v>567</v>
      </c>
      <c r="L141" s="81">
        <f>VLOOKUP(B141,'OI(Value)'!$A$7:$C$232,3,0)</f>
        <v>-34</v>
      </c>
      <c r="M141" s="33">
        <f t="shared" si="44"/>
        <v>-5.996472663139329</v>
      </c>
      <c r="N141" s="5">
        <f>VLOOKUP($B141,'Data Vlaue (Cr)'!$C:$FB,67)</f>
        <v>521</v>
      </c>
      <c r="O141" s="5">
        <f>VLOOKUP($B141,'Data Vlaue (Cr)'!$C:$FB,68)</f>
        <v>409</v>
      </c>
      <c r="P141" s="5">
        <f>(N141-O141)/N141*100</f>
        <v>21.497120921305182</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Technology</v>
      </c>
      <c r="B142" s="79" t="str">
        <f>'Data shares'!C137</f>
        <v>MPHASIS</v>
      </c>
      <c r="C142" s="4">
        <f>VLOOKUP($B142,'Data shares'!$C:$FB,7)</f>
        <v>2218.5</v>
      </c>
      <c r="D142" s="82">
        <f>VLOOKUP($B142,'Data shares'!$C:$FB,98)</f>
        <v>7304550</v>
      </c>
      <c r="E142" s="165">
        <f>VLOOKUP(B142,'Snapshot (Volume)'!$A$7:$G$168,7,0)</f>
        <v>7221500</v>
      </c>
      <c r="F142" s="165">
        <f>D142-E142</f>
        <v>83050</v>
      </c>
      <c r="G142" s="166">
        <f>F142/E142</f>
        <v>1.15003808073115E-2</v>
      </c>
      <c r="H142" s="165">
        <f>VLOOKUP($B142,'Data shares'!$C:$FB,66)</f>
        <v>4761900</v>
      </c>
      <c r="I142" s="165">
        <f>VLOOKUP($B142,'Data shares'!$C:$FB,67)</f>
        <v>3336025</v>
      </c>
      <c r="J142" s="81">
        <f>(H142-I142)/I142*100</f>
        <v>42.741736048141128</v>
      </c>
      <c r="K142" s="5">
        <f>VLOOKUP($B142,'Data Vlaue (Cr)'!$C:$FB,99)</f>
        <v>1631</v>
      </c>
      <c r="L142" s="81">
        <f>VLOOKUP(B142,'OI(Value)'!$A$7:$C$232,3,0)</f>
        <v>19</v>
      </c>
      <c r="M142" s="33">
        <f t="shared" si="44"/>
        <v>1.1649294911097487</v>
      </c>
      <c r="N142" s="5">
        <f>VLOOKUP($B142,'Data Vlaue (Cr)'!$C:$FB,67)</f>
        <v>1063</v>
      </c>
      <c r="O142" s="5">
        <f>VLOOKUP($B142,'Data Vlaue (Cr)'!$C:$FB,68)</f>
        <v>745</v>
      </c>
      <c r="P142" s="5">
        <f>(N142-O142)/N142*100</f>
        <v>29.915333960489182</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Finance</v>
      </c>
      <c r="B143" s="79" t="str">
        <f>'Data shares'!C138</f>
        <v>MUTHOOTFIN</v>
      </c>
      <c r="C143" s="4">
        <f>VLOOKUP($B143,'Data shares'!$C:$FB,7)</f>
        <v>3533.6</v>
      </c>
      <c r="D143" s="82">
        <f>VLOOKUP($B143,'Data shares'!$C:$FB,98)</f>
        <v>5899850</v>
      </c>
      <c r="E143" s="165">
        <f>VLOOKUP(B143,'Snapshot (Volume)'!$A$7:$G$168,7,0)</f>
        <v>5613300</v>
      </c>
      <c r="F143" s="165">
        <f>D143-E143</f>
        <v>286550</v>
      </c>
      <c r="G143" s="166">
        <f>F143/E143</f>
        <v>5.1048402900254752E-2</v>
      </c>
      <c r="H143" s="165">
        <f>VLOOKUP($B143,'Data shares'!$C:$FB,66)</f>
        <v>2976050</v>
      </c>
      <c r="I143" s="165">
        <f>VLOOKUP($B143,'Data shares'!$C:$FB,67)</f>
        <v>2600400</v>
      </c>
      <c r="J143" s="81">
        <f>(H143-I143)/I143*100</f>
        <v>14.445854483925549</v>
      </c>
      <c r="K143" s="5">
        <f>VLOOKUP($B143,'Data Vlaue (Cr)'!$C:$FB,99)</f>
        <v>2099</v>
      </c>
      <c r="L143" s="81">
        <f>VLOOKUP(B143,'OI(Value)'!$A$7:$C$232,3,0)</f>
        <v>102</v>
      </c>
      <c r="M143" s="33">
        <f t="shared" si="44"/>
        <v>4.8594568842305863</v>
      </c>
      <c r="N143" s="5">
        <f>VLOOKUP($B143,'Data Vlaue (Cr)'!$C:$FB,67)</f>
        <v>1059</v>
      </c>
      <c r="O143" s="5">
        <f>VLOOKUP($B143,'Data Vlaue (Cr)'!$C:$FB,68)</f>
        <v>925</v>
      </c>
      <c r="P143" s="5">
        <f>(N143-O143)/N143*100</f>
        <v>12.653446647780925</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Finance</v>
      </c>
      <c r="B144" s="79" t="str">
        <f>'Data shares'!C139</f>
        <v>NAM-INDIA</v>
      </c>
      <c r="C144" s="4">
        <f>VLOOKUP($B144,'Data shares'!$C:$FB,7)</f>
        <v>1094.2</v>
      </c>
      <c r="D144" s="82">
        <f>VLOOKUP($B144,'Data shares'!$C:$FB,98)</f>
        <v>5672500</v>
      </c>
      <c r="E144" s="165">
        <f>VLOOKUP(B144,'Snapshot (Volume)'!$A$7:$G$168,7,0)</f>
        <v>5368125</v>
      </c>
      <c r="F144" s="165">
        <f>D144-E144</f>
        <v>304375</v>
      </c>
      <c r="G144" s="166">
        <f>F144/E144</f>
        <v>5.6700430783560365E-2</v>
      </c>
      <c r="H144" s="165">
        <f>VLOOKUP($B144,'Data shares'!$C:$FB,66)</f>
        <v>7177500</v>
      </c>
      <c r="I144" s="165">
        <f>VLOOKUP($B144,'Data shares'!$C:$FB,67)</f>
        <v>5469375</v>
      </c>
      <c r="J144" s="81">
        <f>(H144-I144)/I144*100</f>
        <v>31.230716489544051</v>
      </c>
      <c r="K144" s="5">
        <f>VLOOKUP($B144,'Data Vlaue (Cr)'!$C:$FB,99)</f>
        <v>620</v>
      </c>
      <c r="L144" s="81">
        <f>VLOOKUP(B144,'OI(Value)'!$A$7:$C$232,3,0)</f>
        <v>33</v>
      </c>
      <c r="M144" s="33">
        <f t="shared" si="44"/>
        <v>5.32258064516129</v>
      </c>
      <c r="N144" s="5">
        <f>VLOOKUP($B144,'Data Vlaue (Cr)'!$C:$FB,67)</f>
        <v>785</v>
      </c>
      <c r="O144" s="5">
        <f>VLOOKUP($B144,'Data Vlaue (Cr)'!$C:$FB,68)</f>
        <v>598</v>
      </c>
      <c r="P144" s="5">
        <f>(N144-O144)/N144*100</f>
        <v>23.821656050955415</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Metals</v>
      </c>
      <c r="B145" s="79" t="str">
        <f>'Data shares'!C140</f>
        <v>NATIONALUM</v>
      </c>
      <c r="C145" s="4">
        <f>VLOOKUP($B145,'Data shares'!$C:$FB,7)</f>
        <v>406.55</v>
      </c>
      <c r="D145" s="82">
        <f>VLOOKUP($B145,'Data shares'!$C:$FB,98)</f>
        <v>98649375</v>
      </c>
      <c r="E145" s="165">
        <f>VLOOKUP(B145,'Snapshot (Volume)'!$A$7:$G$168,7,0)</f>
        <v>96541875</v>
      </c>
      <c r="F145" s="165">
        <f t="shared" ref="F145:F152" si="49">D145-E145</f>
        <v>2107500</v>
      </c>
      <c r="G145" s="166">
        <f t="shared" ref="G145:G153" si="50">F145/E145</f>
        <v>2.1829905416690942E-2</v>
      </c>
      <c r="H145" s="165">
        <f>VLOOKUP($B145,'Data shares'!$C:$FB,66)</f>
        <v>61848750</v>
      </c>
      <c r="I145" s="165">
        <f>VLOOKUP($B145,'Data shares'!$C:$FB,67)</f>
        <v>60650625</v>
      </c>
      <c r="J145" s="81">
        <f t="shared" ref="J145:J153" si="51">(H145-I145)/I145*100</f>
        <v>1.9754536742201751</v>
      </c>
      <c r="K145" s="5">
        <f>VLOOKUP($B145,'Data Vlaue (Cr)'!$C:$FB,99)</f>
        <v>4015</v>
      </c>
      <c r="L145" s="81">
        <f>VLOOKUP(B145,'OI(Value)'!$A$7:$C$232,3,0)</f>
        <v>86</v>
      </c>
      <c r="M145" s="33">
        <f t="shared" ref="M145:M153" si="52">L145/K145*100</f>
        <v>2.1419676214196763</v>
      </c>
      <c r="N145" s="5">
        <f>VLOOKUP($B145,'Data Vlaue (Cr)'!$C:$FB,67)</f>
        <v>2517</v>
      </c>
      <c r="O145" s="5">
        <f>VLOOKUP($B145,'Data Vlaue (Cr)'!$C:$FB,68)</f>
        <v>2468</v>
      </c>
      <c r="P145" s="5">
        <f t="shared" ref="P145:P152" si="53">(N145-O145)/N145*100</f>
        <v>1.9467620182757253</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New_Age</v>
      </c>
      <c r="B146" s="79" t="str">
        <f>'Data shares'!C141</f>
        <v>NAUKRI</v>
      </c>
      <c r="C146" s="4">
        <f>VLOOKUP($B146,'Data shares'!$C:$FB,7)</f>
        <v>981.4</v>
      </c>
      <c r="D146" s="82">
        <f>VLOOKUP($B146,'Data shares'!$C:$FB,98)</f>
        <v>14903875</v>
      </c>
      <c r="E146" s="165">
        <f>VLOOKUP(B146,'Snapshot (Volume)'!$A$7:$G$168,7,0)</f>
        <v>14183600</v>
      </c>
      <c r="F146" s="165">
        <f t="shared" si="49"/>
        <v>720275</v>
      </c>
      <c r="G146" s="166">
        <f t="shared" si="50"/>
        <v>5.0782241461970162E-2</v>
      </c>
      <c r="H146" s="165">
        <f>VLOOKUP($B146,'Data shares'!$C:$FB,66)</f>
        <v>4995750</v>
      </c>
      <c r="I146" s="165">
        <f>VLOOKUP($B146,'Data shares'!$C:$FB,67)</f>
        <v>4401375</v>
      </c>
      <c r="J146" s="81">
        <f t="shared" si="51"/>
        <v>13.504302632700007</v>
      </c>
      <c r="K146" s="5">
        <f>VLOOKUP($B146,'Data Vlaue (Cr)'!$C:$FB,99)</f>
        <v>1474</v>
      </c>
      <c r="L146" s="81">
        <f>VLOOKUP(B146,'OI(Value)'!$A$7:$C$232,3,0)</f>
        <v>71</v>
      </c>
      <c r="M146" s="33">
        <f t="shared" si="52"/>
        <v>4.8168249660786975</v>
      </c>
      <c r="N146" s="5">
        <f>VLOOKUP($B146,'Data Vlaue (Cr)'!$C:$FB,67)</f>
        <v>494</v>
      </c>
      <c r="O146" s="5">
        <f>VLOOKUP($B146,'Data Vlaue (Cr)'!$C:$FB,68)</f>
        <v>435</v>
      </c>
      <c r="P146" s="5">
        <f t="shared" si="53"/>
        <v>11.943319838056681</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Realty</v>
      </c>
      <c r="B147" s="79" t="str">
        <f>'Data shares'!C142</f>
        <v>NBCC</v>
      </c>
      <c r="C147" s="4">
        <f>VLOOKUP($B147,'Data shares'!$C:$FB,7)</f>
        <v>94.94</v>
      </c>
      <c r="D147" s="82">
        <f>VLOOKUP($B147,'Data shares'!$C:$FB,98)</f>
        <v>105807000</v>
      </c>
      <c r="E147" s="165">
        <f>VLOOKUP(B147,'Snapshot (Volume)'!$A$7:$G$168,7,0)</f>
        <v>99989500</v>
      </c>
      <c r="F147" s="165">
        <f t="shared" si="49"/>
        <v>5817500</v>
      </c>
      <c r="G147" s="166">
        <f t="shared" si="50"/>
        <v>5.8181109016446728E-2</v>
      </c>
      <c r="H147" s="165">
        <f>VLOOKUP($B147,'Data shares'!$C:$FB,66)</f>
        <v>56634500</v>
      </c>
      <c r="I147" s="165">
        <f>VLOOKUP($B147,'Data shares'!$C:$FB,67)</f>
        <v>14722500</v>
      </c>
      <c r="J147" s="81">
        <f t="shared" si="51"/>
        <v>284.67991169977927</v>
      </c>
      <c r="K147" s="5">
        <f>VLOOKUP($B147,'Data Vlaue (Cr)'!$C:$FB,99)</f>
        <v>1011</v>
      </c>
      <c r="L147" s="81">
        <f>VLOOKUP(B147,'OI(Value)'!$A$7:$C$232,3,0)</f>
        <v>56</v>
      </c>
      <c r="M147" s="33">
        <f t="shared" si="52"/>
        <v>5.5390702274975272</v>
      </c>
      <c r="N147" s="5">
        <f>VLOOKUP($B147,'Data Vlaue (Cr)'!$C:$FB,67)</f>
        <v>541</v>
      </c>
      <c r="O147" s="5">
        <f>VLOOKUP($B147,'Data Vlaue (Cr)'!$C:$FB,68)</f>
        <v>141</v>
      </c>
      <c r="P147" s="5">
        <f t="shared" si="53"/>
        <v>73.937153419593344</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FMCG</v>
      </c>
      <c r="B148" s="79" t="str">
        <f>'Data shares'!C143</f>
        <v>NESTLEIND</v>
      </c>
      <c r="C148" s="4">
        <f>VLOOKUP($B148,'Data shares'!$C:$FB,7)</f>
        <v>1486.1</v>
      </c>
      <c r="D148" s="82">
        <f>VLOOKUP($B148,'Data shares'!$C:$FB,98)</f>
        <v>23236000</v>
      </c>
      <c r="E148" s="165">
        <f>VLOOKUP(B148,'Snapshot (Volume)'!$A$7:$G$168,7,0)</f>
        <v>22157000</v>
      </c>
      <c r="F148" s="165">
        <f t="shared" si="49"/>
        <v>1079000</v>
      </c>
      <c r="G148" s="166">
        <f t="shared" si="50"/>
        <v>4.869792841991244E-2</v>
      </c>
      <c r="H148" s="165">
        <f>VLOOKUP($B148,'Data shares'!$C:$FB,66)</f>
        <v>11905000</v>
      </c>
      <c r="I148" s="165">
        <f>VLOOKUP($B148,'Data shares'!$C:$FB,67)</f>
        <v>10287000</v>
      </c>
      <c r="J148" s="81">
        <f t="shared" si="51"/>
        <v>15.728589481870323</v>
      </c>
      <c r="K148" s="5">
        <f>VLOOKUP($B148,'Data Vlaue (Cr)'!$C:$FB,99)</f>
        <v>3464</v>
      </c>
      <c r="L148" s="81">
        <f>VLOOKUP(B148,'OI(Value)'!$A$7:$C$232,3,0)</f>
        <v>161</v>
      </c>
      <c r="M148" s="33">
        <f t="shared" si="52"/>
        <v>4.6478060046189373</v>
      </c>
      <c r="N148" s="5">
        <f>VLOOKUP($B148,'Data Vlaue (Cr)'!$C:$FB,67)</f>
        <v>1775</v>
      </c>
      <c r="O148" s="5">
        <f>VLOOKUP($B148,'Data Vlaue (Cr)'!$C:$FB,68)</f>
        <v>1533</v>
      </c>
      <c r="P148" s="5">
        <f t="shared" si="53"/>
        <v>13.633802816901408</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Power</v>
      </c>
      <c r="B149" s="79" t="str">
        <f>'Data shares'!C144</f>
        <v>NHPC</v>
      </c>
      <c r="C149" s="4">
        <f>VLOOKUP($B149,'Data shares'!$C:$FB,7)</f>
        <v>83.66</v>
      </c>
      <c r="D149" s="82">
        <f>VLOOKUP($B149,'Data shares'!$C:$FB,98)</f>
        <v>168492000</v>
      </c>
      <c r="E149" s="165">
        <f>VLOOKUP(B149,'Snapshot (Volume)'!$A$7:$G$168,7,0)</f>
        <v>162676200</v>
      </c>
      <c r="F149" s="165">
        <f t="shared" si="49"/>
        <v>5815800</v>
      </c>
      <c r="G149" s="166">
        <f t="shared" si="50"/>
        <v>3.5750773622693424E-2</v>
      </c>
      <c r="H149" s="165">
        <f>VLOOKUP($B149,'Data shares'!$C:$FB,66)</f>
        <v>53881600</v>
      </c>
      <c r="I149" s="165">
        <f>VLOOKUP($B149,'Data shares'!$C:$FB,67)</f>
        <v>39270400</v>
      </c>
      <c r="J149" s="81">
        <f t="shared" si="51"/>
        <v>37.206649282920466</v>
      </c>
      <c r="K149" s="5">
        <f>VLOOKUP($B149,'Data Vlaue (Cr)'!$C:$FB,99)</f>
        <v>1399</v>
      </c>
      <c r="L149" s="81">
        <f>VLOOKUP(B149,'OI(Value)'!$A$7:$C$232,3,0)</f>
        <v>48</v>
      </c>
      <c r="M149" s="33">
        <f t="shared" si="52"/>
        <v>3.4310221586847747</v>
      </c>
      <c r="N149" s="5">
        <f>VLOOKUP($B149,'Data Vlaue (Cr)'!$C:$FB,67)</f>
        <v>448</v>
      </c>
      <c r="O149" s="5">
        <f>VLOOKUP($B149,'Data Vlaue (Cr)'!$C:$FB,68)</f>
        <v>326</v>
      </c>
      <c r="P149" s="5">
        <f t="shared" si="53"/>
        <v>27.232142857142854</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Index</v>
      </c>
      <c r="B150" s="79" t="str">
        <f>'Data shares'!C145</f>
        <v>NIFTY</v>
      </c>
      <c r="C150" s="4">
        <f>VLOOKUP($B150,'Data shares'!$C:$FB,7)</f>
        <v>24330.95</v>
      </c>
      <c r="D150" s="82">
        <f>VLOOKUP($B150,'Data shares'!$C:$FB,98)</f>
        <v>410215605</v>
      </c>
      <c r="E150" s="165">
        <f>VLOOKUP(B150,'Snapshot (Volume)'!$A$7:$G$168,7,0)</f>
        <v>699955190</v>
      </c>
      <c r="F150" s="165">
        <f t="shared" si="49"/>
        <v>-289739585</v>
      </c>
      <c r="G150" s="166">
        <f t="shared" si="50"/>
        <v>-0.41394019094279449</v>
      </c>
      <c r="H150" s="165">
        <f>VLOOKUP($B150,'Data shares'!$C:$FB,66)</f>
        <v>3940323985</v>
      </c>
      <c r="I150" s="165">
        <f>VLOOKUP($B150,'Data shares'!$C:$FB,67)</f>
        <v>28794158640</v>
      </c>
      <c r="J150" s="81">
        <f t="shared" si="51"/>
        <v>-86.315543946728766</v>
      </c>
      <c r="K150" s="5">
        <f>VLOOKUP($B150,'Data Vlaue (Cr)'!$C:$FB,99)</f>
        <v>1002870</v>
      </c>
      <c r="L150" s="81">
        <f>VLOOKUP(B150,'OI(Value)'!$A$7:$C$232,3,0)</f>
        <v>-708338</v>
      </c>
      <c r="M150" s="33">
        <f t="shared" si="52"/>
        <v>-70.631088775215133</v>
      </c>
      <c r="N150" s="5">
        <f>VLOOKUP($B150,'Data Vlaue (Cr)'!$C:$FB,67)</f>
        <v>9633068</v>
      </c>
      <c r="O150" s="5">
        <f>VLOOKUP($B150,'Data Vlaue (Cr)'!$C:$FB,68)</f>
        <v>70394231</v>
      </c>
      <c r="P150" s="5">
        <f t="shared" si="53"/>
        <v>-630.7560893372704</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Index</v>
      </c>
      <c r="B151" s="79" t="str">
        <f>'Data shares'!C146</f>
        <v>NIFTYNXT50</v>
      </c>
      <c r="C151" s="4">
        <f>VLOOKUP($B151,'Data shares'!$C:$FB,7)</f>
        <v>71691.45</v>
      </c>
      <c r="D151" s="82">
        <f>VLOOKUP($B151,'Data shares'!$C:$FB,98)</f>
        <v>23550</v>
      </c>
      <c r="E151" s="165">
        <f>VLOOKUP(B151,'Snapshot (Volume)'!$A$7:$G$168,7,0)</f>
        <v>21625</v>
      </c>
      <c r="F151" s="165">
        <f t="shared" si="49"/>
        <v>1925</v>
      </c>
      <c r="G151" s="166">
        <f t="shared" si="50"/>
        <v>8.9017341040462425E-2</v>
      </c>
      <c r="H151" s="165">
        <f>VLOOKUP($B151,'Data shares'!$C:$FB,66)</f>
        <v>16825</v>
      </c>
      <c r="I151" s="165">
        <f>VLOOKUP($B151,'Data shares'!$C:$FB,67)</f>
        <v>8250</v>
      </c>
      <c r="J151" s="81">
        <f t="shared" si="51"/>
        <v>103.93939393939394</v>
      </c>
      <c r="K151" s="5">
        <f>VLOOKUP($B151,'Data Vlaue (Cr)'!$C:$FB,99)</f>
        <v>170</v>
      </c>
      <c r="L151" s="81">
        <f>VLOOKUP(B151,'OI(Value)'!$A$7:$C$232,3,0)</f>
        <v>14</v>
      </c>
      <c r="M151" s="33">
        <f t="shared" si="52"/>
        <v>8.235294117647058</v>
      </c>
      <c r="N151" s="5">
        <f>VLOOKUP($B151,'Data Vlaue (Cr)'!$C:$FB,67)</f>
        <v>121</v>
      </c>
      <c r="O151" s="5">
        <f>VLOOKUP($B151,'Data Vlaue (Cr)'!$C:$FB,68)</f>
        <v>59</v>
      </c>
      <c r="P151" s="5">
        <f t="shared" si="53"/>
        <v>51.239669421487598</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Metals</v>
      </c>
      <c r="B152" s="79" t="str">
        <f>'Data shares'!C147</f>
        <v>NMDC</v>
      </c>
      <c r="C152" s="4">
        <f>VLOOKUP($B152,'Data shares'!$C:$FB,7)</f>
        <v>89.18</v>
      </c>
      <c r="D152" s="82">
        <f>VLOOKUP($B152,'Data shares'!$C:$FB,98)</f>
        <v>435111750</v>
      </c>
      <c r="E152" s="165">
        <f>VLOOKUP(B152,'Snapshot (Volume)'!$A$7:$G$168,7,0)</f>
        <v>428125500</v>
      </c>
      <c r="F152" s="165">
        <f t="shared" si="49"/>
        <v>6986250</v>
      </c>
      <c r="G152" s="166">
        <f t="shared" si="50"/>
        <v>1.6318229117396651E-2</v>
      </c>
      <c r="H152" s="165">
        <f>VLOOKUP($B152,'Data shares'!$C:$FB,66)</f>
        <v>73926000</v>
      </c>
      <c r="I152" s="165">
        <f>VLOOKUP($B152,'Data shares'!$C:$FB,67)</f>
        <v>55397250</v>
      </c>
      <c r="J152" s="81">
        <f t="shared" si="51"/>
        <v>33.447057390032896</v>
      </c>
      <c r="K152" s="5">
        <f>VLOOKUP($B152,'Data Vlaue (Cr)'!$C:$FB,99)</f>
        <v>3908</v>
      </c>
      <c r="L152" s="81">
        <f>VLOOKUP(B152,'OI(Value)'!$A$7:$C$232,3,0)</f>
        <v>63</v>
      </c>
      <c r="M152" s="33">
        <f t="shared" si="52"/>
        <v>1.6120777891504605</v>
      </c>
      <c r="N152" s="5">
        <f>VLOOKUP($B152,'Data Vlaue (Cr)'!$C:$FB,67)</f>
        <v>664</v>
      </c>
      <c r="O152" s="5">
        <f>VLOOKUP($B152,'Data Vlaue (Cr)'!$C:$FB,68)</f>
        <v>498</v>
      </c>
      <c r="P152" s="5">
        <f t="shared" si="53"/>
        <v>25</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Power</v>
      </c>
      <c r="B153" s="79" t="str">
        <f>'Data shares'!C148</f>
        <v>NTPC</v>
      </c>
      <c r="C153" s="4">
        <f>VLOOKUP($B153,'Data shares'!$C:$FB,7)</f>
        <v>394.85</v>
      </c>
      <c r="D153" s="82">
        <f>VLOOKUP($B153,'Data shares'!$C:$FB,98)</f>
        <v>169789500</v>
      </c>
      <c r="E153" s="165">
        <f>VLOOKUP(B153,'Snapshot (Volume)'!$A$7:$G$168,7,0)</f>
        <v>165553500</v>
      </c>
      <c r="F153" s="165">
        <f>D153-E153</f>
        <v>4236000</v>
      </c>
      <c r="G153" s="166">
        <f t="shared" si="50"/>
        <v>2.5586894870842355E-2</v>
      </c>
      <c r="H153" s="165">
        <f>VLOOKUP($B153,'Data shares'!$C:$FB,66)</f>
        <v>65410500</v>
      </c>
      <c r="I153" s="165">
        <f>VLOOKUP($B153,'Data shares'!$C:$FB,67)</f>
        <v>57469500</v>
      </c>
      <c r="J153" s="81">
        <f t="shared" si="51"/>
        <v>13.817764205361105</v>
      </c>
      <c r="K153" s="5">
        <f>VLOOKUP($B153,'Data Vlaue (Cr)'!$C:$FB,99)</f>
        <v>6742</v>
      </c>
      <c r="L153" s="81">
        <f>VLOOKUP(B153,'OI(Value)'!$A$7:$C$232,3,0)</f>
        <v>168</v>
      </c>
      <c r="M153" s="33">
        <f t="shared" si="52"/>
        <v>2.4918421833283895</v>
      </c>
      <c r="N153" s="5">
        <f>VLOOKUP($B153,'Data Vlaue (Cr)'!$C:$FB,67)</f>
        <v>2597</v>
      </c>
      <c r="O153" s="5">
        <f>VLOOKUP($B153,'Data Vlaue (Cr)'!$C:$FB,68)</f>
        <v>2282</v>
      </c>
      <c r="P153" s="5">
        <f>(N153-O153)/N153*100</f>
        <v>12.129380053908356</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Finance</v>
      </c>
      <c r="B154" s="79" t="str">
        <f>'Data shares'!C149</f>
        <v>NUVAMA</v>
      </c>
      <c r="C154" s="4">
        <f>VLOOKUP($B154,'Data shares'!$C:$FB,7)</f>
        <v>1413.6</v>
      </c>
      <c r="D154" s="82">
        <f>VLOOKUP($B154,'Data shares'!$C:$FB,98)</f>
        <v>2647000</v>
      </c>
      <c r="E154" s="165">
        <f>VLOOKUP(B154,'Snapshot (Volume)'!$A$7:$G$168,7,0)</f>
        <v>2387000</v>
      </c>
      <c r="F154" s="165">
        <f t="shared" ref="F154:F166" si="54">D154-E154</f>
        <v>260000</v>
      </c>
      <c r="G154" s="166">
        <f t="shared" ref="G154:G166" si="55">F154/E154</f>
        <v>0.10892333472978634</v>
      </c>
      <c r="H154" s="165">
        <f>VLOOKUP($B154,'Data shares'!$C:$FB,66)</f>
        <v>2895500</v>
      </c>
      <c r="I154" s="165">
        <f>VLOOKUP($B154,'Data shares'!$C:$FB,67)</f>
        <v>2135000</v>
      </c>
      <c r="J154" s="81">
        <f t="shared" ref="J154:J166" si="56">(H154-I154)/I154*100</f>
        <v>35.620608899297423</v>
      </c>
      <c r="K154" s="5">
        <f>VLOOKUP($B154,'Data Vlaue (Cr)'!$C:$FB,99)</f>
        <v>371</v>
      </c>
      <c r="L154" s="81">
        <f>VLOOKUP(B154,'OI(Value)'!$A$7:$C$232,3,0)</f>
        <v>36</v>
      </c>
      <c r="M154" s="33">
        <f t="shared" ref="M154:M166" si="57">L154/K154*100</f>
        <v>9.703504043126685</v>
      </c>
      <c r="N154" s="5">
        <f>VLOOKUP($B154,'Data Vlaue (Cr)'!$C:$FB,67)</f>
        <v>406</v>
      </c>
      <c r="O154" s="5">
        <f>VLOOKUP($B154,'Data Vlaue (Cr)'!$C:$FB,68)</f>
        <v>299</v>
      </c>
      <c r="P154" s="5">
        <f t="shared" ref="P154:P161" si="58">(N154-O154)/N154*100</f>
        <v>26.354679802955665</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New_Age</v>
      </c>
      <c r="B155" s="79" t="str">
        <f>'Data shares'!C150</f>
        <v>NYKAA</v>
      </c>
      <c r="C155" s="4">
        <f>VLOOKUP($B155,'Data shares'!$C:$FB,7)</f>
        <v>272.35000000000002</v>
      </c>
      <c r="D155" s="82">
        <f>VLOOKUP($B155,'Data shares'!$C:$FB,98)</f>
        <v>57384375</v>
      </c>
      <c r="E155" s="165">
        <f>VLOOKUP(B155,'Snapshot (Volume)'!$A$7:$G$168,7,0)</f>
        <v>55884375</v>
      </c>
      <c r="F155" s="165">
        <f t="shared" si="54"/>
        <v>1500000</v>
      </c>
      <c r="G155" s="166">
        <f t="shared" si="55"/>
        <v>2.6841134037913102E-2</v>
      </c>
      <c r="H155" s="165">
        <f>VLOOKUP($B155,'Data shares'!$C:$FB,66)</f>
        <v>14478125</v>
      </c>
      <c r="I155" s="165">
        <f>VLOOKUP($B155,'Data shares'!$C:$FB,67)</f>
        <v>8543750</v>
      </c>
      <c r="J155" s="81">
        <f t="shared" si="56"/>
        <v>69.458668617410396</v>
      </c>
      <c r="K155" s="5">
        <f>VLOOKUP($B155,'Data Vlaue (Cr)'!$C:$FB,99)</f>
        <v>1571</v>
      </c>
      <c r="L155" s="81">
        <f>VLOOKUP(B155,'OI(Value)'!$A$7:$C$232,3,0)</f>
        <v>41</v>
      </c>
      <c r="M155" s="33">
        <f t="shared" si="57"/>
        <v>2.609802673456397</v>
      </c>
      <c r="N155" s="5">
        <f>VLOOKUP($B155,'Data Vlaue (Cr)'!$C:$FB,67)</f>
        <v>396</v>
      </c>
      <c r="O155" s="5">
        <f>VLOOKUP($B155,'Data Vlaue (Cr)'!$C:$FB,68)</f>
        <v>234</v>
      </c>
      <c r="P155" s="5">
        <f t="shared" si="58"/>
        <v>40.909090909090914</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Realty</v>
      </c>
      <c r="B156" s="79" t="str">
        <f>'Data shares'!C151</f>
        <v>OBEROIRLTY</v>
      </c>
      <c r="C156" s="4">
        <f>VLOOKUP($B156,'Data shares'!$C:$FB,7)</f>
        <v>1673.4</v>
      </c>
      <c r="D156" s="82">
        <f>VLOOKUP($B156,'Data shares'!$C:$FB,98)</f>
        <v>8488900</v>
      </c>
      <c r="E156" s="165">
        <f>VLOOKUP(B156,'Snapshot (Volume)'!$A$7:$G$168,7,0)</f>
        <v>8358000</v>
      </c>
      <c r="F156" s="165">
        <f t="shared" si="54"/>
        <v>130900</v>
      </c>
      <c r="G156" s="166">
        <f t="shared" si="55"/>
        <v>1.5661641541038527E-2</v>
      </c>
      <c r="H156" s="165">
        <f>VLOOKUP($B156,'Data shares'!$C:$FB,66)</f>
        <v>1459500</v>
      </c>
      <c r="I156" s="165">
        <f>VLOOKUP($B156,'Data shares'!$C:$FB,67)</f>
        <v>1039150</v>
      </c>
      <c r="J156" s="81">
        <f t="shared" si="56"/>
        <v>40.451330414280903</v>
      </c>
      <c r="K156" s="5">
        <f>VLOOKUP($B156,'Data Vlaue (Cr)'!$C:$FB,99)</f>
        <v>1427</v>
      </c>
      <c r="L156" s="81">
        <f>VLOOKUP(B156,'OI(Value)'!$A$7:$C$232,3,0)</f>
        <v>22</v>
      </c>
      <c r="M156" s="33">
        <f t="shared" si="57"/>
        <v>1.5416958654519972</v>
      </c>
      <c r="N156" s="5">
        <f>VLOOKUP($B156,'Data Vlaue (Cr)'!$C:$FB,67)</f>
        <v>245</v>
      </c>
      <c r="O156" s="5">
        <f>VLOOKUP($B156,'Data Vlaue (Cr)'!$C:$FB,68)</f>
        <v>175</v>
      </c>
      <c r="P156" s="5">
        <f t="shared" si="58"/>
        <v>28.571428571428569</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Technology</v>
      </c>
      <c r="B157" s="79" t="str">
        <f>'Data shares'!C152</f>
        <v>OFSS</v>
      </c>
      <c r="C157" s="4">
        <f>VLOOKUP($B157,'Data shares'!$C:$FB,7)</f>
        <v>9694.5</v>
      </c>
      <c r="D157" s="82">
        <f>VLOOKUP($B157,'Data shares'!$C:$FB,98)</f>
        <v>2605050</v>
      </c>
      <c r="E157" s="165">
        <f>VLOOKUP(B157,'Snapshot (Volume)'!$A$7:$G$168,7,0)</f>
        <v>2561150</v>
      </c>
      <c r="F157" s="165">
        <f t="shared" si="54"/>
        <v>43900</v>
      </c>
      <c r="G157" s="166">
        <f t="shared" si="55"/>
        <v>1.7140737559299533E-2</v>
      </c>
      <c r="H157" s="165">
        <f>VLOOKUP($B157,'Data shares'!$C:$FB,66)</f>
        <v>1650675</v>
      </c>
      <c r="I157" s="165">
        <f>VLOOKUP($B157,'Data shares'!$C:$FB,67)</f>
        <v>1946550</v>
      </c>
      <c r="J157" s="81">
        <f t="shared" si="56"/>
        <v>-15.199969176234877</v>
      </c>
      <c r="K157" s="5">
        <f>VLOOKUP($B157,'Data Vlaue (Cr)'!$C:$FB,99)</f>
        <v>2513</v>
      </c>
      <c r="L157" s="81">
        <f>VLOOKUP(B157,'OI(Value)'!$A$7:$C$232,3,0)</f>
        <v>42</v>
      </c>
      <c r="M157" s="33">
        <f t="shared" si="57"/>
        <v>1.6713091922005572</v>
      </c>
      <c r="N157" s="5">
        <f>VLOOKUP($B157,'Data Vlaue (Cr)'!$C:$FB,67)</f>
        <v>1592</v>
      </c>
      <c r="O157" s="5">
        <f>VLOOKUP($B157,'Data Vlaue (Cr)'!$C:$FB,68)</f>
        <v>1877</v>
      </c>
      <c r="P157" s="5">
        <f t="shared" si="58"/>
        <v>-17.902010050251256</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Oil_Gas</v>
      </c>
      <c r="B158" s="79" t="str">
        <f>'Data shares'!C153</f>
        <v>OIL</v>
      </c>
      <c r="C158" s="4">
        <f>VLOOKUP($B158,'Data shares'!$C:$FB,7)</f>
        <v>450.25</v>
      </c>
      <c r="D158" s="82">
        <f>VLOOKUP($B158,'Data shares'!$C:$FB,98)</f>
        <v>36440600</v>
      </c>
      <c r="E158" s="165">
        <f>VLOOKUP(B158,'Snapshot (Volume)'!$A$7:$G$168,7,0)</f>
        <v>33363400</v>
      </c>
      <c r="F158" s="165">
        <f t="shared" si="54"/>
        <v>3077200</v>
      </c>
      <c r="G158" s="166">
        <f t="shared" si="55"/>
        <v>9.2232806008979901E-2</v>
      </c>
      <c r="H158" s="165">
        <f>VLOOKUP($B158,'Data shares'!$C:$FB,66)</f>
        <v>27519800</v>
      </c>
      <c r="I158" s="165">
        <f>VLOOKUP($B158,'Data shares'!$C:$FB,67)</f>
        <v>18407200</v>
      </c>
      <c r="J158" s="81">
        <f t="shared" si="56"/>
        <v>49.505628232430787</v>
      </c>
      <c r="K158" s="5">
        <f>VLOOKUP($B158,'Data Vlaue (Cr)'!$C:$FB,99)</f>
        <v>1652</v>
      </c>
      <c r="L158" s="81">
        <f>VLOOKUP(B158,'OI(Value)'!$A$7:$C$232,3,0)</f>
        <v>139</v>
      </c>
      <c r="M158" s="33">
        <f t="shared" si="57"/>
        <v>8.4140435835351095</v>
      </c>
      <c r="N158" s="5">
        <f>VLOOKUP($B158,'Data Vlaue (Cr)'!$C:$FB,67)</f>
        <v>1247</v>
      </c>
      <c r="O158" s="5">
        <f>VLOOKUP($B158,'Data Vlaue (Cr)'!$C:$FB,68)</f>
        <v>834</v>
      </c>
      <c r="P158" s="5">
        <f t="shared" si="58"/>
        <v>33.119486768243782</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Oil_Gas</v>
      </c>
      <c r="B159" s="79" t="str">
        <f>'Data shares'!C154</f>
        <v>ONGC</v>
      </c>
      <c r="C159" s="4">
        <f>VLOOKUP($B159,'Data shares'!$C:$FB,7)</f>
        <v>280.8</v>
      </c>
      <c r="D159" s="82">
        <f>VLOOKUP($B159,'Data shares'!$C:$FB,98)</f>
        <v>179212500</v>
      </c>
      <c r="E159" s="165">
        <f>VLOOKUP(B159,'Snapshot (Volume)'!$A$7:$G$168,7,0)</f>
        <v>165863250</v>
      </c>
      <c r="F159" s="165">
        <f t="shared" si="54"/>
        <v>13349250</v>
      </c>
      <c r="G159" s="166">
        <f t="shared" si="55"/>
        <v>8.0483470569882115E-2</v>
      </c>
      <c r="H159" s="165">
        <f>VLOOKUP($B159,'Data shares'!$C:$FB,66)</f>
        <v>151364250</v>
      </c>
      <c r="I159" s="165">
        <f>VLOOKUP($B159,'Data shares'!$C:$FB,67)</f>
        <v>82782000</v>
      </c>
      <c r="J159" s="81">
        <f t="shared" si="56"/>
        <v>82.846814524896715</v>
      </c>
      <c r="K159" s="5">
        <f>VLOOKUP($B159,'Data Vlaue (Cr)'!$C:$FB,99)</f>
        <v>5065</v>
      </c>
      <c r="L159" s="81">
        <f>VLOOKUP(B159,'OI(Value)'!$A$7:$C$232,3,0)</f>
        <v>377</v>
      </c>
      <c r="M159" s="33">
        <f t="shared" si="57"/>
        <v>7.4432379072063179</v>
      </c>
      <c r="N159" s="5">
        <f>VLOOKUP($B159,'Data Vlaue (Cr)'!$C:$FB,67)</f>
        <v>4278</v>
      </c>
      <c r="O159" s="5">
        <f>VLOOKUP($B159,'Data Vlaue (Cr)'!$C:$FB,68)</f>
        <v>2340</v>
      </c>
      <c r="P159" s="5">
        <f t="shared" si="58"/>
        <v>45.301542776998602</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Textile</v>
      </c>
      <c r="B160" s="79" t="str">
        <f>'Data shares'!C155</f>
        <v>PAGEIND</v>
      </c>
      <c r="C160" s="4">
        <f>VLOOKUP($B160,'Data shares'!$C:$FB,7)</f>
        <v>37540</v>
      </c>
      <c r="D160" s="82">
        <f>VLOOKUP($B160,'Data shares'!$C:$FB,98)</f>
        <v>341295</v>
      </c>
      <c r="E160" s="165">
        <f>VLOOKUP(B160,'Snapshot (Volume)'!$A$7:$G$168,7,0)</f>
        <v>342015</v>
      </c>
      <c r="F160" s="165">
        <f t="shared" si="54"/>
        <v>-720</v>
      </c>
      <c r="G160" s="166">
        <f t="shared" si="55"/>
        <v>-2.105170825840972E-3</v>
      </c>
      <c r="H160" s="165">
        <f>VLOOKUP($B160,'Data shares'!$C:$FB,66)</f>
        <v>74475</v>
      </c>
      <c r="I160" s="165">
        <f>VLOOKUP($B160,'Data shares'!$C:$FB,67)</f>
        <v>44085</v>
      </c>
      <c r="J160" s="81">
        <f t="shared" si="56"/>
        <v>68.935011908812513</v>
      </c>
      <c r="K160" s="5">
        <f>VLOOKUP($B160,'Data Vlaue (Cr)'!$C:$FB,99)</f>
        <v>1288</v>
      </c>
      <c r="L160" s="81">
        <f>VLOOKUP(B160,'OI(Value)'!$A$7:$C$232,3,0)</f>
        <v>-3</v>
      </c>
      <c r="M160" s="33">
        <f t="shared" si="57"/>
        <v>-0.23291925465838509</v>
      </c>
      <c r="N160" s="5">
        <f>VLOOKUP($B160,'Data Vlaue (Cr)'!$C:$FB,67)</f>
        <v>281</v>
      </c>
      <c r="O160" s="5">
        <f>VLOOKUP($B160,'Data Vlaue (Cr)'!$C:$FB,68)</f>
        <v>166</v>
      </c>
      <c r="P160" s="5">
        <f t="shared" si="58"/>
        <v>40.92526690391459</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FMCG</v>
      </c>
      <c r="B161" s="79" t="str">
        <f>'Data shares'!C156</f>
        <v>PATANJALI</v>
      </c>
      <c r="C161" s="4">
        <f>VLOOKUP($B161,'Data shares'!$C:$FB,7)</f>
        <v>460.05</v>
      </c>
      <c r="D161" s="82">
        <f>VLOOKUP($B161,'Data shares'!$C:$FB,98)</f>
        <v>41359750</v>
      </c>
      <c r="E161" s="165">
        <f>VLOOKUP(B161,'Snapshot (Volume)'!$A$7:$G$168,7,0)</f>
        <v>41495350</v>
      </c>
      <c r="F161" s="165">
        <f t="shared" si="54"/>
        <v>-135600</v>
      </c>
      <c r="G161" s="166">
        <f t="shared" si="55"/>
        <v>-3.2678360346400257E-3</v>
      </c>
      <c r="H161" s="165">
        <f>VLOOKUP($B161,'Data shares'!$C:$FB,66)</f>
        <v>9466200</v>
      </c>
      <c r="I161" s="165">
        <f>VLOOKUP($B161,'Data shares'!$C:$FB,67)</f>
        <v>6743700</v>
      </c>
      <c r="J161" s="81">
        <f t="shared" si="56"/>
        <v>40.371012945415721</v>
      </c>
      <c r="K161" s="5">
        <f>VLOOKUP($B161,'Data Vlaue (Cr)'!$C:$FB,99)</f>
        <v>1910</v>
      </c>
      <c r="L161" s="81">
        <f>VLOOKUP(B161,'OI(Value)'!$A$7:$C$232,3,0)</f>
        <v>-6</v>
      </c>
      <c r="M161" s="33">
        <f t="shared" si="57"/>
        <v>-0.31413612565445026</v>
      </c>
      <c r="N161" s="5">
        <f>VLOOKUP($B161,'Data Vlaue (Cr)'!$C:$FB,67)</f>
        <v>437</v>
      </c>
      <c r="O161" s="5">
        <f>VLOOKUP($B161,'Data Vlaue (Cr)'!$C:$FB,68)</f>
        <v>311</v>
      </c>
      <c r="P161" s="5">
        <f t="shared" si="58"/>
        <v>28.832951945080094</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New_Age</v>
      </c>
      <c r="B162" s="79" t="str">
        <f>'Data shares'!C157</f>
        <v>PAYTM</v>
      </c>
      <c r="C162" s="4">
        <f>VLOOKUP($B162,'Data shares'!$C:$FB,7)</f>
        <v>1110.5999999999999</v>
      </c>
      <c r="D162" s="82">
        <f>VLOOKUP($B162,'Data shares'!$C:$FB,98)</f>
        <v>26951875</v>
      </c>
      <c r="E162" s="165">
        <f>VLOOKUP(B162,'Snapshot (Volume)'!$A$7:$G$168,7,0)</f>
        <v>25226375</v>
      </c>
      <c r="F162" s="165">
        <f t="shared" si="54"/>
        <v>1725500</v>
      </c>
      <c r="G162" s="166">
        <f t="shared" si="55"/>
        <v>6.8400632274752113E-2</v>
      </c>
      <c r="H162" s="165">
        <f>VLOOKUP($B162,'Data shares'!$C:$FB,66)</f>
        <v>27579725</v>
      </c>
      <c r="I162" s="165">
        <f>VLOOKUP($B162,'Data shares'!$C:$FB,67)</f>
        <v>15199625</v>
      </c>
      <c r="J162" s="81">
        <f t="shared" si="56"/>
        <v>81.450035773908894</v>
      </c>
      <c r="K162" s="5">
        <f>VLOOKUP($B162,'Data Vlaue (Cr)'!$C:$FB,99)</f>
        <v>3013</v>
      </c>
      <c r="L162" s="81">
        <f>VLOOKUP(B162,'OI(Value)'!$A$7:$C$232,3,0)</f>
        <v>193</v>
      </c>
      <c r="M162" s="33">
        <f t="shared" si="57"/>
        <v>6.4055758380351806</v>
      </c>
      <c r="N162" s="5">
        <f>VLOOKUP($B162,'Data Vlaue (Cr)'!$C:$FB,67)</f>
        <v>3083</v>
      </c>
      <c r="O162" s="5">
        <f>VLOOKUP($B162,'Data Vlaue (Cr)'!$C:$FB,68)</f>
        <v>1699</v>
      </c>
      <c r="P162" s="5">
        <f>(N162-O162)/N162*100</f>
        <v>44.891339604281541</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Technology</v>
      </c>
      <c r="B163" s="79" t="str">
        <f>'Data shares'!C158</f>
        <v>PERSISTENT</v>
      </c>
      <c r="C163" s="4">
        <f>VLOOKUP($B163,'Data shares'!$C:$FB,7)</f>
        <v>5014</v>
      </c>
      <c r="D163" s="82">
        <f>VLOOKUP($B163,'Data shares'!$C:$FB,98)</f>
        <v>6260650</v>
      </c>
      <c r="E163" s="165">
        <f>VLOOKUP(B163,'Snapshot (Volume)'!$A$7:$G$168,7,0)</f>
        <v>6542800</v>
      </c>
      <c r="F163" s="165">
        <f t="shared" si="54"/>
        <v>-282150</v>
      </c>
      <c r="G163" s="166">
        <f t="shared" si="55"/>
        <v>-4.3123739071956962E-2</v>
      </c>
      <c r="H163" s="165">
        <f>VLOOKUP($B163,'Data shares'!$C:$FB,66)</f>
        <v>6223600</v>
      </c>
      <c r="I163" s="165">
        <f>VLOOKUP($B163,'Data shares'!$C:$FB,67)</f>
        <v>2238500</v>
      </c>
      <c r="J163" s="81">
        <f t="shared" si="56"/>
        <v>178.02546348000894</v>
      </c>
      <c r="K163" s="5">
        <f>VLOOKUP($B163,'Data Vlaue (Cr)'!$C:$FB,99)</f>
        <v>3156</v>
      </c>
      <c r="L163" s="81">
        <f>VLOOKUP(B163,'OI(Value)'!$A$7:$C$232,3,0)</f>
        <v>-142</v>
      </c>
      <c r="M163" s="33">
        <f t="shared" si="57"/>
        <v>-4.49936628643853</v>
      </c>
      <c r="N163" s="5">
        <f>VLOOKUP($B163,'Data Vlaue (Cr)'!$C:$FB,67)</f>
        <v>3137</v>
      </c>
      <c r="O163" s="5">
        <f>VLOOKUP($B163,'Data Vlaue (Cr)'!$C:$FB,68)</f>
        <v>1128</v>
      </c>
      <c r="P163" s="5">
        <f>(N163-O163)/N163*100</f>
        <v>64.042078418871526</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Oil_Gas</v>
      </c>
      <c r="B164" s="79" t="str">
        <f>'Data shares'!C159</f>
        <v>PETRONET</v>
      </c>
      <c r="C164" s="4">
        <f>VLOOKUP($B164,'Data shares'!$C:$FB,7)</f>
        <v>283.3</v>
      </c>
      <c r="D164" s="82">
        <f>VLOOKUP($B164,'Data shares'!$C:$FB,98)</f>
        <v>56734000</v>
      </c>
      <c r="E164" s="165">
        <f>VLOOKUP(B164,'Snapshot (Volume)'!$A$7:$G$168,7,0)</f>
        <v>53817500</v>
      </c>
      <c r="F164" s="165">
        <f t="shared" si="54"/>
        <v>2916500</v>
      </c>
      <c r="G164" s="166">
        <f t="shared" si="55"/>
        <v>5.4192409532215359E-2</v>
      </c>
      <c r="H164" s="165">
        <f>VLOOKUP($B164,'Data shares'!$C:$FB,66)</f>
        <v>38824600</v>
      </c>
      <c r="I164" s="165">
        <f>VLOOKUP($B164,'Data shares'!$C:$FB,67)</f>
        <v>94665600</v>
      </c>
      <c r="J164" s="81">
        <f t="shared" si="56"/>
        <v>-58.987636480411041</v>
      </c>
      <c r="K164" s="5">
        <f>VLOOKUP($B164,'Data Vlaue (Cr)'!$C:$FB,99)</f>
        <v>1614</v>
      </c>
      <c r="L164" s="81">
        <f>VLOOKUP(B164,'OI(Value)'!$A$7:$C$232,3,0)</f>
        <v>83</v>
      </c>
      <c r="M164" s="33">
        <f t="shared" si="57"/>
        <v>5.1425030978934325</v>
      </c>
      <c r="N164" s="5">
        <f>VLOOKUP($B164,'Data Vlaue (Cr)'!$C:$FB,67)</f>
        <v>1105</v>
      </c>
      <c r="O164" s="5">
        <f>VLOOKUP($B164,'Data Vlaue (Cr)'!$C:$FB,68)</f>
        <v>2693</v>
      </c>
      <c r="P164" s="5">
        <f>(N164-O164)/N164*100</f>
        <v>-143.71040723981901</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VLOOKUP(B165,'OI(Value)'!$A$7:$C$232,3,0)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shares'!B216</f>
        <v>Pharma</v>
      </c>
      <c r="B166" s="79" t="str">
        <f>'Data shares'!C216</f>
        <v>ZYDUSLIFE</v>
      </c>
      <c r="C166" s="4">
        <f>VLOOKUP($B166,'Data shares'!$C:$FB,7)</f>
        <v>938.8</v>
      </c>
      <c r="D166" s="82">
        <f>VLOOKUP($B166,'Data shares'!$C:$FB,98)</f>
        <v>15586200</v>
      </c>
      <c r="E166" s="165" t="e">
        <f>VLOOKUP(B166,'Snapshot (Volume)'!$A$7:$G$168,7,0)</f>
        <v>#N/A</v>
      </c>
      <c r="F166" s="165" t="e">
        <f t="shared" si="54"/>
        <v>#N/A</v>
      </c>
      <c r="G166" s="166" t="e">
        <f t="shared" si="55"/>
        <v>#N/A</v>
      </c>
      <c r="H166" s="165">
        <f>VLOOKUP($B166,'Data shares'!$C:$FB,66)</f>
        <v>13939200</v>
      </c>
      <c r="I166" s="165">
        <f>VLOOKUP($B166,'Data shares'!$C:$FB,67)</f>
        <v>4421700</v>
      </c>
      <c r="J166" s="81">
        <f t="shared" si="56"/>
        <v>215.24526765723587</v>
      </c>
      <c r="K166" s="5">
        <f>VLOOKUP($B166,'Data Vlaue (Cr)'!$C:$FB,99)</f>
        <v>1473</v>
      </c>
      <c r="L166" s="81">
        <f>VLOOKUP(B166,'OI(Value)'!$A$7:$C$232,3,0)</f>
        <v>65</v>
      </c>
      <c r="M166" s="33">
        <f t="shared" si="57"/>
        <v>4.412763068567549</v>
      </c>
      <c r="N166" s="5">
        <f>VLOOKUP($B166,'Data Vlaue (Cr)'!$C:$FB,67)</f>
        <v>1317</v>
      </c>
      <c r="O166" s="5">
        <f>VLOOKUP($B166,'Data Vlaue (Cr)'!$C:$FB,68)</f>
        <v>418</v>
      </c>
      <c r="P166" s="5">
        <f>(N166-O166)/N166*100</f>
        <v>68.261199696279419</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8"/>
  <sheetViews>
    <sheetView zoomScale="85" zoomScaleNormal="85" workbookViewId="0">
      <pane ySplit="6" topLeftCell="A183" activePane="bottomLeft" state="frozen"/>
      <selection activeCell="Q163" sqref="Q163"/>
      <selection pane="bottomLeft" activeCell="A7" sqref="A7:A221"/>
    </sheetView>
  </sheetViews>
  <sheetFormatPr defaultRowHeight="15" x14ac:dyDescent="0.25"/>
  <cols>
    <col min="1" max="1" width="14.5703125" style="74" bestFit="1" customWidth="1"/>
    <col min="2" max="2" width="12.28515625" bestFit="1" customWidth="1"/>
    <col min="3" max="3" width="10.28515625" bestFit="1" customWidth="1"/>
    <col min="5" max="5" width="12.28515625" bestFit="1" customWidth="1"/>
    <col min="6" max="6" width="10.28515625" bestFit="1" customWidth="1"/>
    <col min="7" max="7" width="6.42578125" bestFit="1" customWidth="1"/>
    <col min="8" max="8" width="11.5703125" bestFit="1" customWidth="1"/>
    <col min="9" max="9" width="10.5703125" bestFit="1" customWidth="1"/>
    <col min="10" max="10" width="7.140625" bestFit="1" customWidth="1"/>
    <col min="11" max="11" width="11.5703125" bestFit="1" customWidth="1"/>
    <col min="12" max="12" width="10.28515625" bestFit="1" customWidth="1"/>
    <col min="13" max="13" width="7.140625" bestFit="1" customWidth="1"/>
    <col min="14" max="14" width="11.85546875" bestFit="1" customWidth="1"/>
  </cols>
  <sheetData>
    <row r="1" spans="1:15" hidden="1" x14ac:dyDescent="0.25"/>
    <row r="2" spans="1:15" ht="15.75" thickBot="1" x14ac:dyDescent="0.3"/>
    <row r="3" spans="1:15" s="85" customFormat="1" ht="23.25" customHeight="1" thickBot="1" x14ac:dyDescent="0.3">
      <c r="A3" s="275" t="s">
        <v>334</v>
      </c>
      <c r="B3" s="276"/>
      <c r="C3" s="276"/>
      <c r="D3" s="277"/>
      <c r="E3" s="278"/>
      <c r="F3" s="278"/>
      <c r="G3" s="278"/>
      <c r="H3" s="278"/>
      <c r="I3" s="278"/>
      <c r="J3" s="278"/>
      <c r="K3" s="278"/>
      <c r="L3" s="278"/>
      <c r="M3" s="278"/>
      <c r="N3" s="278"/>
      <c r="O3" s="279"/>
    </row>
    <row r="4" spans="1:15" s="84" customFormat="1" x14ac:dyDescent="0.25">
      <c r="A4" s="272" t="s">
        <v>330</v>
      </c>
      <c r="B4" s="272" t="s">
        <v>340</v>
      </c>
      <c r="C4" s="272"/>
      <c r="D4" s="272"/>
      <c r="E4" s="272"/>
      <c r="F4" s="272"/>
      <c r="G4" s="272"/>
      <c r="H4" s="272"/>
      <c r="I4" s="272"/>
      <c r="J4" s="272"/>
      <c r="K4" s="272"/>
      <c r="L4" s="272"/>
      <c r="M4" s="272"/>
      <c r="N4" s="272"/>
      <c r="O4" s="272"/>
    </row>
    <row r="5" spans="1:15" s="84" customFormat="1" x14ac:dyDescent="0.25">
      <c r="A5" s="273"/>
      <c r="B5" s="273" t="s">
        <v>314</v>
      </c>
      <c r="C5" s="273"/>
      <c r="D5" s="273"/>
      <c r="E5" s="273" t="s">
        <v>341</v>
      </c>
      <c r="F5" s="273"/>
      <c r="G5" s="273"/>
      <c r="H5" s="273" t="s">
        <v>336</v>
      </c>
      <c r="I5" s="273"/>
      <c r="J5" s="273"/>
      <c r="K5" s="273" t="s">
        <v>342</v>
      </c>
      <c r="L5" s="273"/>
      <c r="M5" s="273"/>
      <c r="N5" s="273" t="s">
        <v>338</v>
      </c>
      <c r="O5" s="273"/>
    </row>
    <row r="6" spans="1:15" s="84" customFormat="1" x14ac:dyDescent="0.25">
      <c r="A6" s="71" t="s">
        <v>318</v>
      </c>
      <c r="B6" s="66">
        <f>'OI(Value)'!B6</f>
        <v>46148</v>
      </c>
      <c r="C6" s="71" t="s">
        <v>333</v>
      </c>
      <c r="D6" s="71" t="s">
        <v>328</v>
      </c>
      <c r="E6" s="66">
        <f>B6</f>
        <v>46148</v>
      </c>
      <c r="F6" s="71" t="s">
        <v>333</v>
      </c>
      <c r="G6" s="71" t="s">
        <v>328</v>
      </c>
      <c r="H6" s="66">
        <f>B6</f>
        <v>46148</v>
      </c>
      <c r="I6" s="71" t="s">
        <v>333</v>
      </c>
      <c r="J6" s="71" t="s">
        <v>328</v>
      </c>
      <c r="K6" s="66">
        <f>B6</f>
        <v>46148</v>
      </c>
      <c r="L6" s="71" t="s">
        <v>333</v>
      </c>
      <c r="M6" s="71" t="s">
        <v>328</v>
      </c>
      <c r="N6" s="71" t="s">
        <v>339</v>
      </c>
      <c r="O6" s="71" t="s">
        <v>328</v>
      </c>
    </row>
    <row r="7" spans="1:15" x14ac:dyDescent="0.25">
      <c r="A7" s="100" t="str">
        <f>'Data Vlaue (Cr)'!C2</f>
        <v>360ONE</v>
      </c>
      <c r="B7" s="82">
        <f>VLOOKUP(A7,'Data shares'!$C$2:$CV$216,98,0)</f>
        <v>6704000</v>
      </c>
      <c r="C7" s="82">
        <f>VLOOKUP(A7,'Data shares'!$C$2:$CX$216,100,0)</f>
        <v>371000</v>
      </c>
      <c r="D7" s="141">
        <f>VLOOKUP(A7,'Data shares'!$C$2:$CY$539,101,0)</f>
        <v>5.8599999999999999E-2</v>
      </c>
      <c r="E7" s="86">
        <f>VLOOKUP($A7,'Data shares'!$C:$FA,74)</f>
        <v>5112500</v>
      </c>
      <c r="F7" s="86">
        <f>VLOOKUP($A7,'Data shares'!$C:$FA,76)</f>
        <v>457500</v>
      </c>
      <c r="G7" s="87">
        <f>VLOOKUP(A7,'Data shares'!$C$2:$CA$216,77,0)</f>
        <v>9.8299999999999998E-2</v>
      </c>
      <c r="H7" s="86">
        <f>VLOOKUP($A7,'Data shares'!$C:$FA,90)</f>
        <v>1010000</v>
      </c>
      <c r="I7" s="86">
        <f>VLOOKUP($A7,'Data shares'!$C:$FA,92)</f>
        <v>-74500</v>
      </c>
      <c r="J7" s="87">
        <f>VLOOKUP($A7,'Data shares'!$C:$FA,93)</f>
        <v>-6.8699999999999997E-2</v>
      </c>
      <c r="K7" s="86">
        <f>VLOOKUP($A7,'Data shares'!$C:$FA,94)</f>
        <v>581500</v>
      </c>
      <c r="L7" s="86">
        <f>VLOOKUP($A7,'Data shares'!$C:$FA,96)</f>
        <v>-12000</v>
      </c>
      <c r="M7" s="87">
        <f>VLOOKUP($A7,'Data shares'!$C:$FA,97)</f>
        <v>-2.0199999999999999E-2</v>
      </c>
      <c r="N7" s="86">
        <f>VLOOKUP($A7,'Data shares'!$C:$FA,78)</f>
        <v>5074000</v>
      </c>
      <c r="O7" s="87">
        <f>VLOOKUP($A7,'Data shares'!$C:$FA,81)</f>
        <v>9.9500000000000005E-2</v>
      </c>
    </row>
    <row r="8" spans="1:15" x14ac:dyDescent="0.25">
      <c r="A8" s="100" t="str">
        <f>'Data Vlaue (Cr)'!C3</f>
        <v>ABB</v>
      </c>
      <c r="B8" s="82">
        <f>VLOOKUP(A8,'Data shares'!$C$2:$CV$216,98,0)</f>
        <v>3853625</v>
      </c>
      <c r="C8" s="82">
        <f>VLOOKUP(A8,'Data shares'!$C$2:$CX$216,100,0)</f>
        <v>159125</v>
      </c>
      <c r="D8" s="141">
        <f>VLOOKUP(A8,'Data shares'!$C$2:$CY$539,101,0)</f>
        <v>4.3099999999999999E-2</v>
      </c>
      <c r="E8" s="86">
        <f>VLOOKUP($A8,'Data shares'!$C:$FA,74)</f>
        <v>2203875</v>
      </c>
      <c r="F8" s="86">
        <f>VLOOKUP($A8,'Data shares'!$C:$FA,76)</f>
        <v>40875</v>
      </c>
      <c r="G8" s="87">
        <f>VLOOKUP(A8,'Data shares'!$C$2:$CA$216,77,0)</f>
        <v>1.89E-2</v>
      </c>
      <c r="H8" s="86">
        <f>VLOOKUP($A8,'Data shares'!$C:$FA,90)</f>
        <v>1099250</v>
      </c>
      <c r="I8" s="86">
        <f>VLOOKUP($A8,'Data shares'!$C:$FA,92)</f>
        <v>78500</v>
      </c>
      <c r="J8" s="87">
        <f>VLOOKUP($A8,'Data shares'!$C:$FA,93)</f>
        <v>7.6899999999999996E-2</v>
      </c>
      <c r="K8" s="86">
        <f>VLOOKUP($A8,'Data shares'!$C:$FA,94)</f>
        <v>550500</v>
      </c>
      <c r="L8" s="86">
        <f>VLOOKUP($A8,'Data shares'!$C:$FA,96)</f>
        <v>39750</v>
      </c>
      <c r="M8" s="87">
        <f>VLOOKUP($A8,'Data shares'!$C:$FA,97)</f>
        <v>7.7799999999999994E-2</v>
      </c>
      <c r="N8" s="86">
        <f>VLOOKUP($A8,'Data shares'!$C:$FA,78)</f>
        <v>2146500</v>
      </c>
      <c r="O8" s="87">
        <f>VLOOKUP($A8,'Data shares'!$C:$FA,81)</f>
        <v>1.4200000000000001E-2</v>
      </c>
    </row>
    <row r="9" spans="1:15" x14ac:dyDescent="0.25">
      <c r="A9" s="100" t="str">
        <f>'Data Vlaue (Cr)'!C4</f>
        <v>ABCAPITAL</v>
      </c>
      <c r="B9" s="82">
        <f>VLOOKUP(A9,'Data shares'!$C$2:$CV$216,98,0)</f>
        <v>65422400</v>
      </c>
      <c r="C9" s="82">
        <f>VLOOKUP(A9,'Data shares'!$C$2:$CX$216,100,0)</f>
        <v>-1652300</v>
      </c>
      <c r="D9" s="141">
        <f>VLOOKUP(A9,'Data shares'!$C$2:$CY$539,101,0)</f>
        <v>-2.46E-2</v>
      </c>
      <c r="E9" s="86">
        <f>VLOOKUP($A9,'Data shares'!$C:$FA,74)</f>
        <v>39162300</v>
      </c>
      <c r="F9" s="86">
        <f>VLOOKUP($A9,'Data shares'!$C:$FA,76)</f>
        <v>-812200</v>
      </c>
      <c r="G9" s="87">
        <f>VLOOKUP(A9,'Data shares'!$C$2:$CA$216,77,0)</f>
        <v>-2.0299999999999999E-2</v>
      </c>
      <c r="H9" s="86">
        <f>VLOOKUP($A9,'Data shares'!$C:$FA,90)</f>
        <v>14024400</v>
      </c>
      <c r="I9" s="86">
        <f>VLOOKUP($A9,'Data shares'!$C:$FA,92)</f>
        <v>-1205900</v>
      </c>
      <c r="J9" s="87">
        <f>VLOOKUP($A9,'Data shares'!$C:$FA,93)</f>
        <v>-7.9200000000000007E-2</v>
      </c>
      <c r="K9" s="86">
        <f>VLOOKUP($A9,'Data shares'!$C:$FA,94)</f>
        <v>12235700</v>
      </c>
      <c r="L9" s="86">
        <f>VLOOKUP($A9,'Data shares'!$C:$FA,96)</f>
        <v>365800</v>
      </c>
      <c r="M9" s="87">
        <f>VLOOKUP($A9,'Data shares'!$C:$FA,97)</f>
        <v>3.0800000000000001E-2</v>
      </c>
      <c r="N9" s="86">
        <f>VLOOKUP($A9,'Data shares'!$C:$FA,78)</f>
        <v>38207500</v>
      </c>
      <c r="O9" s="87">
        <f>VLOOKUP($A9,'Data shares'!$C:$FA,81)</f>
        <v>-2.1000000000000001E-2</v>
      </c>
    </row>
    <row r="10" spans="1:15" x14ac:dyDescent="0.25">
      <c r="A10" s="100" t="str">
        <f>'Data Vlaue (Cr)'!C5</f>
        <v>ADANIENSOL</v>
      </c>
      <c r="B10" s="82">
        <f>VLOOKUP(A10,'Data shares'!$C$2:$CV$216,98,0)</f>
        <v>30515400</v>
      </c>
      <c r="C10" s="82">
        <f>VLOOKUP(A10,'Data shares'!$C$2:$CX$216,100,0)</f>
        <v>1084725</v>
      </c>
      <c r="D10" s="141">
        <f>VLOOKUP(A10,'Data shares'!$C$2:$CY$539,101,0)</f>
        <v>3.6900000000000002E-2</v>
      </c>
      <c r="E10" s="86">
        <f>VLOOKUP($A10,'Data shares'!$C:$FA,74)</f>
        <v>20686050</v>
      </c>
      <c r="F10" s="86">
        <f>VLOOKUP($A10,'Data shares'!$C:$FA,76)</f>
        <v>809325</v>
      </c>
      <c r="G10" s="87">
        <f>VLOOKUP(A10,'Data shares'!$C$2:$CA$216,77,0)</f>
        <v>4.07E-2</v>
      </c>
      <c r="H10" s="86">
        <f>VLOOKUP($A10,'Data shares'!$C:$FA,90)</f>
        <v>5528925</v>
      </c>
      <c r="I10" s="86">
        <f>VLOOKUP($A10,'Data shares'!$C:$FA,92)</f>
        <v>167400</v>
      </c>
      <c r="J10" s="87">
        <f>VLOOKUP($A10,'Data shares'!$C:$FA,93)</f>
        <v>3.1199999999999999E-2</v>
      </c>
      <c r="K10" s="86">
        <f>VLOOKUP($A10,'Data shares'!$C:$FA,94)</f>
        <v>4300425</v>
      </c>
      <c r="L10" s="86">
        <f>VLOOKUP($A10,'Data shares'!$C:$FA,96)</f>
        <v>108000</v>
      </c>
      <c r="M10" s="87">
        <f>VLOOKUP($A10,'Data shares'!$C:$FA,97)</f>
        <v>2.58E-2</v>
      </c>
      <c r="N10" s="86">
        <f>VLOOKUP($A10,'Data shares'!$C:$FA,78)</f>
        <v>20487600</v>
      </c>
      <c r="O10" s="87">
        <f>VLOOKUP($A10,'Data shares'!$C:$FA,81)</f>
        <v>3.9899999999999998E-2</v>
      </c>
    </row>
    <row r="11" spans="1:15" x14ac:dyDescent="0.25">
      <c r="A11" s="100" t="str">
        <f>'Data Vlaue (Cr)'!C6</f>
        <v>ADANIENT</v>
      </c>
      <c r="B11" s="82">
        <f>VLOOKUP(A11,'Data shares'!$C$2:$CV$216,98,0)</f>
        <v>33159408</v>
      </c>
      <c r="C11" s="82">
        <f>VLOOKUP(A11,'Data shares'!$C$2:$CX$216,100,0)</f>
        <v>22248</v>
      </c>
      <c r="D11" s="141">
        <f>VLOOKUP(A11,'Data shares'!$C$2:$CY$539,101,0)</f>
        <v>6.9999999999999999E-4</v>
      </c>
      <c r="E11" s="86">
        <f>VLOOKUP($A11,'Data shares'!$C:$FA,74)</f>
        <v>19721616</v>
      </c>
      <c r="F11" s="86">
        <f>VLOOKUP($A11,'Data shares'!$C:$FA,76)</f>
        <v>-229896</v>
      </c>
      <c r="G11" s="87">
        <f>VLOOKUP(A11,'Data shares'!$C$2:$CA$216,77,0)</f>
        <v>-1.15E-2</v>
      </c>
      <c r="H11" s="86">
        <f>VLOOKUP($A11,'Data shares'!$C:$FA,90)</f>
        <v>7301670</v>
      </c>
      <c r="I11" s="86">
        <f>VLOOKUP($A11,'Data shares'!$C:$FA,92)</f>
        <v>-286752</v>
      </c>
      <c r="J11" s="87">
        <f>VLOOKUP($A11,'Data shares'!$C:$FA,93)</f>
        <v>-3.78E-2</v>
      </c>
      <c r="K11" s="86">
        <f>VLOOKUP($A11,'Data shares'!$C:$FA,94)</f>
        <v>6136122</v>
      </c>
      <c r="L11" s="86">
        <f>VLOOKUP($A11,'Data shares'!$C:$FA,96)</f>
        <v>538896</v>
      </c>
      <c r="M11" s="87">
        <f>VLOOKUP($A11,'Data shares'!$C:$FA,97)</f>
        <v>9.6299999999999997E-2</v>
      </c>
      <c r="N11" s="86">
        <f>VLOOKUP($A11,'Data shares'!$C:$FA,78)</f>
        <v>19257189</v>
      </c>
      <c r="O11" s="87">
        <f>VLOOKUP($A11,'Data shares'!$C:$FA,81)</f>
        <v>-1.2500000000000001E-2</v>
      </c>
    </row>
    <row r="12" spans="1:15" x14ac:dyDescent="0.25">
      <c r="A12" s="100" t="str">
        <f>'Data Vlaue (Cr)'!C7</f>
        <v>ADANIGREEN</v>
      </c>
      <c r="B12" s="82">
        <f>VLOOKUP(A12,'Data shares'!$C$2:$CV$216,98,0)</f>
        <v>35393400</v>
      </c>
      <c r="C12" s="82">
        <f>VLOOKUP(A12,'Data shares'!$C$2:$CX$216,100,0)</f>
        <v>1288800</v>
      </c>
      <c r="D12" s="141">
        <f>VLOOKUP(A12,'Data shares'!$C$2:$CY$539,101,0)</f>
        <v>3.78E-2</v>
      </c>
      <c r="E12" s="86">
        <f>VLOOKUP($A12,'Data shares'!$C:$FA,74)</f>
        <v>21914400</v>
      </c>
      <c r="F12" s="86">
        <f>VLOOKUP($A12,'Data shares'!$C:$FA,76)</f>
        <v>221400</v>
      </c>
      <c r="G12" s="87">
        <f>VLOOKUP(A12,'Data shares'!$C$2:$CA$216,77,0)</f>
        <v>1.0200000000000001E-2</v>
      </c>
      <c r="H12" s="86">
        <f>VLOOKUP($A12,'Data shares'!$C:$FA,90)</f>
        <v>7850400</v>
      </c>
      <c r="I12" s="86">
        <f>VLOOKUP($A12,'Data shares'!$C:$FA,92)</f>
        <v>655200</v>
      </c>
      <c r="J12" s="87">
        <f>VLOOKUP($A12,'Data shares'!$C:$FA,93)</f>
        <v>9.11E-2</v>
      </c>
      <c r="K12" s="86">
        <f>VLOOKUP($A12,'Data shares'!$C:$FA,94)</f>
        <v>5628600</v>
      </c>
      <c r="L12" s="86">
        <f>VLOOKUP($A12,'Data shares'!$C:$FA,96)</f>
        <v>412200</v>
      </c>
      <c r="M12" s="87">
        <f>VLOOKUP($A12,'Data shares'!$C:$FA,97)</f>
        <v>7.9000000000000001E-2</v>
      </c>
      <c r="N12" s="86">
        <f>VLOOKUP($A12,'Data shares'!$C:$FA,78)</f>
        <v>21618600</v>
      </c>
      <c r="O12" s="87">
        <f>VLOOKUP($A12,'Data shares'!$C:$FA,81)</f>
        <v>9.7999999999999997E-3</v>
      </c>
    </row>
    <row r="13" spans="1:15" x14ac:dyDescent="0.25">
      <c r="A13" s="100" t="str">
        <f>'Data Vlaue (Cr)'!C8</f>
        <v>ADANIPORTS</v>
      </c>
      <c r="B13" s="82">
        <f>VLOOKUP(A13,'Data shares'!$C$2:$CV$216,98,0)</f>
        <v>37435225</v>
      </c>
      <c r="C13" s="82">
        <f>VLOOKUP(A13,'Data shares'!$C$2:$CX$216,100,0)</f>
        <v>74575</v>
      </c>
      <c r="D13" s="141">
        <f>VLOOKUP(A13,'Data shares'!$C$2:$CY$539,101,0)</f>
        <v>2E-3</v>
      </c>
      <c r="E13" s="86">
        <f>VLOOKUP($A13,'Data shares'!$C:$FA,74)</f>
        <v>22041900</v>
      </c>
      <c r="F13" s="86">
        <f>VLOOKUP($A13,'Data shares'!$C:$FA,76)</f>
        <v>29925</v>
      </c>
      <c r="G13" s="87">
        <f>VLOOKUP(A13,'Data shares'!$C$2:$CA$216,77,0)</f>
        <v>1.4E-3</v>
      </c>
      <c r="H13" s="86">
        <f>VLOOKUP($A13,'Data shares'!$C:$FA,90)</f>
        <v>8611750</v>
      </c>
      <c r="I13" s="86">
        <f>VLOOKUP($A13,'Data shares'!$C:$FA,92)</f>
        <v>-93575</v>
      </c>
      <c r="J13" s="87">
        <f>VLOOKUP($A13,'Data shares'!$C:$FA,93)</f>
        <v>-1.0699999999999999E-2</v>
      </c>
      <c r="K13" s="86">
        <f>VLOOKUP($A13,'Data shares'!$C:$FA,94)</f>
        <v>6781575</v>
      </c>
      <c r="L13" s="86">
        <f>VLOOKUP($A13,'Data shares'!$C:$FA,96)</f>
        <v>138225</v>
      </c>
      <c r="M13" s="87">
        <f>VLOOKUP($A13,'Data shares'!$C:$FA,97)</f>
        <v>2.0799999999999999E-2</v>
      </c>
      <c r="N13" s="86">
        <f>VLOOKUP($A13,'Data shares'!$C:$FA,78)</f>
        <v>20915675</v>
      </c>
      <c r="O13" s="87">
        <f>VLOOKUP($A13,'Data shares'!$C:$FA,81)</f>
        <v>-1.4E-3</v>
      </c>
    </row>
    <row r="14" spans="1:15" x14ac:dyDescent="0.25">
      <c r="A14" s="100" t="str">
        <f>'Data Vlaue (Cr)'!C9</f>
        <v>ADANIPOWER</v>
      </c>
      <c r="B14" s="82">
        <f>VLOOKUP(A14,'Data shares'!$C$2:$CV$216,98,0)</f>
        <v>135176900</v>
      </c>
      <c r="C14" s="82">
        <f>VLOOKUP(A14,'Data shares'!$C$2:$CX$216,100,0)</f>
        <v>3429300</v>
      </c>
      <c r="D14" s="141">
        <f>VLOOKUP(A14,'Data shares'!$C$2:$CY$539,101,0)</f>
        <v>2.5999999999999999E-2</v>
      </c>
      <c r="E14" s="86">
        <f>VLOOKUP($A14,'Data shares'!$C:$FA,74)</f>
        <v>78742550</v>
      </c>
      <c r="F14" s="86">
        <f>VLOOKUP($A14,'Data shares'!$C:$FA,76)</f>
        <v>248500</v>
      </c>
      <c r="G14" s="87">
        <f>VLOOKUP(A14,'Data shares'!$C$2:$CA$216,77,0)</f>
        <v>3.2000000000000002E-3</v>
      </c>
      <c r="H14" s="86">
        <f>VLOOKUP($A14,'Data shares'!$C:$FA,90)</f>
        <v>33100200</v>
      </c>
      <c r="I14" s="86">
        <f>VLOOKUP($A14,'Data shares'!$C:$FA,92)</f>
        <v>1405800</v>
      </c>
      <c r="J14" s="87">
        <f>VLOOKUP($A14,'Data shares'!$C:$FA,93)</f>
        <v>4.4400000000000002E-2</v>
      </c>
      <c r="K14" s="86">
        <f>VLOOKUP($A14,'Data shares'!$C:$FA,94)</f>
        <v>23334150</v>
      </c>
      <c r="L14" s="86">
        <f>VLOOKUP($A14,'Data shares'!$C:$FA,96)</f>
        <v>1775000</v>
      </c>
      <c r="M14" s="87">
        <f>VLOOKUP($A14,'Data shares'!$C:$FA,97)</f>
        <v>8.2299999999999998E-2</v>
      </c>
      <c r="N14" s="86">
        <f>VLOOKUP($A14,'Data shares'!$C:$FA,78)</f>
        <v>75128650</v>
      </c>
      <c r="O14" s="87">
        <f>VLOOKUP($A14,'Data shares'!$C:$FA,81)</f>
        <v>-5.1000000000000004E-3</v>
      </c>
    </row>
    <row r="15" spans="1:15" x14ac:dyDescent="0.25">
      <c r="A15" s="100" t="str">
        <f>'Data Vlaue (Cr)'!C10</f>
        <v>ALKEM</v>
      </c>
      <c r="B15" s="82">
        <f>VLOOKUP(A15,'Data shares'!$C$2:$CV$216,98,0)</f>
        <v>1494875</v>
      </c>
      <c r="C15" s="82">
        <f>VLOOKUP(A15,'Data shares'!$C$2:$CX$216,100,0)</f>
        <v>67750</v>
      </c>
      <c r="D15" s="141">
        <f>VLOOKUP(A15,'Data shares'!$C$2:$CY$539,101,0)</f>
        <v>4.7500000000000001E-2</v>
      </c>
      <c r="E15" s="86">
        <f>VLOOKUP($A15,'Data shares'!$C:$FA,74)</f>
        <v>1088250</v>
      </c>
      <c r="F15" s="86">
        <f>VLOOKUP($A15,'Data shares'!$C:$FA,76)</f>
        <v>27375</v>
      </c>
      <c r="G15" s="87">
        <f>VLOOKUP(A15,'Data shares'!$C$2:$CA$216,77,0)</f>
        <v>2.58E-2</v>
      </c>
      <c r="H15" s="86">
        <f>VLOOKUP($A15,'Data shares'!$C:$FA,90)</f>
        <v>245875</v>
      </c>
      <c r="I15" s="86">
        <f>VLOOKUP($A15,'Data shares'!$C:$FA,92)</f>
        <v>29875</v>
      </c>
      <c r="J15" s="87">
        <f>VLOOKUP($A15,'Data shares'!$C:$FA,93)</f>
        <v>0.13830000000000001</v>
      </c>
      <c r="K15" s="86">
        <f>VLOOKUP($A15,'Data shares'!$C:$FA,94)</f>
        <v>160750</v>
      </c>
      <c r="L15" s="86">
        <f>VLOOKUP($A15,'Data shares'!$C:$FA,96)</f>
        <v>10500</v>
      </c>
      <c r="M15" s="87">
        <f>VLOOKUP($A15,'Data shares'!$C:$FA,97)</f>
        <v>6.9900000000000004E-2</v>
      </c>
      <c r="N15" s="86">
        <f>VLOOKUP($A15,'Data shares'!$C:$FA,78)</f>
        <v>1078500</v>
      </c>
      <c r="O15" s="87">
        <f>VLOOKUP($A15,'Data shares'!$C:$FA,81)</f>
        <v>2.4E-2</v>
      </c>
    </row>
    <row r="16" spans="1:15" x14ac:dyDescent="0.25">
      <c r="A16" s="100" t="str">
        <f>'Data Vlaue (Cr)'!C11</f>
        <v>AMBER</v>
      </c>
      <c r="B16" s="82">
        <f>VLOOKUP(A16,'Data shares'!$C$2:$CV$216,98,0)</f>
        <v>2639100</v>
      </c>
      <c r="C16" s="82">
        <f>VLOOKUP(A16,'Data shares'!$C$2:$CX$216,100,0)</f>
        <v>734000</v>
      </c>
      <c r="D16" s="141">
        <f>VLOOKUP(A16,'Data shares'!$C$2:$CY$539,101,0)</f>
        <v>0.38529999999999998</v>
      </c>
      <c r="E16" s="86">
        <f>VLOOKUP($A16,'Data shares'!$C:$FA,74)</f>
        <v>1360600</v>
      </c>
      <c r="F16" s="86">
        <f>VLOOKUP($A16,'Data shares'!$C:$FA,76)</f>
        <v>151800</v>
      </c>
      <c r="G16" s="87">
        <f>VLOOKUP(A16,'Data shares'!$C$2:$CA$216,77,0)</f>
        <v>0.12559999999999999</v>
      </c>
      <c r="H16" s="86">
        <f>VLOOKUP($A16,'Data shares'!$C:$FA,90)</f>
        <v>849400</v>
      </c>
      <c r="I16" s="86">
        <f>VLOOKUP($A16,'Data shares'!$C:$FA,92)</f>
        <v>386400</v>
      </c>
      <c r="J16" s="87">
        <f>VLOOKUP($A16,'Data shares'!$C:$FA,93)</f>
        <v>0.83460000000000001</v>
      </c>
      <c r="K16" s="86">
        <f>VLOOKUP($A16,'Data shares'!$C:$FA,94)</f>
        <v>429100</v>
      </c>
      <c r="L16" s="86">
        <f>VLOOKUP($A16,'Data shares'!$C:$FA,96)</f>
        <v>195800</v>
      </c>
      <c r="M16" s="87">
        <f>VLOOKUP($A16,'Data shares'!$C:$FA,97)</f>
        <v>0.83930000000000005</v>
      </c>
      <c r="N16" s="86">
        <f>VLOOKUP($A16,'Data shares'!$C:$FA,78)</f>
        <v>1337900</v>
      </c>
      <c r="O16" s="87">
        <f>VLOOKUP($A16,'Data shares'!$C:$FA,81)</f>
        <v>0.1249</v>
      </c>
    </row>
    <row r="17" spans="1:15" x14ac:dyDescent="0.25">
      <c r="A17" s="100" t="str">
        <f>'Data Vlaue (Cr)'!C12</f>
        <v>AMBUJACEM</v>
      </c>
      <c r="B17" s="82">
        <f>VLOOKUP(A17,'Data shares'!$C$2:$CV$216,98,0)</f>
        <v>109802250</v>
      </c>
      <c r="C17" s="82">
        <f>VLOOKUP(A17,'Data shares'!$C$2:$CX$216,100,0)</f>
        <v>2632350</v>
      </c>
      <c r="D17" s="141">
        <f>VLOOKUP(A17,'Data shares'!$C$2:$CY$539,101,0)</f>
        <v>2.46E-2</v>
      </c>
      <c r="E17" s="86">
        <f>VLOOKUP($A17,'Data shares'!$C:$FA,74)</f>
        <v>76314450</v>
      </c>
      <c r="F17" s="86">
        <f>VLOOKUP($A17,'Data shares'!$C:$FA,76)</f>
        <v>2185950</v>
      </c>
      <c r="G17" s="87">
        <f>VLOOKUP(A17,'Data shares'!$C$2:$CA$216,77,0)</f>
        <v>2.9499999999999998E-2</v>
      </c>
      <c r="H17" s="86">
        <f>VLOOKUP($A17,'Data shares'!$C:$FA,90)</f>
        <v>21333900</v>
      </c>
      <c r="I17" s="86">
        <f>VLOOKUP($A17,'Data shares'!$C:$FA,92)</f>
        <v>-108150</v>
      </c>
      <c r="J17" s="87">
        <f>VLOOKUP($A17,'Data shares'!$C:$FA,93)</f>
        <v>-5.0000000000000001E-3</v>
      </c>
      <c r="K17" s="86">
        <f>VLOOKUP($A17,'Data shares'!$C:$FA,94)</f>
        <v>12153900</v>
      </c>
      <c r="L17" s="86">
        <f>VLOOKUP($A17,'Data shares'!$C:$FA,96)</f>
        <v>554550</v>
      </c>
      <c r="M17" s="87">
        <f>VLOOKUP($A17,'Data shares'!$C:$FA,97)</f>
        <v>4.7800000000000002E-2</v>
      </c>
      <c r="N17" s="86">
        <f>VLOOKUP($A17,'Data shares'!$C:$FA,78)</f>
        <v>74418750</v>
      </c>
      <c r="O17" s="87">
        <f>VLOOKUP($A17,'Data shares'!$C:$FA,81)</f>
        <v>2.7900000000000001E-2</v>
      </c>
    </row>
    <row r="18" spans="1:15" x14ac:dyDescent="0.25">
      <c r="A18" s="100" t="str">
        <f>'Data Vlaue (Cr)'!C13</f>
        <v>ANGELONE</v>
      </c>
      <c r="B18" s="82">
        <f>VLOOKUP(A18,'Data shares'!$C$2:$CV$216,98,0)</f>
        <v>49205000</v>
      </c>
      <c r="C18" s="82">
        <f>VLOOKUP(A18,'Data shares'!$C$2:$CX$216,100,0)</f>
        <v>1455000</v>
      </c>
      <c r="D18" s="141">
        <f>VLOOKUP(A18,'Data shares'!$C$2:$CY$539,101,0)</f>
        <v>3.0499999999999999E-2</v>
      </c>
      <c r="E18" s="86">
        <f>VLOOKUP($A18,'Data shares'!$C:$FA,74)</f>
        <v>25350000</v>
      </c>
      <c r="F18" s="86">
        <f>VLOOKUP($A18,'Data shares'!$C:$FA,76)</f>
        <v>52500</v>
      </c>
      <c r="G18" s="87">
        <f>VLOOKUP(A18,'Data shares'!$C$2:$CA$216,77,0)</f>
        <v>2.0999999999999999E-3</v>
      </c>
      <c r="H18" s="86">
        <f>VLOOKUP($A18,'Data shares'!$C:$FA,90)</f>
        <v>15965000</v>
      </c>
      <c r="I18" s="86">
        <f>VLOOKUP($A18,'Data shares'!$C:$FA,92)</f>
        <v>1147500</v>
      </c>
      <c r="J18" s="87">
        <f>VLOOKUP($A18,'Data shares'!$C:$FA,93)</f>
        <v>7.7399999999999997E-2</v>
      </c>
      <c r="K18" s="86">
        <f>VLOOKUP($A18,'Data shares'!$C:$FA,94)</f>
        <v>7890000</v>
      </c>
      <c r="L18" s="86">
        <f>VLOOKUP($A18,'Data shares'!$C:$FA,96)</f>
        <v>255000</v>
      </c>
      <c r="M18" s="87">
        <f>VLOOKUP($A18,'Data shares'!$C:$FA,97)</f>
        <v>3.3399999999999999E-2</v>
      </c>
      <c r="N18" s="86">
        <f>VLOOKUP($A18,'Data shares'!$C:$FA,78)</f>
        <v>24577500</v>
      </c>
      <c r="O18" s="87">
        <f>VLOOKUP($A18,'Data shares'!$C:$FA,81)</f>
        <v>8.9999999999999998E-4</v>
      </c>
    </row>
    <row r="19" spans="1:15" x14ac:dyDescent="0.25">
      <c r="A19" s="100" t="str">
        <f>'Data Vlaue (Cr)'!C14</f>
        <v>APLAPOLLO</v>
      </c>
      <c r="B19" s="82">
        <f>VLOOKUP(A19,'Data shares'!$C$2:$CV$216,98,0)</f>
        <v>8971900</v>
      </c>
      <c r="C19" s="82">
        <f>VLOOKUP(A19,'Data shares'!$C$2:$CX$216,100,0)</f>
        <v>76650</v>
      </c>
      <c r="D19" s="141">
        <f>VLOOKUP(A19,'Data shares'!$C$2:$CY$539,101,0)</f>
        <v>8.6E-3</v>
      </c>
      <c r="E19" s="86">
        <f>VLOOKUP($A19,'Data shares'!$C:$FA,74)</f>
        <v>6073200</v>
      </c>
      <c r="F19" s="86">
        <f>VLOOKUP($A19,'Data shares'!$C:$FA,76)</f>
        <v>-44800</v>
      </c>
      <c r="G19" s="87">
        <f>VLOOKUP(A19,'Data shares'!$C$2:$CA$216,77,0)</f>
        <v>-7.3000000000000001E-3</v>
      </c>
      <c r="H19" s="86">
        <f>VLOOKUP($A19,'Data shares'!$C:$FA,90)</f>
        <v>1899100</v>
      </c>
      <c r="I19" s="86">
        <f>VLOOKUP($A19,'Data shares'!$C:$FA,92)</f>
        <v>107450</v>
      </c>
      <c r="J19" s="87">
        <f>VLOOKUP($A19,'Data shares'!$C:$FA,93)</f>
        <v>0.06</v>
      </c>
      <c r="K19" s="86">
        <f>VLOOKUP($A19,'Data shares'!$C:$FA,94)</f>
        <v>999600</v>
      </c>
      <c r="L19" s="86">
        <f>VLOOKUP($A19,'Data shares'!$C:$FA,96)</f>
        <v>14000</v>
      </c>
      <c r="M19" s="87">
        <f>VLOOKUP($A19,'Data shares'!$C:$FA,97)</f>
        <v>1.4200000000000001E-2</v>
      </c>
      <c r="N19" s="86">
        <f>VLOOKUP($A19,'Data shares'!$C:$FA,78)</f>
        <v>5523700</v>
      </c>
      <c r="O19" s="87">
        <f>VLOOKUP($A19,'Data shares'!$C:$FA,81)</f>
        <v>-8.8999999999999999E-3</v>
      </c>
    </row>
    <row r="20" spans="1:15" x14ac:dyDescent="0.25">
      <c r="A20" s="100" t="str">
        <f>'Data Vlaue (Cr)'!C15</f>
        <v>APOLLOHOSP</v>
      </c>
      <c r="B20" s="82">
        <f>VLOOKUP(A20,'Data shares'!$C$2:$CV$216,98,0)</f>
        <v>3246500</v>
      </c>
      <c r="C20" s="82">
        <f>VLOOKUP(A20,'Data shares'!$C$2:$CX$216,100,0)</f>
        <v>79250</v>
      </c>
      <c r="D20" s="141">
        <f>VLOOKUP(A20,'Data shares'!$C$2:$CY$539,101,0)</f>
        <v>2.5000000000000001E-2</v>
      </c>
      <c r="E20" s="86">
        <f>VLOOKUP($A20,'Data shares'!$C:$FA,74)</f>
        <v>2015125</v>
      </c>
      <c r="F20" s="86">
        <f>VLOOKUP($A20,'Data shares'!$C:$FA,76)</f>
        <v>-2625</v>
      </c>
      <c r="G20" s="87">
        <f>VLOOKUP(A20,'Data shares'!$C$2:$CA$216,77,0)</f>
        <v>-1.2999999999999999E-3</v>
      </c>
      <c r="H20" s="86">
        <f>VLOOKUP($A20,'Data shares'!$C:$FA,90)</f>
        <v>770500</v>
      </c>
      <c r="I20" s="86">
        <f>VLOOKUP($A20,'Data shares'!$C:$FA,92)</f>
        <v>64000</v>
      </c>
      <c r="J20" s="87">
        <f>VLOOKUP($A20,'Data shares'!$C:$FA,93)</f>
        <v>9.06E-2</v>
      </c>
      <c r="K20" s="86">
        <f>VLOOKUP($A20,'Data shares'!$C:$FA,94)</f>
        <v>460875</v>
      </c>
      <c r="L20" s="86">
        <f>VLOOKUP($A20,'Data shares'!$C:$FA,96)</f>
        <v>17875</v>
      </c>
      <c r="M20" s="87">
        <f>VLOOKUP($A20,'Data shares'!$C:$FA,97)</f>
        <v>4.0300000000000002E-2</v>
      </c>
      <c r="N20" s="86">
        <f>VLOOKUP($A20,'Data shares'!$C:$FA,78)</f>
        <v>1831000</v>
      </c>
      <c r="O20" s="87">
        <f>VLOOKUP($A20,'Data shares'!$C:$FA,81)</f>
        <v>-5.7999999999999996E-3</v>
      </c>
    </row>
    <row r="21" spans="1:15" x14ac:dyDescent="0.25">
      <c r="A21" s="100" t="str">
        <f>'Data Vlaue (Cr)'!C16</f>
        <v>ASHOKLEY</v>
      </c>
      <c r="B21" s="82">
        <f>VLOOKUP(A21,'Data shares'!$C$2:$CV$216,98,0)</f>
        <v>283670000</v>
      </c>
      <c r="C21" s="82">
        <f>VLOOKUP(A21,'Data shares'!$C$2:$CX$216,100,0)</f>
        <v>3155000</v>
      </c>
      <c r="D21" s="141">
        <f>VLOOKUP(A21,'Data shares'!$C$2:$CY$539,101,0)</f>
        <v>1.12E-2</v>
      </c>
      <c r="E21" s="86">
        <f>VLOOKUP($A21,'Data shares'!$C:$FA,74)</f>
        <v>140460000</v>
      </c>
      <c r="F21" s="86">
        <f>VLOOKUP($A21,'Data shares'!$C:$FA,76)</f>
        <v>-1625000</v>
      </c>
      <c r="G21" s="87">
        <f>VLOOKUP(A21,'Data shares'!$C$2:$CA$216,77,0)</f>
        <v>-1.14E-2</v>
      </c>
      <c r="H21" s="86">
        <f>VLOOKUP($A21,'Data shares'!$C:$FA,90)</f>
        <v>91810000</v>
      </c>
      <c r="I21" s="86">
        <f>VLOOKUP($A21,'Data shares'!$C:$FA,92)</f>
        <v>3850000</v>
      </c>
      <c r="J21" s="87">
        <f>VLOOKUP($A21,'Data shares'!$C:$FA,93)</f>
        <v>4.3799999999999999E-2</v>
      </c>
      <c r="K21" s="86">
        <f>VLOOKUP($A21,'Data shares'!$C:$FA,94)</f>
        <v>51400000</v>
      </c>
      <c r="L21" s="86">
        <f>VLOOKUP($A21,'Data shares'!$C:$FA,96)</f>
        <v>930000</v>
      </c>
      <c r="M21" s="87">
        <f>VLOOKUP($A21,'Data shares'!$C:$FA,97)</f>
        <v>1.84E-2</v>
      </c>
      <c r="N21" s="86">
        <f>VLOOKUP($A21,'Data shares'!$C:$FA,78)</f>
        <v>129455000</v>
      </c>
      <c r="O21" s="87">
        <f>VLOOKUP($A21,'Data shares'!$C:$FA,81)</f>
        <v>-1.5299999999999999E-2</v>
      </c>
    </row>
    <row r="22" spans="1:15" x14ac:dyDescent="0.25">
      <c r="A22" s="100" t="str">
        <f>'Data Vlaue (Cr)'!C17</f>
        <v>ASIANPAINT</v>
      </c>
      <c r="B22" s="82">
        <f>VLOOKUP(A22,'Data shares'!$C$2:$CV$216,98,0)</f>
        <v>21906000</v>
      </c>
      <c r="C22" s="82">
        <f>VLOOKUP(A22,'Data shares'!$C$2:$CX$216,100,0)</f>
        <v>393250</v>
      </c>
      <c r="D22" s="141">
        <f>VLOOKUP(A22,'Data shares'!$C$2:$CY$539,101,0)</f>
        <v>1.83E-2</v>
      </c>
      <c r="E22" s="86">
        <f>VLOOKUP($A22,'Data shares'!$C:$FA,74)</f>
        <v>14144000</v>
      </c>
      <c r="F22" s="86">
        <f>VLOOKUP($A22,'Data shares'!$C:$FA,76)</f>
        <v>-174750</v>
      </c>
      <c r="G22" s="87">
        <f>VLOOKUP(A22,'Data shares'!$C$2:$CA$216,77,0)</f>
        <v>-1.2200000000000001E-2</v>
      </c>
      <c r="H22" s="86">
        <f>VLOOKUP($A22,'Data shares'!$C:$FA,90)</f>
        <v>4351000</v>
      </c>
      <c r="I22" s="86">
        <f>VLOOKUP($A22,'Data shares'!$C:$FA,92)</f>
        <v>468250</v>
      </c>
      <c r="J22" s="87">
        <f>VLOOKUP($A22,'Data shares'!$C:$FA,93)</f>
        <v>0.1206</v>
      </c>
      <c r="K22" s="86">
        <f>VLOOKUP($A22,'Data shares'!$C:$FA,94)</f>
        <v>3411000</v>
      </c>
      <c r="L22" s="86">
        <f>VLOOKUP($A22,'Data shares'!$C:$FA,96)</f>
        <v>99750</v>
      </c>
      <c r="M22" s="87">
        <f>VLOOKUP($A22,'Data shares'!$C:$FA,97)</f>
        <v>3.0099999999999998E-2</v>
      </c>
      <c r="N22" s="86">
        <f>VLOOKUP($A22,'Data shares'!$C:$FA,78)</f>
        <v>12915000</v>
      </c>
      <c r="O22" s="87">
        <f>VLOOKUP($A22,'Data shares'!$C:$FA,81)</f>
        <v>-1.49E-2</v>
      </c>
    </row>
    <row r="23" spans="1:15" x14ac:dyDescent="0.25">
      <c r="A23" s="100" t="str">
        <f>'Data Vlaue (Cr)'!C18</f>
        <v>ASTRAL</v>
      </c>
      <c r="B23" s="82">
        <f>VLOOKUP(A23,'Data shares'!$C$2:$CV$216,98,0)</f>
        <v>11851975</v>
      </c>
      <c r="C23" s="82">
        <f>VLOOKUP(A23,'Data shares'!$C$2:$CX$216,100,0)</f>
        <v>36975</v>
      </c>
      <c r="D23" s="141">
        <f>VLOOKUP(A23,'Data shares'!$C$2:$CY$539,101,0)</f>
        <v>3.0999999999999999E-3</v>
      </c>
      <c r="E23" s="86">
        <f>VLOOKUP($A23,'Data shares'!$C:$FA,74)</f>
        <v>9054200</v>
      </c>
      <c r="F23" s="86">
        <f>VLOOKUP($A23,'Data shares'!$C:$FA,76)</f>
        <v>-213775</v>
      </c>
      <c r="G23" s="87">
        <f>VLOOKUP(A23,'Data shares'!$C$2:$CA$216,77,0)</f>
        <v>-2.3099999999999999E-2</v>
      </c>
      <c r="H23" s="86">
        <f>VLOOKUP($A23,'Data shares'!$C:$FA,90)</f>
        <v>1773950</v>
      </c>
      <c r="I23" s="86">
        <f>VLOOKUP($A23,'Data shares'!$C:$FA,92)</f>
        <v>186575</v>
      </c>
      <c r="J23" s="87">
        <f>VLOOKUP($A23,'Data shares'!$C:$FA,93)</f>
        <v>0.11749999999999999</v>
      </c>
      <c r="K23" s="86">
        <f>VLOOKUP($A23,'Data shares'!$C:$FA,94)</f>
        <v>1023825</v>
      </c>
      <c r="L23" s="86">
        <f>VLOOKUP($A23,'Data shares'!$C:$FA,96)</f>
        <v>64175</v>
      </c>
      <c r="M23" s="87">
        <f>VLOOKUP($A23,'Data shares'!$C:$FA,97)</f>
        <v>6.6900000000000001E-2</v>
      </c>
      <c r="N23" s="86">
        <f>VLOOKUP($A23,'Data shares'!$C:$FA,78)</f>
        <v>8501700</v>
      </c>
      <c r="O23" s="87">
        <f>VLOOKUP($A23,'Data shares'!$C:$FA,81)</f>
        <v>-3.1899999999999998E-2</v>
      </c>
    </row>
    <row r="24" spans="1:15" x14ac:dyDescent="0.25">
      <c r="A24" s="100" t="str">
        <f>'Data Vlaue (Cr)'!C19</f>
        <v>AUBANK</v>
      </c>
      <c r="B24" s="82">
        <f>VLOOKUP(A24,'Data shares'!$C$2:$CV$216,98,0)</f>
        <v>40319000</v>
      </c>
      <c r="C24" s="82">
        <f>VLOOKUP(A24,'Data shares'!$C$2:$CX$216,100,0)</f>
        <v>497000</v>
      </c>
      <c r="D24" s="141">
        <f>VLOOKUP(A24,'Data shares'!$C$2:$CY$539,101,0)</f>
        <v>1.2500000000000001E-2</v>
      </c>
      <c r="E24" s="86">
        <f>VLOOKUP($A24,'Data shares'!$C:$FA,74)</f>
        <v>27717000</v>
      </c>
      <c r="F24" s="86">
        <f>VLOOKUP($A24,'Data shares'!$C:$FA,76)</f>
        <v>330000</v>
      </c>
      <c r="G24" s="87">
        <f>VLOOKUP(A24,'Data shares'!$C$2:$CA$216,77,0)</f>
        <v>1.2E-2</v>
      </c>
      <c r="H24" s="86">
        <f>VLOOKUP($A24,'Data shares'!$C:$FA,90)</f>
        <v>8129000</v>
      </c>
      <c r="I24" s="86">
        <f>VLOOKUP($A24,'Data shares'!$C:$FA,92)</f>
        <v>-30000</v>
      </c>
      <c r="J24" s="87">
        <f>VLOOKUP($A24,'Data shares'!$C:$FA,93)</f>
        <v>-3.7000000000000002E-3</v>
      </c>
      <c r="K24" s="86">
        <f>VLOOKUP($A24,'Data shares'!$C:$FA,94)</f>
        <v>4473000</v>
      </c>
      <c r="L24" s="86">
        <f>VLOOKUP($A24,'Data shares'!$C:$FA,96)</f>
        <v>197000</v>
      </c>
      <c r="M24" s="87">
        <f>VLOOKUP($A24,'Data shares'!$C:$FA,97)</f>
        <v>4.6100000000000002E-2</v>
      </c>
      <c r="N24" s="86">
        <f>VLOOKUP($A24,'Data shares'!$C:$FA,78)</f>
        <v>26145000</v>
      </c>
      <c r="O24" s="87">
        <f>VLOOKUP($A24,'Data shares'!$C:$FA,81)</f>
        <v>7.0000000000000001E-3</v>
      </c>
    </row>
    <row r="25" spans="1:15" x14ac:dyDescent="0.25">
      <c r="A25" s="100" t="str">
        <f>'Data Vlaue (Cr)'!C20</f>
        <v>AUROPHARMA</v>
      </c>
      <c r="B25" s="82">
        <f>VLOOKUP(A25,'Data shares'!$C$2:$CV$216,98,0)</f>
        <v>24260500</v>
      </c>
      <c r="C25" s="82">
        <f>VLOOKUP(A25,'Data shares'!$C$2:$CX$216,100,0)</f>
        <v>481800</v>
      </c>
      <c r="D25" s="141">
        <f>VLOOKUP(A25,'Data shares'!$C$2:$CY$539,101,0)</f>
        <v>2.0299999999999999E-2</v>
      </c>
      <c r="E25" s="86">
        <f>VLOOKUP($A25,'Data shares'!$C:$FA,74)</f>
        <v>18731900</v>
      </c>
      <c r="F25" s="86">
        <f>VLOOKUP($A25,'Data shares'!$C:$FA,76)</f>
        <v>-509300</v>
      </c>
      <c r="G25" s="87">
        <f>VLOOKUP(A25,'Data shares'!$C$2:$CA$216,77,0)</f>
        <v>-2.6499999999999999E-2</v>
      </c>
      <c r="H25" s="86">
        <f>VLOOKUP($A25,'Data shares'!$C:$FA,90)</f>
        <v>3065150</v>
      </c>
      <c r="I25" s="86">
        <f>VLOOKUP($A25,'Data shares'!$C:$FA,92)</f>
        <v>221650</v>
      </c>
      <c r="J25" s="87">
        <f>VLOOKUP($A25,'Data shares'!$C:$FA,93)</f>
        <v>7.7899999999999997E-2</v>
      </c>
      <c r="K25" s="86">
        <f>VLOOKUP($A25,'Data shares'!$C:$FA,94)</f>
        <v>2463450</v>
      </c>
      <c r="L25" s="86">
        <f>VLOOKUP($A25,'Data shares'!$C:$FA,96)</f>
        <v>769450</v>
      </c>
      <c r="M25" s="87">
        <f>VLOOKUP($A25,'Data shares'!$C:$FA,97)</f>
        <v>0.45419999999999999</v>
      </c>
      <c r="N25" s="86">
        <f>VLOOKUP($A25,'Data shares'!$C:$FA,78)</f>
        <v>18588900</v>
      </c>
      <c r="O25" s="87">
        <f>VLOOKUP($A25,'Data shares'!$C:$FA,81)</f>
        <v>-3.0800000000000001E-2</v>
      </c>
    </row>
    <row r="26" spans="1:15" x14ac:dyDescent="0.25">
      <c r="A26" s="100" t="str">
        <f>'Data Vlaue (Cr)'!C21</f>
        <v>AXISBANK</v>
      </c>
      <c r="B26" s="82">
        <f>VLOOKUP(A26,'Data shares'!$C$2:$CV$216,98,0)</f>
        <v>96023125</v>
      </c>
      <c r="C26" s="82">
        <f>VLOOKUP(A26,'Data shares'!$C$2:$CX$216,100,0)</f>
        <v>490625</v>
      </c>
      <c r="D26" s="141">
        <f>VLOOKUP(A26,'Data shares'!$C$2:$CY$539,101,0)</f>
        <v>5.1000000000000004E-3</v>
      </c>
      <c r="E26" s="86">
        <f>VLOOKUP($A26,'Data shares'!$C:$FA,74)</f>
        <v>68474375</v>
      </c>
      <c r="F26" s="86">
        <f>VLOOKUP($A26,'Data shares'!$C:$FA,76)</f>
        <v>986250</v>
      </c>
      <c r="G26" s="87">
        <f>VLOOKUP(A26,'Data shares'!$C$2:$CA$216,77,0)</f>
        <v>1.46E-2</v>
      </c>
      <c r="H26" s="86">
        <f>VLOOKUP($A26,'Data shares'!$C:$FA,90)</f>
        <v>15970000</v>
      </c>
      <c r="I26" s="86">
        <f>VLOOKUP($A26,'Data shares'!$C:$FA,92)</f>
        <v>-891875</v>
      </c>
      <c r="J26" s="87">
        <f>VLOOKUP($A26,'Data shares'!$C:$FA,93)</f>
        <v>-5.2900000000000003E-2</v>
      </c>
      <c r="K26" s="86">
        <f>VLOOKUP($A26,'Data shares'!$C:$FA,94)</f>
        <v>11578750</v>
      </c>
      <c r="L26" s="86">
        <f>VLOOKUP($A26,'Data shares'!$C:$FA,96)</f>
        <v>396250</v>
      </c>
      <c r="M26" s="87">
        <f>VLOOKUP($A26,'Data shares'!$C:$FA,97)</f>
        <v>3.5400000000000001E-2</v>
      </c>
      <c r="N26" s="86">
        <f>VLOOKUP($A26,'Data shares'!$C:$FA,78)</f>
        <v>59293125</v>
      </c>
      <c r="O26" s="87">
        <f>VLOOKUP($A26,'Data shares'!$C:$FA,81)</f>
        <v>7.7999999999999996E-3</v>
      </c>
    </row>
    <row r="27" spans="1:15" x14ac:dyDescent="0.25">
      <c r="A27" s="100" t="str">
        <f>'Data Vlaue (Cr)'!C22</f>
        <v>BAJAJ-AUTO</v>
      </c>
      <c r="B27" s="82">
        <f>VLOOKUP(A27,'Data shares'!$C$2:$CV$216,98,0)</f>
        <v>5748000</v>
      </c>
      <c r="C27" s="82">
        <f>VLOOKUP(A27,'Data shares'!$C$2:$CX$216,100,0)</f>
        <v>455100</v>
      </c>
      <c r="D27" s="141">
        <f>VLOOKUP(A27,'Data shares'!$C$2:$CY$539,101,0)</f>
        <v>8.5999999999999993E-2</v>
      </c>
      <c r="E27" s="86">
        <f>VLOOKUP($A27,'Data shares'!$C:$FA,74)</f>
        <v>2649225</v>
      </c>
      <c r="F27" s="86">
        <f>VLOOKUP($A27,'Data shares'!$C:$FA,76)</f>
        <v>20925</v>
      </c>
      <c r="G27" s="87">
        <f>VLOOKUP(A27,'Data shares'!$C$2:$CA$216,77,0)</f>
        <v>8.0000000000000002E-3</v>
      </c>
      <c r="H27" s="86">
        <f>VLOOKUP($A27,'Data shares'!$C:$FA,90)</f>
        <v>1755150</v>
      </c>
      <c r="I27" s="86">
        <f>VLOOKUP($A27,'Data shares'!$C:$FA,92)</f>
        <v>265125</v>
      </c>
      <c r="J27" s="87">
        <f>VLOOKUP($A27,'Data shares'!$C:$FA,93)</f>
        <v>0.1779</v>
      </c>
      <c r="K27" s="86">
        <f>VLOOKUP($A27,'Data shares'!$C:$FA,94)</f>
        <v>1343625</v>
      </c>
      <c r="L27" s="86">
        <f>VLOOKUP($A27,'Data shares'!$C:$FA,96)</f>
        <v>169050</v>
      </c>
      <c r="M27" s="87">
        <f>VLOOKUP($A27,'Data shares'!$C:$FA,97)</f>
        <v>0.1439</v>
      </c>
      <c r="N27" s="86">
        <f>VLOOKUP($A27,'Data shares'!$C:$FA,78)</f>
        <v>2510250</v>
      </c>
      <c r="O27" s="87">
        <f>VLOOKUP($A27,'Data shares'!$C:$FA,81)</f>
        <v>3.0000000000000001E-3</v>
      </c>
    </row>
    <row r="28" spans="1:15" x14ac:dyDescent="0.25">
      <c r="A28" s="100" t="str">
        <f>'Data Vlaue (Cr)'!C23</f>
        <v>BAJAJFINSV</v>
      </c>
      <c r="B28" s="82">
        <f>VLOOKUP(A28,'Data shares'!$C$2:$CV$216,98,0)</f>
        <v>17361050</v>
      </c>
      <c r="C28" s="82">
        <f>VLOOKUP(A28,'Data shares'!$C$2:$CX$216,100,0)</f>
        <v>-129500</v>
      </c>
      <c r="D28" s="141">
        <f>VLOOKUP(A28,'Data shares'!$C$2:$CY$539,101,0)</f>
        <v>-7.4000000000000003E-3</v>
      </c>
      <c r="E28" s="86">
        <f>VLOOKUP($A28,'Data shares'!$C:$FA,74)</f>
        <v>11471550</v>
      </c>
      <c r="F28" s="86">
        <f>VLOOKUP($A28,'Data shares'!$C:$FA,76)</f>
        <v>-85000</v>
      </c>
      <c r="G28" s="87">
        <f>VLOOKUP(A28,'Data shares'!$C$2:$CA$216,77,0)</f>
        <v>-7.4000000000000003E-3</v>
      </c>
      <c r="H28" s="86">
        <f>VLOOKUP($A28,'Data shares'!$C:$FA,90)</f>
        <v>2966250</v>
      </c>
      <c r="I28" s="86">
        <f>VLOOKUP($A28,'Data shares'!$C:$FA,92)</f>
        <v>-46250</v>
      </c>
      <c r="J28" s="87">
        <f>VLOOKUP($A28,'Data shares'!$C:$FA,93)</f>
        <v>-1.54E-2</v>
      </c>
      <c r="K28" s="86">
        <f>VLOOKUP($A28,'Data shares'!$C:$FA,94)</f>
        <v>2923250</v>
      </c>
      <c r="L28" s="86">
        <f>VLOOKUP($A28,'Data shares'!$C:$FA,96)</f>
        <v>1750</v>
      </c>
      <c r="M28" s="87">
        <f>VLOOKUP($A28,'Data shares'!$C:$FA,97)</f>
        <v>5.9999999999999995E-4</v>
      </c>
      <c r="N28" s="86">
        <f>VLOOKUP($A28,'Data shares'!$C:$FA,78)</f>
        <v>10411750</v>
      </c>
      <c r="O28" s="87">
        <f>VLOOKUP($A28,'Data shares'!$C:$FA,81)</f>
        <v>-9.1000000000000004E-3</v>
      </c>
    </row>
    <row r="29" spans="1:15" x14ac:dyDescent="0.25">
      <c r="A29" s="100" t="str">
        <f>'Data Vlaue (Cr)'!C24</f>
        <v>BAJAJHLDNG</v>
      </c>
      <c r="B29" s="82">
        <f>VLOOKUP(A29,'Data shares'!$C$2:$CV$216,98,0)</f>
        <v>370050</v>
      </c>
      <c r="C29" s="82">
        <f>VLOOKUP(A29,'Data shares'!$C$2:$CX$216,100,0)</f>
        <v>22500</v>
      </c>
      <c r="D29" s="141">
        <f>VLOOKUP(A29,'Data shares'!$C$2:$CY$539,101,0)</f>
        <v>6.4699999999999994E-2</v>
      </c>
      <c r="E29" s="86">
        <f>VLOOKUP($A29,'Data shares'!$C:$FA,74)</f>
        <v>270700</v>
      </c>
      <c r="F29" s="86">
        <f>VLOOKUP($A29,'Data shares'!$C:$FA,76)</f>
        <v>10800</v>
      </c>
      <c r="G29" s="87">
        <f>VLOOKUP(A29,'Data shares'!$C$2:$CA$216,77,0)</f>
        <v>4.1599999999999998E-2</v>
      </c>
      <c r="H29" s="86">
        <f>VLOOKUP($A29,'Data shares'!$C:$FA,90)</f>
        <v>69150</v>
      </c>
      <c r="I29" s="86">
        <f>VLOOKUP($A29,'Data shares'!$C:$FA,92)</f>
        <v>6650</v>
      </c>
      <c r="J29" s="87">
        <f>VLOOKUP($A29,'Data shares'!$C:$FA,93)</f>
        <v>0.10639999999999999</v>
      </c>
      <c r="K29" s="86">
        <f>VLOOKUP($A29,'Data shares'!$C:$FA,94)</f>
        <v>30200</v>
      </c>
      <c r="L29" s="86">
        <f>VLOOKUP($A29,'Data shares'!$C:$FA,96)</f>
        <v>5050</v>
      </c>
      <c r="M29" s="87">
        <f>VLOOKUP($A29,'Data shares'!$C:$FA,97)</f>
        <v>0.20080000000000001</v>
      </c>
      <c r="N29" s="86">
        <f>VLOOKUP($A29,'Data shares'!$C:$FA,78)</f>
        <v>267800</v>
      </c>
      <c r="O29" s="87">
        <f>VLOOKUP($A29,'Data shares'!$C:$FA,81)</f>
        <v>4.0800000000000003E-2</v>
      </c>
    </row>
    <row r="30" spans="1:15" x14ac:dyDescent="0.25">
      <c r="A30" s="100" t="str">
        <f>'Data Vlaue (Cr)'!C25</f>
        <v>BAJFINANCE</v>
      </c>
      <c r="B30" s="82">
        <f>VLOOKUP(A30,'Data shares'!$C$2:$CV$216,98,0)</f>
        <v>99669000</v>
      </c>
      <c r="C30" s="82">
        <f>VLOOKUP(A30,'Data shares'!$C$2:$CX$216,100,0)</f>
        <v>-592500</v>
      </c>
      <c r="D30" s="141">
        <f>VLOOKUP(A30,'Data shares'!$C$2:$CY$539,101,0)</f>
        <v>-5.8999999999999999E-3</v>
      </c>
      <c r="E30" s="86">
        <f>VLOOKUP($A30,'Data shares'!$C:$FA,74)</f>
        <v>69825750</v>
      </c>
      <c r="F30" s="86">
        <f>VLOOKUP($A30,'Data shares'!$C:$FA,76)</f>
        <v>-858000</v>
      </c>
      <c r="G30" s="87">
        <f>VLOOKUP(A30,'Data shares'!$C$2:$CA$216,77,0)</f>
        <v>-1.21E-2</v>
      </c>
      <c r="H30" s="86">
        <f>VLOOKUP($A30,'Data shares'!$C:$FA,90)</f>
        <v>16050750</v>
      </c>
      <c r="I30" s="86">
        <f>VLOOKUP($A30,'Data shares'!$C:$FA,92)</f>
        <v>-566250</v>
      </c>
      <c r="J30" s="87">
        <f>VLOOKUP($A30,'Data shares'!$C:$FA,93)</f>
        <v>-3.4099999999999998E-2</v>
      </c>
      <c r="K30" s="86">
        <f>VLOOKUP($A30,'Data shares'!$C:$FA,94)</f>
        <v>13792500</v>
      </c>
      <c r="L30" s="86">
        <f>VLOOKUP($A30,'Data shares'!$C:$FA,96)</f>
        <v>831750</v>
      </c>
      <c r="M30" s="87">
        <f>VLOOKUP($A30,'Data shares'!$C:$FA,97)</f>
        <v>6.4199999999999993E-2</v>
      </c>
      <c r="N30" s="86">
        <f>VLOOKUP($A30,'Data shares'!$C:$FA,78)</f>
        <v>58934250</v>
      </c>
      <c r="O30" s="87">
        <f>VLOOKUP($A30,'Data shares'!$C:$FA,81)</f>
        <v>-1.4999999999999999E-2</v>
      </c>
    </row>
    <row r="31" spans="1:15" x14ac:dyDescent="0.25">
      <c r="A31" s="100" t="str">
        <f>'Data Vlaue (Cr)'!C26</f>
        <v>BANDHANBNK</v>
      </c>
      <c r="B31" s="82">
        <f>VLOOKUP(A31,'Data shares'!$C$2:$CV$216,98,0)</f>
        <v>174394800</v>
      </c>
      <c r="C31" s="82">
        <f>VLOOKUP(A31,'Data shares'!$C$2:$CX$216,100,0)</f>
        <v>-1807200</v>
      </c>
      <c r="D31" s="141">
        <f>VLOOKUP(A31,'Data shares'!$C$2:$CY$539,101,0)</f>
        <v>-1.03E-2</v>
      </c>
      <c r="E31" s="86">
        <f>VLOOKUP($A31,'Data shares'!$C:$FA,74)</f>
        <v>98665200</v>
      </c>
      <c r="F31" s="86">
        <f>VLOOKUP($A31,'Data shares'!$C:$FA,76)</f>
        <v>1681200</v>
      </c>
      <c r="G31" s="87">
        <f>VLOOKUP(A31,'Data shares'!$C$2:$CA$216,77,0)</f>
        <v>1.7299999999999999E-2</v>
      </c>
      <c r="H31" s="86">
        <f>VLOOKUP($A31,'Data shares'!$C:$FA,90)</f>
        <v>43106400</v>
      </c>
      <c r="I31" s="86">
        <f>VLOOKUP($A31,'Data shares'!$C:$FA,92)</f>
        <v>-1911600</v>
      </c>
      <c r="J31" s="87">
        <f>VLOOKUP($A31,'Data shares'!$C:$FA,93)</f>
        <v>-4.2500000000000003E-2</v>
      </c>
      <c r="K31" s="86">
        <f>VLOOKUP($A31,'Data shares'!$C:$FA,94)</f>
        <v>32623200</v>
      </c>
      <c r="L31" s="86">
        <f>VLOOKUP($A31,'Data shares'!$C:$FA,96)</f>
        <v>-1576800</v>
      </c>
      <c r="M31" s="87">
        <f>VLOOKUP($A31,'Data shares'!$C:$FA,97)</f>
        <v>-4.6100000000000002E-2</v>
      </c>
      <c r="N31" s="86">
        <f>VLOOKUP($A31,'Data shares'!$C:$FA,78)</f>
        <v>96228000</v>
      </c>
      <c r="O31" s="87">
        <f>VLOOKUP($A31,'Data shares'!$C:$FA,81)</f>
        <v>1.55E-2</v>
      </c>
    </row>
    <row r="32" spans="1:15" x14ac:dyDescent="0.25">
      <c r="A32" s="100" t="str">
        <f>'Data Vlaue (Cr)'!C27</f>
        <v>BANKBARODA</v>
      </c>
      <c r="B32" s="82">
        <f>VLOOKUP(A32,'Data shares'!$C$2:$CV$216,98,0)</f>
        <v>176330700</v>
      </c>
      <c r="C32" s="82">
        <f>VLOOKUP(A32,'Data shares'!$C$2:$CX$216,100,0)</f>
        <v>1494675</v>
      </c>
      <c r="D32" s="141">
        <f>VLOOKUP(A32,'Data shares'!$C$2:$CY$539,101,0)</f>
        <v>8.5000000000000006E-3</v>
      </c>
      <c r="E32" s="86">
        <f>VLOOKUP($A32,'Data shares'!$C:$FA,74)</f>
        <v>115955775</v>
      </c>
      <c r="F32" s="86">
        <f>VLOOKUP($A32,'Data shares'!$C:$FA,76)</f>
        <v>675675</v>
      </c>
      <c r="G32" s="87">
        <f>VLOOKUP(A32,'Data shares'!$C$2:$CA$216,77,0)</f>
        <v>5.8999999999999999E-3</v>
      </c>
      <c r="H32" s="86">
        <f>VLOOKUP($A32,'Data shares'!$C:$FA,90)</f>
        <v>33684300</v>
      </c>
      <c r="I32" s="86">
        <f>VLOOKUP($A32,'Data shares'!$C:$FA,92)</f>
        <v>175500</v>
      </c>
      <c r="J32" s="87">
        <f>VLOOKUP($A32,'Data shares'!$C:$FA,93)</f>
        <v>5.1999999999999998E-3</v>
      </c>
      <c r="K32" s="86">
        <f>VLOOKUP($A32,'Data shares'!$C:$FA,94)</f>
        <v>26690625</v>
      </c>
      <c r="L32" s="86">
        <f>VLOOKUP($A32,'Data shares'!$C:$FA,96)</f>
        <v>643500</v>
      </c>
      <c r="M32" s="87">
        <f>VLOOKUP($A32,'Data shares'!$C:$FA,97)</f>
        <v>2.47E-2</v>
      </c>
      <c r="N32" s="86">
        <f>VLOOKUP($A32,'Data shares'!$C:$FA,78)</f>
        <v>105516450</v>
      </c>
      <c r="O32" s="87">
        <f>VLOOKUP($A32,'Data shares'!$C:$FA,81)</f>
        <v>1.6000000000000001E-3</v>
      </c>
    </row>
    <row r="33" spans="1:15" x14ac:dyDescent="0.25">
      <c r="A33" s="100" t="str">
        <f>'Data Vlaue (Cr)'!C28</f>
        <v>BANKINDIA</v>
      </c>
      <c r="B33" s="82">
        <f>VLOOKUP(A33,'Data shares'!$C$2:$CV$216,98,0)</f>
        <v>96049200</v>
      </c>
      <c r="C33" s="82">
        <f>VLOOKUP(A33,'Data shares'!$C$2:$CX$216,100,0)</f>
        <v>5512000</v>
      </c>
      <c r="D33" s="141">
        <f>VLOOKUP(A33,'Data shares'!$C$2:$CY$539,101,0)</f>
        <v>6.0900000000000003E-2</v>
      </c>
      <c r="E33" s="86">
        <f>VLOOKUP($A33,'Data shares'!$C:$FA,74)</f>
        <v>60169200</v>
      </c>
      <c r="F33" s="86">
        <f>VLOOKUP($A33,'Data shares'!$C:$FA,76)</f>
        <v>3473600</v>
      </c>
      <c r="G33" s="87">
        <f>VLOOKUP(A33,'Data shares'!$C$2:$CA$216,77,0)</f>
        <v>6.13E-2</v>
      </c>
      <c r="H33" s="86">
        <f>VLOOKUP($A33,'Data shares'!$C:$FA,90)</f>
        <v>21008000</v>
      </c>
      <c r="I33" s="86">
        <f>VLOOKUP($A33,'Data shares'!$C:$FA,92)</f>
        <v>2007200</v>
      </c>
      <c r="J33" s="87">
        <f>VLOOKUP($A33,'Data shares'!$C:$FA,93)</f>
        <v>0.1056</v>
      </c>
      <c r="K33" s="86">
        <f>VLOOKUP($A33,'Data shares'!$C:$FA,94)</f>
        <v>14872000</v>
      </c>
      <c r="L33" s="86">
        <f>VLOOKUP($A33,'Data shares'!$C:$FA,96)</f>
        <v>31200</v>
      </c>
      <c r="M33" s="87">
        <f>VLOOKUP($A33,'Data shares'!$C:$FA,97)</f>
        <v>2.0999999999999999E-3</v>
      </c>
      <c r="N33" s="86">
        <f>VLOOKUP($A33,'Data shares'!$C:$FA,78)</f>
        <v>58032000</v>
      </c>
      <c r="O33" s="87">
        <f>VLOOKUP($A33,'Data shares'!$C:$FA,81)</f>
        <v>6.0699999999999997E-2</v>
      </c>
    </row>
    <row r="34" spans="1:15" x14ac:dyDescent="0.25">
      <c r="A34" s="100" t="str">
        <f>'Data Vlaue (Cr)'!C29</f>
        <v>BANKNIFTY</v>
      </c>
      <c r="B34" s="82">
        <f>VLOOKUP(A34,'Data shares'!$C$2:$CV$216,98,0)</f>
        <v>29357460</v>
      </c>
      <c r="C34" s="82">
        <f>VLOOKUP(A34,'Data shares'!$C$2:$CX$216,100,0)</f>
        <v>211440</v>
      </c>
      <c r="D34" s="141">
        <f>VLOOKUP(A34,'Data shares'!$C$2:$CY$539,101,0)</f>
        <v>7.3000000000000001E-3</v>
      </c>
      <c r="E34" s="86">
        <f>VLOOKUP($A34,'Data shares'!$C:$FA,74)</f>
        <v>2478420</v>
      </c>
      <c r="F34" s="86">
        <f>VLOOKUP($A34,'Data shares'!$C:$FA,76)</f>
        <v>19110</v>
      </c>
      <c r="G34" s="87">
        <f>VLOOKUP(A34,'Data shares'!$C$2:$CA$216,77,0)</f>
        <v>7.7999999999999996E-3</v>
      </c>
      <c r="H34" s="86">
        <f>VLOOKUP($A34,'Data shares'!$C:$FA,90)</f>
        <v>13784910</v>
      </c>
      <c r="I34" s="86">
        <f>VLOOKUP($A34,'Data shares'!$C:$FA,92)</f>
        <v>-654150</v>
      </c>
      <c r="J34" s="87">
        <f>VLOOKUP($A34,'Data shares'!$C:$FA,93)</f>
        <v>-4.53E-2</v>
      </c>
      <c r="K34" s="86">
        <f>VLOOKUP($A34,'Data shares'!$C:$FA,94)</f>
        <v>13094130</v>
      </c>
      <c r="L34" s="86">
        <f>VLOOKUP($A34,'Data shares'!$C:$FA,96)</f>
        <v>846480</v>
      </c>
      <c r="M34" s="87">
        <f>VLOOKUP($A34,'Data shares'!$C:$FA,97)</f>
        <v>6.9099999999999995E-2</v>
      </c>
      <c r="N34" s="86">
        <f>VLOOKUP($A34,'Data shares'!$C:$FA,78)</f>
        <v>2177550</v>
      </c>
      <c r="O34" s="87">
        <f>VLOOKUP($A34,'Data shares'!$C:$FA,81)</f>
        <v>-5.5999999999999999E-3</v>
      </c>
    </row>
    <row r="35" spans="1:15" x14ac:dyDescent="0.25">
      <c r="A35" s="100" t="str">
        <f>'Data Vlaue (Cr)'!C30</f>
        <v>BDL</v>
      </c>
      <c r="B35" s="82">
        <f>VLOOKUP(A35,'Data shares'!$C$2:$CV$216,98,0)</f>
        <v>7265650</v>
      </c>
      <c r="C35" s="82">
        <f>VLOOKUP(A35,'Data shares'!$C$2:$CX$216,100,0)</f>
        <v>540550</v>
      </c>
      <c r="D35" s="141">
        <f>VLOOKUP(A35,'Data shares'!$C$2:$CY$539,101,0)</f>
        <v>8.0399999999999999E-2</v>
      </c>
      <c r="E35" s="86">
        <f>VLOOKUP($A35,'Data shares'!$C:$FA,74)</f>
        <v>3488800</v>
      </c>
      <c r="F35" s="86">
        <f>VLOOKUP($A35,'Data shares'!$C:$FA,76)</f>
        <v>99200</v>
      </c>
      <c r="G35" s="87">
        <f>VLOOKUP(A35,'Data shares'!$C$2:$CA$216,77,0)</f>
        <v>2.93E-2</v>
      </c>
      <c r="H35" s="86">
        <f>VLOOKUP($A35,'Data shares'!$C:$FA,90)</f>
        <v>2464700</v>
      </c>
      <c r="I35" s="86">
        <f>VLOOKUP($A35,'Data shares'!$C:$FA,92)</f>
        <v>366450</v>
      </c>
      <c r="J35" s="87">
        <f>VLOOKUP($A35,'Data shares'!$C:$FA,93)</f>
        <v>0.17460000000000001</v>
      </c>
      <c r="K35" s="86">
        <f>VLOOKUP($A35,'Data shares'!$C:$FA,94)</f>
        <v>1312150</v>
      </c>
      <c r="L35" s="86">
        <f>VLOOKUP($A35,'Data shares'!$C:$FA,96)</f>
        <v>74900</v>
      </c>
      <c r="M35" s="87">
        <f>VLOOKUP($A35,'Data shares'!$C:$FA,97)</f>
        <v>6.0499999999999998E-2</v>
      </c>
      <c r="N35" s="86">
        <f>VLOOKUP($A35,'Data shares'!$C:$FA,78)</f>
        <v>3191300</v>
      </c>
      <c r="O35" s="87">
        <f>VLOOKUP($A35,'Data shares'!$C:$FA,81)</f>
        <v>1.84E-2</v>
      </c>
    </row>
    <row r="36" spans="1:15" x14ac:dyDescent="0.25">
      <c r="A36" s="100" t="str">
        <f>'Data Vlaue (Cr)'!C31</f>
        <v>BEL</v>
      </c>
      <c r="B36" s="82">
        <f>VLOOKUP(A36,'Data shares'!$C$2:$CV$216,98,0)</f>
        <v>186898725</v>
      </c>
      <c r="C36" s="82">
        <f>VLOOKUP(A36,'Data shares'!$C$2:$CX$216,100,0)</f>
        <v>3682200</v>
      </c>
      <c r="D36" s="141">
        <f>VLOOKUP(A36,'Data shares'!$C$2:$CY$539,101,0)</f>
        <v>2.01E-2</v>
      </c>
      <c r="E36" s="86">
        <f>VLOOKUP($A36,'Data shares'!$C:$FA,74)</f>
        <v>117479850</v>
      </c>
      <c r="F36" s="86">
        <f>VLOOKUP($A36,'Data shares'!$C:$FA,76)</f>
        <v>384750</v>
      </c>
      <c r="G36" s="87">
        <f>VLOOKUP(A36,'Data shares'!$C$2:$CA$216,77,0)</f>
        <v>3.3E-3</v>
      </c>
      <c r="H36" s="86">
        <f>VLOOKUP($A36,'Data shares'!$C:$FA,90)</f>
        <v>44065275</v>
      </c>
      <c r="I36" s="86">
        <f>VLOOKUP($A36,'Data shares'!$C:$FA,92)</f>
        <v>3421425</v>
      </c>
      <c r="J36" s="87">
        <f>VLOOKUP($A36,'Data shares'!$C:$FA,93)</f>
        <v>8.4199999999999997E-2</v>
      </c>
      <c r="K36" s="86">
        <f>VLOOKUP($A36,'Data shares'!$C:$FA,94)</f>
        <v>25353600</v>
      </c>
      <c r="L36" s="86">
        <f>VLOOKUP($A36,'Data shares'!$C:$FA,96)</f>
        <v>-123975</v>
      </c>
      <c r="M36" s="87">
        <f>VLOOKUP($A36,'Data shares'!$C:$FA,97)</f>
        <v>-4.8999999999999998E-3</v>
      </c>
      <c r="N36" s="86">
        <f>VLOOKUP($A36,'Data shares'!$C:$FA,78)</f>
        <v>102434700</v>
      </c>
      <c r="O36" s="87">
        <f>VLOOKUP($A36,'Data shares'!$C:$FA,81)</f>
        <v>6.9999999999999999E-4</v>
      </c>
    </row>
    <row r="37" spans="1:15" x14ac:dyDescent="0.25">
      <c r="A37" s="100" t="str">
        <f>'Data Vlaue (Cr)'!C32</f>
        <v>BHARATFORG</v>
      </c>
      <c r="B37" s="82">
        <f>VLOOKUP(A37,'Data shares'!$C$2:$CV$216,98,0)</f>
        <v>12563000</v>
      </c>
      <c r="C37" s="82">
        <f>VLOOKUP(A37,'Data shares'!$C$2:$CX$216,100,0)</f>
        <v>868500</v>
      </c>
      <c r="D37" s="141">
        <f>VLOOKUP(A37,'Data shares'!$C$2:$CY$539,101,0)</f>
        <v>7.4300000000000005E-2</v>
      </c>
      <c r="E37" s="86">
        <f>VLOOKUP($A37,'Data shares'!$C:$FA,74)</f>
        <v>7615500</v>
      </c>
      <c r="F37" s="86">
        <f>VLOOKUP($A37,'Data shares'!$C:$FA,76)</f>
        <v>141500</v>
      </c>
      <c r="G37" s="87">
        <f>VLOOKUP(A37,'Data shares'!$C$2:$CA$216,77,0)</f>
        <v>1.89E-2</v>
      </c>
      <c r="H37" s="86">
        <f>VLOOKUP($A37,'Data shares'!$C:$FA,90)</f>
        <v>3197000</v>
      </c>
      <c r="I37" s="86">
        <f>VLOOKUP($A37,'Data shares'!$C:$FA,92)</f>
        <v>555500</v>
      </c>
      <c r="J37" s="87">
        <f>VLOOKUP($A37,'Data shares'!$C:$FA,93)</f>
        <v>0.21029999999999999</v>
      </c>
      <c r="K37" s="86">
        <f>VLOOKUP($A37,'Data shares'!$C:$FA,94)</f>
        <v>1750500</v>
      </c>
      <c r="L37" s="86">
        <f>VLOOKUP($A37,'Data shares'!$C:$FA,96)</f>
        <v>171500</v>
      </c>
      <c r="M37" s="87">
        <f>VLOOKUP($A37,'Data shares'!$C:$FA,97)</f>
        <v>0.1086</v>
      </c>
      <c r="N37" s="86">
        <f>VLOOKUP($A37,'Data shares'!$C:$FA,78)</f>
        <v>7504000</v>
      </c>
      <c r="O37" s="87">
        <f>VLOOKUP($A37,'Data shares'!$C:$FA,81)</f>
        <v>1.5800000000000002E-2</v>
      </c>
    </row>
    <row r="38" spans="1:15" x14ac:dyDescent="0.25">
      <c r="A38" s="100" t="str">
        <f>'Data Vlaue (Cr)'!C33</f>
        <v>BHARTIARTL</v>
      </c>
      <c r="B38" s="82">
        <f>VLOOKUP(A38,'Data shares'!$C$2:$CV$216,98,0)</f>
        <v>81774100</v>
      </c>
      <c r="C38" s="82">
        <f>VLOOKUP(A38,'Data shares'!$C$2:$CX$216,100,0)</f>
        <v>256025</v>
      </c>
      <c r="D38" s="141">
        <f>VLOOKUP(A38,'Data shares'!$C$2:$CY$539,101,0)</f>
        <v>3.0999999999999999E-3</v>
      </c>
      <c r="E38" s="86">
        <f>VLOOKUP($A38,'Data shares'!$C:$FA,74)</f>
        <v>62050200</v>
      </c>
      <c r="F38" s="86">
        <f>VLOOKUP($A38,'Data shares'!$C:$FA,76)</f>
        <v>517275</v>
      </c>
      <c r="G38" s="87">
        <f>VLOOKUP(A38,'Data shares'!$C$2:$CA$216,77,0)</f>
        <v>8.3999999999999995E-3</v>
      </c>
      <c r="H38" s="86">
        <f>VLOOKUP($A38,'Data shares'!$C:$FA,90)</f>
        <v>12585600</v>
      </c>
      <c r="I38" s="86">
        <f>VLOOKUP($A38,'Data shares'!$C:$FA,92)</f>
        <v>-246050</v>
      </c>
      <c r="J38" s="87">
        <f>VLOOKUP($A38,'Data shares'!$C:$FA,93)</f>
        <v>-1.9199999999999998E-2</v>
      </c>
      <c r="K38" s="86">
        <f>VLOOKUP($A38,'Data shares'!$C:$FA,94)</f>
        <v>7138300</v>
      </c>
      <c r="L38" s="86">
        <f>VLOOKUP($A38,'Data shares'!$C:$FA,96)</f>
        <v>-15200</v>
      </c>
      <c r="M38" s="87">
        <f>VLOOKUP($A38,'Data shares'!$C:$FA,97)</f>
        <v>-2.0999999999999999E-3</v>
      </c>
      <c r="N38" s="86">
        <f>VLOOKUP($A38,'Data shares'!$C:$FA,78)</f>
        <v>51301425</v>
      </c>
      <c r="O38" s="87">
        <f>VLOOKUP($A38,'Data shares'!$C:$FA,81)</f>
        <v>6.7000000000000002E-3</v>
      </c>
    </row>
    <row r="39" spans="1:15" x14ac:dyDescent="0.25">
      <c r="A39" s="100" t="str">
        <f>'Data Vlaue (Cr)'!C34</f>
        <v>BHEL</v>
      </c>
      <c r="B39" s="82">
        <f>VLOOKUP(A39,'Data shares'!$C$2:$CV$216,98,0)</f>
        <v>233331000</v>
      </c>
      <c r="C39" s="82">
        <f>VLOOKUP(A39,'Data shares'!$C$2:$CX$216,100,0)</f>
        <v>2572500</v>
      </c>
      <c r="D39" s="141">
        <f>VLOOKUP(A39,'Data shares'!$C$2:$CY$539,101,0)</f>
        <v>1.11E-2</v>
      </c>
      <c r="E39" s="86">
        <f>VLOOKUP($A39,'Data shares'!$C:$FA,74)</f>
        <v>134796375</v>
      </c>
      <c r="F39" s="86">
        <f>VLOOKUP($A39,'Data shares'!$C:$FA,76)</f>
        <v>44625</v>
      </c>
      <c r="G39" s="87">
        <f>VLOOKUP(A39,'Data shares'!$C$2:$CA$216,77,0)</f>
        <v>2.9999999999999997E-4</v>
      </c>
      <c r="H39" s="86">
        <f>VLOOKUP($A39,'Data shares'!$C:$FA,90)</f>
        <v>51725625</v>
      </c>
      <c r="I39" s="86">
        <f>VLOOKUP($A39,'Data shares'!$C:$FA,92)</f>
        <v>-3010875</v>
      </c>
      <c r="J39" s="87">
        <f>VLOOKUP($A39,'Data shares'!$C:$FA,93)</f>
        <v>-5.5E-2</v>
      </c>
      <c r="K39" s="86">
        <f>VLOOKUP($A39,'Data shares'!$C:$FA,94)</f>
        <v>46809000</v>
      </c>
      <c r="L39" s="86">
        <f>VLOOKUP($A39,'Data shares'!$C:$FA,96)</f>
        <v>5538750</v>
      </c>
      <c r="M39" s="87">
        <f>VLOOKUP($A39,'Data shares'!$C:$FA,97)</f>
        <v>0.13420000000000001</v>
      </c>
      <c r="N39" s="86">
        <f>VLOOKUP($A39,'Data shares'!$C:$FA,78)</f>
        <v>130289250</v>
      </c>
      <c r="O39" s="87">
        <f>VLOOKUP($A39,'Data shares'!$C:$FA,81)</f>
        <v>4.0000000000000002E-4</v>
      </c>
    </row>
    <row r="40" spans="1:15" x14ac:dyDescent="0.25">
      <c r="A40" s="100" t="str">
        <f>'Data Vlaue (Cr)'!C35</f>
        <v>BIOCON</v>
      </c>
      <c r="B40" s="82">
        <f>VLOOKUP(A40,'Data shares'!$C$2:$CV$216,98,0)</f>
        <v>58927500</v>
      </c>
      <c r="C40" s="82">
        <f>VLOOKUP(A40,'Data shares'!$C$2:$CX$216,100,0)</f>
        <v>-6290000</v>
      </c>
      <c r="D40" s="141">
        <f>VLOOKUP(A40,'Data shares'!$C$2:$CY$539,101,0)</f>
        <v>-9.64E-2</v>
      </c>
      <c r="E40" s="86">
        <f>VLOOKUP($A40,'Data shares'!$C:$FA,74)</f>
        <v>30665000</v>
      </c>
      <c r="F40" s="86">
        <f>VLOOKUP($A40,'Data shares'!$C:$FA,76)</f>
        <v>-1002500</v>
      </c>
      <c r="G40" s="87">
        <f>VLOOKUP(A40,'Data shares'!$C$2:$CA$216,77,0)</f>
        <v>-3.1699999999999999E-2</v>
      </c>
      <c r="H40" s="86">
        <f>VLOOKUP($A40,'Data shares'!$C:$FA,90)</f>
        <v>16950000</v>
      </c>
      <c r="I40" s="86">
        <f>VLOOKUP($A40,'Data shares'!$C:$FA,92)</f>
        <v>-5445000</v>
      </c>
      <c r="J40" s="87">
        <f>VLOOKUP($A40,'Data shares'!$C:$FA,93)</f>
        <v>-0.24310000000000001</v>
      </c>
      <c r="K40" s="86">
        <f>VLOOKUP($A40,'Data shares'!$C:$FA,94)</f>
        <v>11312500</v>
      </c>
      <c r="L40" s="86">
        <f>VLOOKUP($A40,'Data shares'!$C:$FA,96)</f>
        <v>157500</v>
      </c>
      <c r="M40" s="87">
        <f>VLOOKUP($A40,'Data shares'!$C:$FA,97)</f>
        <v>1.41E-2</v>
      </c>
      <c r="N40" s="86">
        <f>VLOOKUP($A40,'Data shares'!$C:$FA,78)</f>
        <v>29910000</v>
      </c>
      <c r="O40" s="87">
        <f>VLOOKUP($A40,'Data shares'!$C:$FA,81)</f>
        <v>-3.2199999999999999E-2</v>
      </c>
    </row>
    <row r="41" spans="1:15" x14ac:dyDescent="0.25">
      <c r="A41" s="100" t="str">
        <f>'Data Vlaue (Cr)'!C36</f>
        <v>BLUESTARCO</v>
      </c>
      <c r="B41" s="82">
        <f>VLOOKUP(A41,'Data shares'!$C$2:$CV$216,98,0)</f>
        <v>5529225</v>
      </c>
      <c r="C41" s="82">
        <f>VLOOKUP(A41,'Data shares'!$C$2:$CX$216,100,0)</f>
        <v>911625</v>
      </c>
      <c r="D41" s="141">
        <f>VLOOKUP(A41,'Data shares'!$C$2:$CY$539,101,0)</f>
        <v>0.19739999999999999</v>
      </c>
      <c r="E41" s="86">
        <f>VLOOKUP($A41,'Data shares'!$C:$FA,74)</f>
        <v>3003975</v>
      </c>
      <c r="F41" s="86">
        <f>VLOOKUP($A41,'Data shares'!$C:$FA,76)</f>
        <v>207675</v>
      </c>
      <c r="G41" s="87">
        <f>VLOOKUP(A41,'Data shares'!$C$2:$CA$216,77,0)</f>
        <v>7.4300000000000005E-2</v>
      </c>
      <c r="H41" s="86">
        <f>VLOOKUP($A41,'Data shares'!$C:$FA,90)</f>
        <v>1571375</v>
      </c>
      <c r="I41" s="86">
        <f>VLOOKUP($A41,'Data shares'!$C:$FA,92)</f>
        <v>459875</v>
      </c>
      <c r="J41" s="87">
        <f>VLOOKUP($A41,'Data shares'!$C:$FA,93)</f>
        <v>0.41370000000000001</v>
      </c>
      <c r="K41" s="86">
        <f>VLOOKUP($A41,'Data shares'!$C:$FA,94)</f>
        <v>953875</v>
      </c>
      <c r="L41" s="86">
        <f>VLOOKUP($A41,'Data shares'!$C:$FA,96)</f>
        <v>244075</v>
      </c>
      <c r="M41" s="87">
        <f>VLOOKUP($A41,'Data shares'!$C:$FA,97)</f>
        <v>0.34389999999999998</v>
      </c>
      <c r="N41" s="86">
        <f>VLOOKUP($A41,'Data shares'!$C:$FA,78)</f>
        <v>2791750</v>
      </c>
      <c r="O41" s="87">
        <f>VLOOKUP($A41,'Data shares'!$C:$FA,81)</f>
        <v>2.5499999999999998E-2</v>
      </c>
    </row>
    <row r="42" spans="1:15" x14ac:dyDescent="0.25">
      <c r="A42" s="100" t="str">
        <f>'Data Vlaue (Cr)'!C37</f>
        <v>BOSCHLTD</v>
      </c>
      <c r="B42" s="82">
        <f>VLOOKUP(A42,'Data shares'!$C$2:$CV$216,98,0)</f>
        <v>347450</v>
      </c>
      <c r="C42" s="82">
        <f>VLOOKUP(A42,'Data shares'!$C$2:$CX$216,100,0)</f>
        <v>10125</v>
      </c>
      <c r="D42" s="141">
        <f>VLOOKUP(A42,'Data shares'!$C$2:$CY$539,101,0)</f>
        <v>0.03</v>
      </c>
      <c r="E42" s="86">
        <f>VLOOKUP($A42,'Data shares'!$C:$FA,74)</f>
        <v>253475</v>
      </c>
      <c r="F42" s="86">
        <f>VLOOKUP($A42,'Data shares'!$C:$FA,76)</f>
        <v>3175</v>
      </c>
      <c r="G42" s="87">
        <f>VLOOKUP(A42,'Data shares'!$C$2:$CA$216,77,0)</f>
        <v>1.2699999999999999E-2</v>
      </c>
      <c r="H42" s="86">
        <f>VLOOKUP($A42,'Data shares'!$C:$FA,90)</f>
        <v>54775</v>
      </c>
      <c r="I42" s="86">
        <f>VLOOKUP($A42,'Data shares'!$C:$FA,92)</f>
        <v>6225</v>
      </c>
      <c r="J42" s="87">
        <f>VLOOKUP($A42,'Data shares'!$C:$FA,93)</f>
        <v>0.12820000000000001</v>
      </c>
      <c r="K42" s="86">
        <f>VLOOKUP($A42,'Data shares'!$C:$FA,94)</f>
        <v>39200</v>
      </c>
      <c r="L42" s="86">
        <f>VLOOKUP($A42,'Data shares'!$C:$FA,96)</f>
        <v>725</v>
      </c>
      <c r="M42" s="87">
        <f>VLOOKUP($A42,'Data shares'!$C:$FA,97)</f>
        <v>1.8800000000000001E-2</v>
      </c>
      <c r="N42" s="86">
        <f>VLOOKUP($A42,'Data shares'!$C:$FA,78)</f>
        <v>250275</v>
      </c>
      <c r="O42" s="87">
        <f>VLOOKUP($A42,'Data shares'!$C:$FA,81)</f>
        <v>1.21E-2</v>
      </c>
    </row>
    <row r="43" spans="1:15" x14ac:dyDescent="0.25">
      <c r="A43" s="100" t="str">
        <f>'Data Vlaue (Cr)'!C38</f>
        <v>BPCL</v>
      </c>
      <c r="B43" s="82">
        <f>VLOOKUP(A43,'Data shares'!$C$2:$CV$216,98,0)</f>
        <v>94900725</v>
      </c>
      <c r="C43" s="82">
        <f>VLOOKUP(A43,'Data shares'!$C$2:$CX$216,100,0)</f>
        <v>2409500</v>
      </c>
      <c r="D43" s="141">
        <f>VLOOKUP(A43,'Data shares'!$C$2:$CY$539,101,0)</f>
        <v>2.6100000000000002E-2</v>
      </c>
      <c r="E43" s="86">
        <f>VLOOKUP($A43,'Data shares'!$C:$FA,74)</f>
        <v>56380325</v>
      </c>
      <c r="F43" s="86">
        <f>VLOOKUP($A43,'Data shares'!$C:$FA,76)</f>
        <v>-102700</v>
      </c>
      <c r="G43" s="87">
        <f>VLOOKUP(A43,'Data shares'!$C$2:$CA$216,77,0)</f>
        <v>-1.8E-3</v>
      </c>
      <c r="H43" s="86">
        <f>VLOOKUP($A43,'Data shares'!$C:$FA,90)</f>
        <v>23050225</v>
      </c>
      <c r="I43" s="86">
        <f>VLOOKUP($A43,'Data shares'!$C:$FA,92)</f>
        <v>1502975</v>
      </c>
      <c r="J43" s="87">
        <f>VLOOKUP($A43,'Data shares'!$C:$FA,93)</f>
        <v>6.9800000000000001E-2</v>
      </c>
      <c r="K43" s="86">
        <f>VLOOKUP($A43,'Data shares'!$C:$FA,94)</f>
        <v>15470175</v>
      </c>
      <c r="L43" s="86">
        <f>VLOOKUP($A43,'Data shares'!$C:$FA,96)</f>
        <v>1009225</v>
      </c>
      <c r="M43" s="87">
        <f>VLOOKUP($A43,'Data shares'!$C:$FA,97)</f>
        <v>6.9800000000000001E-2</v>
      </c>
      <c r="N43" s="86">
        <f>VLOOKUP($A43,'Data shares'!$C:$FA,78)</f>
        <v>51308525</v>
      </c>
      <c r="O43" s="87">
        <f>VLOOKUP($A43,'Data shares'!$C:$FA,81)</f>
        <v>-1.5E-3</v>
      </c>
    </row>
    <row r="44" spans="1:15" x14ac:dyDescent="0.25">
      <c r="A44" s="100" t="str">
        <f>'Data Vlaue (Cr)'!C39</f>
        <v>BRITANNIA</v>
      </c>
      <c r="B44" s="82">
        <f>VLOOKUP(A44,'Data shares'!$C$2:$CV$216,98,0)</f>
        <v>4236375</v>
      </c>
      <c r="C44" s="82">
        <f>VLOOKUP(A44,'Data shares'!$C$2:$CX$216,100,0)</f>
        <v>214500</v>
      </c>
      <c r="D44" s="141">
        <f>VLOOKUP(A44,'Data shares'!$C$2:$CY$539,101,0)</f>
        <v>5.33E-2</v>
      </c>
      <c r="E44" s="86">
        <f>VLOOKUP($A44,'Data shares'!$C:$FA,74)</f>
        <v>2713375</v>
      </c>
      <c r="F44" s="86">
        <f>VLOOKUP($A44,'Data shares'!$C:$FA,76)</f>
        <v>-25750</v>
      </c>
      <c r="G44" s="87">
        <f>VLOOKUP(A44,'Data shares'!$C$2:$CA$216,77,0)</f>
        <v>-9.4000000000000004E-3</v>
      </c>
      <c r="H44" s="86">
        <f>VLOOKUP($A44,'Data shares'!$C:$FA,90)</f>
        <v>855875</v>
      </c>
      <c r="I44" s="86">
        <f>VLOOKUP($A44,'Data shares'!$C:$FA,92)</f>
        <v>73125</v>
      </c>
      <c r="J44" s="87">
        <f>VLOOKUP($A44,'Data shares'!$C:$FA,93)</f>
        <v>9.3399999999999997E-2</v>
      </c>
      <c r="K44" s="86">
        <f>VLOOKUP($A44,'Data shares'!$C:$FA,94)</f>
        <v>667125</v>
      </c>
      <c r="L44" s="86">
        <f>VLOOKUP($A44,'Data shares'!$C:$FA,96)</f>
        <v>167125</v>
      </c>
      <c r="M44" s="87">
        <f>VLOOKUP($A44,'Data shares'!$C:$FA,97)</f>
        <v>0.3342</v>
      </c>
      <c r="N44" s="86">
        <f>VLOOKUP($A44,'Data shares'!$C:$FA,78)</f>
        <v>2366875</v>
      </c>
      <c r="O44" s="87">
        <f>VLOOKUP($A44,'Data shares'!$C:$FA,81)</f>
        <v>-1.46E-2</v>
      </c>
    </row>
    <row r="45" spans="1:15" x14ac:dyDescent="0.25">
      <c r="A45" s="100" t="str">
        <f>'Data Vlaue (Cr)'!C40</f>
        <v>BSE</v>
      </c>
      <c r="B45" s="82">
        <f>VLOOKUP(A45,'Data shares'!$C$2:$CV$216,98,0)</f>
        <v>18932525</v>
      </c>
      <c r="C45" s="82">
        <f>VLOOKUP(A45,'Data shares'!$C$2:$CX$216,100,0)</f>
        <v>1649225</v>
      </c>
      <c r="D45" s="141">
        <f>VLOOKUP(A45,'Data shares'!$C$2:$CY$539,101,0)</f>
        <v>9.5399999999999999E-2</v>
      </c>
      <c r="E45" s="86">
        <f>VLOOKUP($A45,'Data shares'!$C:$FA,74)</f>
        <v>7939950</v>
      </c>
      <c r="F45" s="86">
        <f>VLOOKUP($A45,'Data shares'!$C:$FA,76)</f>
        <v>123900</v>
      </c>
      <c r="G45" s="87">
        <f>VLOOKUP(A45,'Data shares'!$C$2:$CA$216,77,0)</f>
        <v>1.5900000000000001E-2</v>
      </c>
      <c r="H45" s="86">
        <f>VLOOKUP($A45,'Data shares'!$C:$FA,90)</f>
        <v>5690825</v>
      </c>
      <c r="I45" s="86">
        <f>VLOOKUP($A45,'Data shares'!$C:$FA,92)</f>
        <v>572075</v>
      </c>
      <c r="J45" s="87">
        <f>VLOOKUP($A45,'Data shares'!$C:$FA,93)</f>
        <v>0.1118</v>
      </c>
      <c r="K45" s="86">
        <f>VLOOKUP($A45,'Data shares'!$C:$FA,94)</f>
        <v>5301750</v>
      </c>
      <c r="L45" s="86">
        <f>VLOOKUP($A45,'Data shares'!$C:$FA,96)</f>
        <v>953250</v>
      </c>
      <c r="M45" s="87">
        <f>VLOOKUP($A45,'Data shares'!$C:$FA,97)</f>
        <v>0.21920000000000001</v>
      </c>
      <c r="N45" s="86">
        <f>VLOOKUP($A45,'Data shares'!$C:$FA,78)</f>
        <v>7269750</v>
      </c>
      <c r="O45" s="87">
        <f>VLOOKUP($A45,'Data shares'!$C:$FA,81)</f>
        <v>1.3599999999999999E-2</v>
      </c>
    </row>
    <row r="46" spans="1:15" x14ac:dyDescent="0.25">
      <c r="A46" s="100" t="str">
        <f>'Data Vlaue (Cr)'!C41</f>
        <v>CAMS</v>
      </c>
      <c r="B46" s="82">
        <f>VLOOKUP(A46,'Data shares'!$C$2:$CV$216,98,0)</f>
        <v>15984075</v>
      </c>
      <c r="C46" s="82">
        <f>VLOOKUP(A46,'Data shares'!$C$2:$CX$216,100,0)</f>
        <v>-64650</v>
      </c>
      <c r="D46" s="141">
        <f>VLOOKUP(A46,'Data shares'!$C$2:$CY$539,101,0)</f>
        <v>-4.0000000000000001E-3</v>
      </c>
      <c r="E46" s="86">
        <f>VLOOKUP($A46,'Data shares'!$C:$FA,74)</f>
        <v>7374825</v>
      </c>
      <c r="F46" s="86">
        <f>VLOOKUP($A46,'Data shares'!$C:$FA,76)</f>
        <v>193350</v>
      </c>
      <c r="G46" s="87">
        <f>VLOOKUP(A46,'Data shares'!$C$2:$CA$216,77,0)</f>
        <v>2.69E-2</v>
      </c>
      <c r="H46" s="86">
        <f>VLOOKUP($A46,'Data shares'!$C:$FA,90)</f>
        <v>4407000</v>
      </c>
      <c r="I46" s="86">
        <f>VLOOKUP($A46,'Data shares'!$C:$FA,92)</f>
        <v>51750</v>
      </c>
      <c r="J46" s="87">
        <f>VLOOKUP($A46,'Data shares'!$C:$FA,93)</f>
        <v>1.1900000000000001E-2</v>
      </c>
      <c r="K46" s="86">
        <f>VLOOKUP($A46,'Data shares'!$C:$FA,94)</f>
        <v>4202250</v>
      </c>
      <c r="L46" s="86">
        <f>VLOOKUP($A46,'Data shares'!$C:$FA,96)</f>
        <v>-309750</v>
      </c>
      <c r="M46" s="87">
        <f>VLOOKUP($A46,'Data shares'!$C:$FA,97)</f>
        <v>-6.8699999999999997E-2</v>
      </c>
      <c r="N46" s="86">
        <f>VLOOKUP($A46,'Data shares'!$C:$FA,78)</f>
        <v>6879750</v>
      </c>
      <c r="O46" s="87">
        <f>VLOOKUP($A46,'Data shares'!$C:$FA,81)</f>
        <v>2.3E-2</v>
      </c>
    </row>
    <row r="47" spans="1:15" x14ac:dyDescent="0.25">
      <c r="A47" s="100" t="str">
        <f>'Data Vlaue (Cr)'!C42</f>
        <v>CANBK</v>
      </c>
      <c r="B47" s="82">
        <f>VLOOKUP(A47,'Data shares'!$C$2:$CV$216,98,0)</f>
        <v>359336250</v>
      </c>
      <c r="C47" s="82">
        <f>VLOOKUP(A47,'Data shares'!$C$2:$CX$216,100,0)</f>
        <v>5865750</v>
      </c>
      <c r="D47" s="141">
        <f>VLOOKUP(A47,'Data shares'!$C$2:$CY$539,101,0)</f>
        <v>1.66E-2</v>
      </c>
      <c r="E47" s="86">
        <f>VLOOKUP($A47,'Data shares'!$C:$FA,74)</f>
        <v>222763500</v>
      </c>
      <c r="F47" s="86">
        <f>VLOOKUP($A47,'Data shares'!$C:$FA,76)</f>
        <v>965250</v>
      </c>
      <c r="G47" s="87">
        <f>VLOOKUP(A47,'Data shares'!$C$2:$CA$216,77,0)</f>
        <v>4.4000000000000003E-3</v>
      </c>
      <c r="H47" s="86">
        <f>VLOOKUP($A47,'Data shares'!$C:$FA,90)</f>
        <v>70004250</v>
      </c>
      <c r="I47" s="86">
        <f>VLOOKUP($A47,'Data shares'!$C:$FA,92)</f>
        <v>2187000</v>
      </c>
      <c r="J47" s="87">
        <f>VLOOKUP($A47,'Data shares'!$C:$FA,93)</f>
        <v>3.2199999999999999E-2</v>
      </c>
      <c r="K47" s="86">
        <f>VLOOKUP($A47,'Data shares'!$C:$FA,94)</f>
        <v>66568500</v>
      </c>
      <c r="L47" s="86">
        <f>VLOOKUP($A47,'Data shares'!$C:$FA,96)</f>
        <v>2713500</v>
      </c>
      <c r="M47" s="87">
        <f>VLOOKUP($A47,'Data shares'!$C:$FA,97)</f>
        <v>4.2500000000000003E-2</v>
      </c>
      <c r="N47" s="86">
        <f>VLOOKUP($A47,'Data shares'!$C:$FA,78)</f>
        <v>197970750</v>
      </c>
      <c r="O47" s="87">
        <f>VLOOKUP($A47,'Data shares'!$C:$FA,81)</f>
        <v>-1.9E-3</v>
      </c>
    </row>
    <row r="48" spans="1:15" x14ac:dyDescent="0.25">
      <c r="A48" s="100" t="str">
        <f>'Data Vlaue (Cr)'!C43</f>
        <v>CDSL</v>
      </c>
      <c r="B48" s="82">
        <f>VLOOKUP(A48,'Data shares'!$C$2:$CV$216,98,0)</f>
        <v>23894400</v>
      </c>
      <c r="C48" s="82">
        <f>VLOOKUP(A48,'Data shares'!$C$2:$CX$216,100,0)</f>
        <v>248900</v>
      </c>
      <c r="D48" s="141">
        <f>VLOOKUP(A48,'Data shares'!$C$2:$CY$539,101,0)</f>
        <v>1.0500000000000001E-2</v>
      </c>
      <c r="E48" s="86">
        <f>VLOOKUP($A48,'Data shares'!$C:$FA,74)</f>
        <v>12965125</v>
      </c>
      <c r="F48" s="86">
        <f>VLOOKUP($A48,'Data shares'!$C:$FA,76)</f>
        <v>-31825</v>
      </c>
      <c r="G48" s="87">
        <f>VLOOKUP(A48,'Data shares'!$C$2:$CA$216,77,0)</f>
        <v>-2.3999999999999998E-3</v>
      </c>
      <c r="H48" s="86">
        <f>VLOOKUP($A48,'Data shares'!$C:$FA,90)</f>
        <v>6244350</v>
      </c>
      <c r="I48" s="86">
        <f>VLOOKUP($A48,'Data shares'!$C:$FA,92)</f>
        <v>105450</v>
      </c>
      <c r="J48" s="87">
        <f>VLOOKUP($A48,'Data shares'!$C:$FA,93)</f>
        <v>1.72E-2</v>
      </c>
      <c r="K48" s="86">
        <f>VLOOKUP($A48,'Data shares'!$C:$FA,94)</f>
        <v>4684925</v>
      </c>
      <c r="L48" s="86">
        <f>VLOOKUP($A48,'Data shares'!$C:$FA,96)</f>
        <v>175275</v>
      </c>
      <c r="M48" s="87">
        <f>VLOOKUP($A48,'Data shares'!$C:$FA,97)</f>
        <v>3.8899999999999997E-2</v>
      </c>
      <c r="N48" s="86">
        <f>VLOOKUP($A48,'Data shares'!$C:$FA,78)</f>
        <v>10806250</v>
      </c>
      <c r="O48" s="87">
        <f>VLOOKUP($A48,'Data shares'!$C:$FA,81)</f>
        <v>-5.3600000000000002E-2</v>
      </c>
    </row>
    <row r="49" spans="1:15" x14ac:dyDescent="0.25">
      <c r="A49" s="100" t="str">
        <f>'Data Vlaue (Cr)'!C44</f>
        <v>CGPOWER</v>
      </c>
      <c r="B49" s="82">
        <f>VLOOKUP(A49,'Data shares'!$C$2:$CV$216,98,0)</f>
        <v>37422950</v>
      </c>
      <c r="C49" s="82">
        <f>VLOOKUP(A49,'Data shares'!$C$2:$CX$216,100,0)</f>
        <v>6596000</v>
      </c>
      <c r="D49" s="141">
        <f>VLOOKUP(A49,'Data shares'!$C$2:$CY$539,101,0)</f>
        <v>0.214</v>
      </c>
      <c r="E49" s="86">
        <f>VLOOKUP($A49,'Data shares'!$C:$FA,74)</f>
        <v>25331700</v>
      </c>
      <c r="F49" s="86">
        <f>VLOOKUP($A49,'Data shares'!$C:$FA,76)</f>
        <v>1943100</v>
      </c>
      <c r="G49" s="87">
        <f>VLOOKUP(A49,'Data shares'!$C$2:$CA$216,77,0)</f>
        <v>8.3099999999999993E-2</v>
      </c>
      <c r="H49" s="86">
        <f>VLOOKUP($A49,'Data shares'!$C:$FA,90)</f>
        <v>7487650</v>
      </c>
      <c r="I49" s="86">
        <f>VLOOKUP($A49,'Data shares'!$C:$FA,92)</f>
        <v>2615450</v>
      </c>
      <c r="J49" s="87">
        <f>VLOOKUP($A49,'Data shares'!$C:$FA,93)</f>
        <v>0.53680000000000005</v>
      </c>
      <c r="K49" s="86">
        <f>VLOOKUP($A49,'Data shares'!$C:$FA,94)</f>
        <v>4603600</v>
      </c>
      <c r="L49" s="86">
        <f>VLOOKUP($A49,'Data shares'!$C:$FA,96)</f>
        <v>2037450</v>
      </c>
      <c r="M49" s="87">
        <f>VLOOKUP($A49,'Data shares'!$C:$FA,97)</f>
        <v>0.79400000000000004</v>
      </c>
      <c r="N49" s="86">
        <f>VLOOKUP($A49,'Data shares'!$C:$FA,78)</f>
        <v>22444250</v>
      </c>
      <c r="O49" s="87">
        <f>VLOOKUP($A49,'Data shares'!$C:$FA,81)</f>
        <v>8.9700000000000002E-2</v>
      </c>
    </row>
    <row r="50" spans="1:15" x14ac:dyDescent="0.25">
      <c r="A50" s="100" t="str">
        <f>'Data Vlaue (Cr)'!C45</f>
        <v>CHOLAFIN</v>
      </c>
      <c r="B50" s="82">
        <f>VLOOKUP(A50,'Data shares'!$C$2:$CV$216,98,0)</f>
        <v>24124375</v>
      </c>
      <c r="C50" s="82">
        <f>VLOOKUP(A50,'Data shares'!$C$2:$CX$216,100,0)</f>
        <v>271250</v>
      </c>
      <c r="D50" s="141">
        <f>VLOOKUP(A50,'Data shares'!$C$2:$CY$539,101,0)</f>
        <v>1.14E-2</v>
      </c>
      <c r="E50" s="86">
        <f>VLOOKUP($A50,'Data shares'!$C:$FA,74)</f>
        <v>18395000</v>
      </c>
      <c r="F50" s="86">
        <f>VLOOKUP($A50,'Data shares'!$C:$FA,76)</f>
        <v>-266250</v>
      </c>
      <c r="G50" s="87">
        <f>VLOOKUP(A50,'Data shares'!$C$2:$CA$216,77,0)</f>
        <v>-1.43E-2</v>
      </c>
      <c r="H50" s="86">
        <f>VLOOKUP($A50,'Data shares'!$C:$FA,90)</f>
        <v>3047500</v>
      </c>
      <c r="I50" s="86">
        <f>VLOOKUP($A50,'Data shares'!$C:$FA,92)</f>
        <v>308750</v>
      </c>
      <c r="J50" s="87">
        <f>VLOOKUP($A50,'Data shares'!$C:$FA,93)</f>
        <v>0.11269999999999999</v>
      </c>
      <c r="K50" s="86">
        <f>VLOOKUP($A50,'Data shares'!$C:$FA,94)</f>
        <v>2681875</v>
      </c>
      <c r="L50" s="86">
        <f>VLOOKUP($A50,'Data shares'!$C:$FA,96)</f>
        <v>228750</v>
      </c>
      <c r="M50" s="87">
        <f>VLOOKUP($A50,'Data shares'!$C:$FA,97)</f>
        <v>9.3200000000000005E-2</v>
      </c>
      <c r="N50" s="86">
        <f>VLOOKUP($A50,'Data shares'!$C:$FA,78)</f>
        <v>17375625</v>
      </c>
      <c r="O50" s="87">
        <f>VLOOKUP($A50,'Data shares'!$C:$FA,81)</f>
        <v>-1.5599999999999999E-2</v>
      </c>
    </row>
    <row r="51" spans="1:15" x14ac:dyDescent="0.25">
      <c r="A51" s="100" t="str">
        <f>'Data Vlaue (Cr)'!C46</f>
        <v>CIPLA</v>
      </c>
      <c r="B51" s="82">
        <f>VLOOKUP(A51,'Data shares'!$C$2:$CV$216,98,0)</f>
        <v>21913875</v>
      </c>
      <c r="C51" s="82">
        <f>VLOOKUP(A51,'Data shares'!$C$2:$CX$216,100,0)</f>
        <v>341825</v>
      </c>
      <c r="D51" s="141">
        <f>VLOOKUP(A51,'Data shares'!$C$2:$CY$539,101,0)</f>
        <v>1.5800000000000002E-2</v>
      </c>
      <c r="E51" s="86">
        <f>VLOOKUP($A51,'Data shares'!$C:$FA,74)</f>
        <v>13241800</v>
      </c>
      <c r="F51" s="86">
        <f>VLOOKUP($A51,'Data shares'!$C:$FA,76)</f>
        <v>-298500</v>
      </c>
      <c r="G51" s="87">
        <f>VLOOKUP(A51,'Data shares'!$C$2:$CA$216,77,0)</f>
        <v>-2.1999999999999999E-2</v>
      </c>
      <c r="H51" s="86">
        <f>VLOOKUP($A51,'Data shares'!$C:$FA,90)</f>
        <v>5029700</v>
      </c>
      <c r="I51" s="86">
        <f>VLOOKUP($A51,'Data shares'!$C:$FA,92)</f>
        <v>193325</v>
      </c>
      <c r="J51" s="87">
        <f>VLOOKUP($A51,'Data shares'!$C:$FA,93)</f>
        <v>0.04</v>
      </c>
      <c r="K51" s="86">
        <f>VLOOKUP($A51,'Data shares'!$C:$FA,94)</f>
        <v>3642375</v>
      </c>
      <c r="L51" s="86">
        <f>VLOOKUP($A51,'Data shares'!$C:$FA,96)</f>
        <v>447000</v>
      </c>
      <c r="M51" s="87">
        <f>VLOOKUP($A51,'Data shares'!$C:$FA,97)</f>
        <v>0.1399</v>
      </c>
      <c r="N51" s="86">
        <f>VLOOKUP($A51,'Data shares'!$C:$FA,78)</f>
        <v>12812250</v>
      </c>
      <c r="O51" s="87">
        <f>VLOOKUP($A51,'Data shares'!$C:$FA,81)</f>
        <v>-2.5999999999999999E-2</v>
      </c>
    </row>
    <row r="52" spans="1:15" x14ac:dyDescent="0.25">
      <c r="A52" s="100" t="str">
        <f>'Data Vlaue (Cr)'!C47</f>
        <v>COALINDIA</v>
      </c>
      <c r="B52" s="82">
        <f>VLOOKUP(A52,'Data shares'!$C$2:$CV$216,98,0)</f>
        <v>100703250</v>
      </c>
      <c r="C52" s="82">
        <f>VLOOKUP(A52,'Data shares'!$C$2:$CX$216,100,0)</f>
        <v>2108700</v>
      </c>
      <c r="D52" s="141">
        <f>VLOOKUP(A52,'Data shares'!$C$2:$CY$539,101,0)</f>
        <v>2.1399999999999999E-2</v>
      </c>
      <c r="E52" s="86">
        <f>VLOOKUP($A52,'Data shares'!$C:$FA,74)</f>
        <v>51915600</v>
      </c>
      <c r="F52" s="86">
        <f>VLOOKUP($A52,'Data shares'!$C:$FA,76)</f>
        <v>-607500</v>
      </c>
      <c r="G52" s="87">
        <f>VLOOKUP(A52,'Data shares'!$C$2:$CA$216,77,0)</f>
        <v>-1.1599999999999999E-2</v>
      </c>
      <c r="H52" s="86">
        <f>VLOOKUP($A52,'Data shares'!$C:$FA,90)</f>
        <v>29600100</v>
      </c>
      <c r="I52" s="86">
        <f>VLOOKUP($A52,'Data shares'!$C:$FA,92)</f>
        <v>1440450</v>
      </c>
      <c r="J52" s="87">
        <f>VLOOKUP($A52,'Data shares'!$C:$FA,93)</f>
        <v>5.1200000000000002E-2</v>
      </c>
      <c r="K52" s="86">
        <f>VLOOKUP($A52,'Data shares'!$C:$FA,94)</f>
        <v>19187550</v>
      </c>
      <c r="L52" s="86">
        <f>VLOOKUP($A52,'Data shares'!$C:$FA,96)</f>
        <v>1275750</v>
      </c>
      <c r="M52" s="87">
        <f>VLOOKUP($A52,'Data shares'!$C:$FA,97)</f>
        <v>7.1199999999999999E-2</v>
      </c>
      <c r="N52" s="86">
        <f>VLOOKUP($A52,'Data shares'!$C:$FA,78)</f>
        <v>49740750</v>
      </c>
      <c r="O52" s="87">
        <f>VLOOKUP($A52,'Data shares'!$C:$FA,81)</f>
        <v>-1.43E-2</v>
      </c>
    </row>
    <row r="53" spans="1:15" x14ac:dyDescent="0.25">
      <c r="A53" s="100" t="str">
        <f>'Data Vlaue (Cr)'!C48</f>
        <v>COCHINSHIP</v>
      </c>
      <c r="B53" s="82">
        <f>VLOOKUP(A53,'Data shares'!$C$2:$CV$216,98,0)</f>
        <v>4730400</v>
      </c>
      <c r="C53" s="82">
        <f>VLOOKUP(A53,'Data shares'!$C$2:$CX$216,100,0)</f>
        <v>152400</v>
      </c>
      <c r="D53" s="141">
        <f>VLOOKUP(A53,'Data shares'!$C$2:$CY$539,101,0)</f>
        <v>3.3300000000000003E-2</v>
      </c>
      <c r="E53" s="86">
        <f>VLOOKUP($A53,'Data shares'!$C:$FA,74)</f>
        <v>2506000</v>
      </c>
      <c r="F53" s="86">
        <f>VLOOKUP($A53,'Data shares'!$C:$FA,76)</f>
        <v>-15600</v>
      </c>
      <c r="G53" s="87">
        <f>VLOOKUP(A53,'Data shares'!$C$2:$CA$216,77,0)</f>
        <v>-6.1999999999999998E-3</v>
      </c>
      <c r="H53" s="86">
        <f>VLOOKUP($A53,'Data shares'!$C:$FA,90)</f>
        <v>1327200</v>
      </c>
      <c r="I53" s="86">
        <f>VLOOKUP($A53,'Data shares'!$C:$FA,92)</f>
        <v>111600</v>
      </c>
      <c r="J53" s="87">
        <f>VLOOKUP($A53,'Data shares'!$C:$FA,93)</f>
        <v>9.1800000000000007E-2</v>
      </c>
      <c r="K53" s="86">
        <f>VLOOKUP($A53,'Data shares'!$C:$FA,94)</f>
        <v>897200</v>
      </c>
      <c r="L53" s="86">
        <f>VLOOKUP($A53,'Data shares'!$C:$FA,96)</f>
        <v>56400</v>
      </c>
      <c r="M53" s="87">
        <f>VLOOKUP($A53,'Data shares'!$C:$FA,97)</f>
        <v>6.7100000000000007E-2</v>
      </c>
      <c r="N53" s="86">
        <f>VLOOKUP($A53,'Data shares'!$C:$FA,78)</f>
        <v>2418800</v>
      </c>
      <c r="O53" s="87">
        <f>VLOOKUP($A53,'Data shares'!$C:$FA,81)</f>
        <v>-2.0999999999999999E-3</v>
      </c>
    </row>
    <row r="54" spans="1:15" x14ac:dyDescent="0.25">
      <c r="A54" s="100" t="str">
        <f>'Data Vlaue (Cr)'!C49</f>
        <v>COFORGE</v>
      </c>
      <c r="B54" s="82">
        <f>VLOOKUP(A54,'Data shares'!$C$2:$CV$216,98,0)</f>
        <v>38215250</v>
      </c>
      <c r="C54" s="82">
        <f>VLOOKUP(A54,'Data shares'!$C$2:$CX$216,100,0)</f>
        <v>7390950</v>
      </c>
      <c r="D54" s="141">
        <f>VLOOKUP(A54,'Data shares'!$C$2:$CY$539,101,0)</f>
        <v>0.23980000000000001</v>
      </c>
      <c r="E54" s="86">
        <f>VLOOKUP($A54,'Data shares'!$C:$FA,74)</f>
        <v>20869150</v>
      </c>
      <c r="F54" s="86">
        <f>VLOOKUP($A54,'Data shares'!$C:$FA,76)</f>
        <v>2032850</v>
      </c>
      <c r="G54" s="87">
        <f>VLOOKUP(A54,'Data shares'!$C$2:$CA$216,77,0)</f>
        <v>0.1079</v>
      </c>
      <c r="H54" s="86">
        <f>VLOOKUP($A54,'Data shares'!$C:$FA,90)</f>
        <v>9934125</v>
      </c>
      <c r="I54" s="86">
        <f>VLOOKUP($A54,'Data shares'!$C:$FA,92)</f>
        <v>2372625</v>
      </c>
      <c r="J54" s="87">
        <f>VLOOKUP($A54,'Data shares'!$C:$FA,93)</f>
        <v>0.31380000000000002</v>
      </c>
      <c r="K54" s="86">
        <f>VLOOKUP($A54,'Data shares'!$C:$FA,94)</f>
        <v>7411975</v>
      </c>
      <c r="L54" s="86">
        <f>VLOOKUP($A54,'Data shares'!$C:$FA,96)</f>
        <v>2985475</v>
      </c>
      <c r="M54" s="87">
        <f>VLOOKUP($A54,'Data shares'!$C:$FA,97)</f>
        <v>0.67449999999999999</v>
      </c>
      <c r="N54" s="86">
        <f>VLOOKUP($A54,'Data shares'!$C:$FA,78)</f>
        <v>20149500</v>
      </c>
      <c r="O54" s="87">
        <f>VLOOKUP($A54,'Data shares'!$C:$FA,81)</f>
        <v>0.10390000000000001</v>
      </c>
    </row>
    <row r="55" spans="1:15" x14ac:dyDescent="0.25">
      <c r="A55" s="100" t="str">
        <f>'Data Vlaue (Cr)'!C50</f>
        <v>COLPAL</v>
      </c>
      <c r="B55" s="82">
        <f>VLOOKUP(A55,'Data shares'!$C$2:$CV$216,98,0)</f>
        <v>7244125</v>
      </c>
      <c r="C55" s="82">
        <f>VLOOKUP(A55,'Data shares'!$C$2:$CX$216,100,0)</f>
        <v>83675</v>
      </c>
      <c r="D55" s="141">
        <f>VLOOKUP(A55,'Data shares'!$C$2:$CY$539,101,0)</f>
        <v>1.17E-2</v>
      </c>
      <c r="E55" s="86">
        <f>VLOOKUP($A55,'Data shares'!$C:$FA,74)</f>
        <v>5006950</v>
      </c>
      <c r="F55" s="86">
        <f>VLOOKUP($A55,'Data shares'!$C:$FA,76)</f>
        <v>-44800</v>
      </c>
      <c r="G55" s="87">
        <f>VLOOKUP(A55,'Data shares'!$C$2:$CA$216,77,0)</f>
        <v>-8.8999999999999999E-3</v>
      </c>
      <c r="H55" s="86">
        <f>VLOOKUP($A55,'Data shares'!$C:$FA,90)</f>
        <v>1327725</v>
      </c>
      <c r="I55" s="86">
        <f>VLOOKUP($A55,'Data shares'!$C:$FA,92)</f>
        <v>80550</v>
      </c>
      <c r="J55" s="87">
        <f>VLOOKUP($A55,'Data shares'!$C:$FA,93)</f>
        <v>6.4600000000000005E-2</v>
      </c>
      <c r="K55" s="86">
        <f>VLOOKUP($A55,'Data shares'!$C:$FA,94)</f>
        <v>909450</v>
      </c>
      <c r="L55" s="86">
        <f>VLOOKUP($A55,'Data shares'!$C:$FA,96)</f>
        <v>47925</v>
      </c>
      <c r="M55" s="87">
        <f>VLOOKUP($A55,'Data shares'!$C:$FA,97)</f>
        <v>5.5599999999999997E-2</v>
      </c>
      <c r="N55" s="86">
        <f>VLOOKUP($A55,'Data shares'!$C:$FA,78)</f>
        <v>4825800</v>
      </c>
      <c r="O55" s="87">
        <f>VLOOKUP($A55,'Data shares'!$C:$FA,81)</f>
        <v>-1.11E-2</v>
      </c>
    </row>
    <row r="56" spans="1:15" x14ac:dyDescent="0.25">
      <c r="A56" s="100" t="str">
        <f>'Data Vlaue (Cr)'!C51</f>
        <v>CONCOR</v>
      </c>
      <c r="B56" s="82">
        <f>VLOOKUP(A56,'Data shares'!$C$2:$CV$216,98,0)</f>
        <v>32832500</v>
      </c>
      <c r="C56" s="82">
        <f>VLOOKUP(A56,'Data shares'!$C$2:$CX$216,100,0)</f>
        <v>1165000</v>
      </c>
      <c r="D56" s="141">
        <f>VLOOKUP(A56,'Data shares'!$C$2:$CY$539,101,0)</f>
        <v>3.6799999999999999E-2</v>
      </c>
      <c r="E56" s="86">
        <f>VLOOKUP($A56,'Data shares'!$C:$FA,74)</f>
        <v>22908750</v>
      </c>
      <c r="F56" s="86">
        <f>VLOOKUP($A56,'Data shares'!$C:$FA,76)</f>
        <v>-126250</v>
      </c>
      <c r="G56" s="87">
        <f>VLOOKUP(A56,'Data shares'!$C$2:$CA$216,77,0)</f>
        <v>-5.4999999999999997E-3</v>
      </c>
      <c r="H56" s="86">
        <f>VLOOKUP($A56,'Data shares'!$C:$FA,90)</f>
        <v>5721250</v>
      </c>
      <c r="I56" s="86">
        <f>VLOOKUP($A56,'Data shares'!$C:$FA,92)</f>
        <v>530000</v>
      </c>
      <c r="J56" s="87">
        <f>VLOOKUP($A56,'Data shares'!$C:$FA,93)</f>
        <v>0.1021</v>
      </c>
      <c r="K56" s="86">
        <f>VLOOKUP($A56,'Data shares'!$C:$FA,94)</f>
        <v>4202500</v>
      </c>
      <c r="L56" s="86">
        <f>VLOOKUP($A56,'Data shares'!$C:$FA,96)</f>
        <v>761250</v>
      </c>
      <c r="M56" s="87">
        <f>VLOOKUP($A56,'Data shares'!$C:$FA,97)</f>
        <v>0.22120000000000001</v>
      </c>
      <c r="N56" s="86">
        <f>VLOOKUP($A56,'Data shares'!$C:$FA,78)</f>
        <v>22383750</v>
      </c>
      <c r="O56" s="87">
        <f>VLOOKUP($A56,'Data shares'!$C:$FA,81)</f>
        <v>-6.4999999999999997E-3</v>
      </c>
    </row>
    <row r="57" spans="1:15" x14ac:dyDescent="0.25">
      <c r="A57" s="100" t="str">
        <f>'Data Vlaue (Cr)'!C52</f>
        <v>CROMPTON</v>
      </c>
      <c r="B57" s="82">
        <f>VLOOKUP(A57,'Data shares'!$C$2:$CV$216,98,0)</f>
        <v>78033950</v>
      </c>
      <c r="C57" s="82">
        <f>VLOOKUP(A57,'Data shares'!$C$2:$CX$216,100,0)</f>
        <v>3340000</v>
      </c>
      <c r="D57" s="141">
        <f>VLOOKUP(A57,'Data shares'!$C$2:$CY$539,101,0)</f>
        <v>4.4699999999999997E-2</v>
      </c>
      <c r="E57" s="86">
        <f>VLOOKUP($A57,'Data shares'!$C:$FA,74)</f>
        <v>55312550</v>
      </c>
      <c r="F57" s="86">
        <f>VLOOKUP($A57,'Data shares'!$C:$FA,76)</f>
        <v>1964800</v>
      </c>
      <c r="G57" s="87">
        <f>VLOOKUP(A57,'Data shares'!$C$2:$CA$216,77,0)</f>
        <v>3.6799999999999999E-2</v>
      </c>
      <c r="H57" s="86">
        <f>VLOOKUP($A57,'Data shares'!$C:$FA,90)</f>
        <v>15483600</v>
      </c>
      <c r="I57" s="86">
        <f>VLOOKUP($A57,'Data shares'!$C:$FA,92)</f>
        <v>1006200</v>
      </c>
      <c r="J57" s="87">
        <f>VLOOKUP($A57,'Data shares'!$C:$FA,93)</f>
        <v>6.9500000000000006E-2</v>
      </c>
      <c r="K57" s="86">
        <f>VLOOKUP($A57,'Data shares'!$C:$FA,94)</f>
        <v>7237800</v>
      </c>
      <c r="L57" s="86">
        <f>VLOOKUP($A57,'Data shares'!$C:$FA,96)</f>
        <v>369000</v>
      </c>
      <c r="M57" s="87">
        <f>VLOOKUP($A57,'Data shares'!$C:$FA,97)</f>
        <v>5.3699999999999998E-2</v>
      </c>
      <c r="N57" s="86">
        <f>VLOOKUP($A57,'Data shares'!$C:$FA,78)</f>
        <v>54433800</v>
      </c>
      <c r="O57" s="87">
        <f>VLOOKUP($A57,'Data shares'!$C:$FA,81)</f>
        <v>3.61E-2</v>
      </c>
    </row>
    <row r="58" spans="1:15" x14ac:dyDescent="0.25">
      <c r="A58" s="100" t="str">
        <f>'Data Vlaue (Cr)'!C53</f>
        <v>CUMMINSIND</v>
      </c>
      <c r="B58" s="82">
        <f>VLOOKUP(A58,'Data shares'!$C$2:$CV$216,98,0)</f>
        <v>5178000</v>
      </c>
      <c r="C58" s="82">
        <f>VLOOKUP(A58,'Data shares'!$C$2:$CX$216,100,0)</f>
        <v>75200</v>
      </c>
      <c r="D58" s="141">
        <f>VLOOKUP(A58,'Data shares'!$C$2:$CY$539,101,0)</f>
        <v>1.47E-2</v>
      </c>
      <c r="E58" s="86">
        <f>VLOOKUP($A58,'Data shares'!$C:$FA,74)</f>
        <v>3984800</v>
      </c>
      <c r="F58" s="86">
        <f>VLOOKUP($A58,'Data shares'!$C:$FA,76)</f>
        <v>-60800</v>
      </c>
      <c r="G58" s="87">
        <f>VLOOKUP(A58,'Data shares'!$C$2:$CA$216,77,0)</f>
        <v>-1.4999999999999999E-2</v>
      </c>
      <c r="H58" s="86">
        <f>VLOOKUP($A58,'Data shares'!$C:$FA,90)</f>
        <v>697400</v>
      </c>
      <c r="I58" s="86">
        <f>VLOOKUP($A58,'Data shares'!$C:$FA,92)</f>
        <v>76800</v>
      </c>
      <c r="J58" s="87">
        <f>VLOOKUP($A58,'Data shares'!$C:$FA,93)</f>
        <v>0.12379999999999999</v>
      </c>
      <c r="K58" s="86">
        <f>VLOOKUP($A58,'Data shares'!$C:$FA,94)</f>
        <v>495800</v>
      </c>
      <c r="L58" s="86">
        <f>VLOOKUP($A58,'Data shares'!$C:$FA,96)</f>
        <v>59200</v>
      </c>
      <c r="M58" s="87">
        <f>VLOOKUP($A58,'Data shares'!$C:$FA,97)</f>
        <v>0.1356</v>
      </c>
      <c r="N58" s="86">
        <f>VLOOKUP($A58,'Data shares'!$C:$FA,78)</f>
        <v>3674000</v>
      </c>
      <c r="O58" s="87">
        <f>VLOOKUP($A58,'Data shares'!$C:$FA,81)</f>
        <v>-1.8200000000000001E-2</v>
      </c>
    </row>
    <row r="59" spans="1:15" x14ac:dyDescent="0.25">
      <c r="A59" s="100" t="str">
        <f>'Data Vlaue (Cr)'!C54</f>
        <v>DABUR</v>
      </c>
      <c r="B59" s="82">
        <f>VLOOKUP(A59,'Data shares'!$C$2:$CV$216,98,0)</f>
        <v>42540000</v>
      </c>
      <c r="C59" s="82">
        <f>VLOOKUP(A59,'Data shares'!$C$2:$CX$216,100,0)</f>
        <v>2000000</v>
      </c>
      <c r="D59" s="141">
        <f>VLOOKUP(A59,'Data shares'!$C$2:$CY$539,101,0)</f>
        <v>4.9299999999999997E-2</v>
      </c>
      <c r="E59" s="86">
        <f>VLOOKUP($A59,'Data shares'!$C:$FA,74)</f>
        <v>27388750</v>
      </c>
      <c r="F59" s="86">
        <f>VLOOKUP($A59,'Data shares'!$C:$FA,76)</f>
        <v>-825000</v>
      </c>
      <c r="G59" s="87">
        <f>VLOOKUP(A59,'Data shares'!$C$2:$CA$216,77,0)</f>
        <v>-2.92E-2</v>
      </c>
      <c r="H59" s="86">
        <f>VLOOKUP($A59,'Data shares'!$C:$FA,90)</f>
        <v>9717500</v>
      </c>
      <c r="I59" s="86">
        <f>VLOOKUP($A59,'Data shares'!$C:$FA,92)</f>
        <v>2322500</v>
      </c>
      <c r="J59" s="87">
        <f>VLOOKUP($A59,'Data shares'!$C:$FA,93)</f>
        <v>0.31409999999999999</v>
      </c>
      <c r="K59" s="86">
        <f>VLOOKUP($A59,'Data shares'!$C:$FA,94)</f>
        <v>5433750</v>
      </c>
      <c r="L59" s="86">
        <f>VLOOKUP($A59,'Data shares'!$C:$FA,96)</f>
        <v>502500</v>
      </c>
      <c r="M59" s="87">
        <f>VLOOKUP($A59,'Data shares'!$C:$FA,97)</f>
        <v>0.1019</v>
      </c>
      <c r="N59" s="86">
        <f>VLOOKUP($A59,'Data shares'!$C:$FA,78)</f>
        <v>26720000</v>
      </c>
      <c r="O59" s="87">
        <f>VLOOKUP($A59,'Data shares'!$C:$FA,81)</f>
        <v>-3.1800000000000002E-2</v>
      </c>
    </row>
    <row r="60" spans="1:15" x14ac:dyDescent="0.25">
      <c r="A60" s="100" t="str">
        <f>'Data Vlaue (Cr)'!C55</f>
        <v>DALBHARAT</v>
      </c>
      <c r="B60" s="82">
        <f>VLOOKUP(A60,'Data shares'!$C$2:$CV$216,98,0)</f>
        <v>4340050</v>
      </c>
      <c r="C60" s="82">
        <f>VLOOKUP(A60,'Data shares'!$C$2:$CX$216,100,0)</f>
        <v>233675</v>
      </c>
      <c r="D60" s="141">
        <f>VLOOKUP(A60,'Data shares'!$C$2:$CY$539,101,0)</f>
        <v>5.6899999999999999E-2</v>
      </c>
      <c r="E60" s="86">
        <f>VLOOKUP($A60,'Data shares'!$C:$FA,74)</f>
        <v>2789150</v>
      </c>
      <c r="F60" s="86">
        <f>VLOOKUP($A60,'Data shares'!$C:$FA,76)</f>
        <v>73450</v>
      </c>
      <c r="G60" s="87">
        <f>VLOOKUP(A60,'Data shares'!$C$2:$CA$216,77,0)</f>
        <v>2.7E-2</v>
      </c>
      <c r="H60" s="86">
        <f>VLOOKUP($A60,'Data shares'!$C:$FA,90)</f>
        <v>1021475</v>
      </c>
      <c r="I60" s="86">
        <f>VLOOKUP($A60,'Data shares'!$C:$FA,92)</f>
        <v>156000</v>
      </c>
      <c r="J60" s="87">
        <f>VLOOKUP($A60,'Data shares'!$C:$FA,93)</f>
        <v>0.1802</v>
      </c>
      <c r="K60" s="86">
        <f>VLOOKUP($A60,'Data shares'!$C:$FA,94)</f>
        <v>529425</v>
      </c>
      <c r="L60" s="86">
        <f>VLOOKUP($A60,'Data shares'!$C:$FA,96)</f>
        <v>4225</v>
      </c>
      <c r="M60" s="87">
        <f>VLOOKUP($A60,'Data shares'!$C:$FA,97)</f>
        <v>8.0000000000000002E-3</v>
      </c>
      <c r="N60" s="86">
        <f>VLOOKUP($A60,'Data shares'!$C:$FA,78)</f>
        <v>2761850</v>
      </c>
      <c r="O60" s="87">
        <f>VLOOKUP($A60,'Data shares'!$C:$FA,81)</f>
        <v>2.69E-2</v>
      </c>
    </row>
    <row r="61" spans="1:15" x14ac:dyDescent="0.25">
      <c r="A61" s="100" t="str">
        <f>'Data Vlaue (Cr)'!C56</f>
        <v>DELHIVERY</v>
      </c>
      <c r="B61" s="82">
        <f>VLOOKUP(A61,'Data shares'!$C$2:$CV$216,98,0)</f>
        <v>40557950</v>
      </c>
      <c r="C61" s="82">
        <f>VLOOKUP(A61,'Data shares'!$C$2:$CX$216,100,0)</f>
        <v>-780200</v>
      </c>
      <c r="D61" s="141">
        <f>VLOOKUP(A61,'Data shares'!$C$2:$CY$539,101,0)</f>
        <v>-1.89E-2</v>
      </c>
      <c r="E61" s="86">
        <f>VLOOKUP($A61,'Data shares'!$C:$FA,74)</f>
        <v>29220150</v>
      </c>
      <c r="F61" s="86">
        <f>VLOOKUP($A61,'Data shares'!$C:$FA,76)</f>
        <v>-1317625</v>
      </c>
      <c r="G61" s="87">
        <f>VLOOKUP(A61,'Data shares'!$C$2:$CA$216,77,0)</f>
        <v>-4.3099999999999999E-2</v>
      </c>
      <c r="H61" s="86">
        <f>VLOOKUP($A61,'Data shares'!$C:$FA,90)</f>
        <v>7142150</v>
      </c>
      <c r="I61" s="86">
        <f>VLOOKUP($A61,'Data shares'!$C:$FA,92)</f>
        <v>587225</v>
      </c>
      <c r="J61" s="87">
        <f>VLOOKUP($A61,'Data shares'!$C:$FA,93)</f>
        <v>8.9599999999999999E-2</v>
      </c>
      <c r="K61" s="86">
        <f>VLOOKUP($A61,'Data shares'!$C:$FA,94)</f>
        <v>4195650</v>
      </c>
      <c r="L61" s="86">
        <f>VLOOKUP($A61,'Data shares'!$C:$FA,96)</f>
        <v>-49800</v>
      </c>
      <c r="M61" s="87">
        <f>VLOOKUP($A61,'Data shares'!$C:$FA,97)</f>
        <v>-1.17E-2</v>
      </c>
      <c r="N61" s="86">
        <f>VLOOKUP($A61,'Data shares'!$C:$FA,78)</f>
        <v>28888150</v>
      </c>
      <c r="O61" s="87">
        <f>VLOOKUP($A61,'Data shares'!$C:$FA,81)</f>
        <v>-4.41E-2</v>
      </c>
    </row>
    <row r="62" spans="1:15" x14ac:dyDescent="0.25">
      <c r="A62" s="100" t="str">
        <f>'Data Vlaue (Cr)'!C57</f>
        <v>DIVISLAB</v>
      </c>
      <c r="B62" s="82">
        <f>VLOOKUP(A62,'Data shares'!$C$2:$CV$216,98,0)</f>
        <v>3598400</v>
      </c>
      <c r="C62" s="82">
        <f>VLOOKUP(A62,'Data shares'!$C$2:$CX$216,100,0)</f>
        <v>103500</v>
      </c>
      <c r="D62" s="141">
        <f>VLOOKUP(A62,'Data shares'!$C$2:$CY$539,101,0)</f>
        <v>2.9600000000000001E-2</v>
      </c>
      <c r="E62" s="86">
        <f>VLOOKUP($A62,'Data shares'!$C:$FA,74)</f>
        <v>2413700</v>
      </c>
      <c r="F62" s="86">
        <f>VLOOKUP($A62,'Data shares'!$C:$FA,76)</f>
        <v>-25100</v>
      </c>
      <c r="G62" s="87">
        <f>VLOOKUP(A62,'Data shares'!$C$2:$CA$216,77,0)</f>
        <v>-1.03E-2</v>
      </c>
      <c r="H62" s="86">
        <f>VLOOKUP($A62,'Data shares'!$C:$FA,90)</f>
        <v>707500</v>
      </c>
      <c r="I62" s="86">
        <f>VLOOKUP($A62,'Data shares'!$C:$FA,92)</f>
        <v>65500</v>
      </c>
      <c r="J62" s="87">
        <f>VLOOKUP($A62,'Data shares'!$C:$FA,93)</f>
        <v>0.10199999999999999</v>
      </c>
      <c r="K62" s="86">
        <f>VLOOKUP($A62,'Data shares'!$C:$FA,94)</f>
        <v>477200</v>
      </c>
      <c r="L62" s="86">
        <f>VLOOKUP($A62,'Data shares'!$C:$FA,96)</f>
        <v>63100</v>
      </c>
      <c r="M62" s="87">
        <f>VLOOKUP($A62,'Data shares'!$C:$FA,97)</f>
        <v>0.15240000000000001</v>
      </c>
      <c r="N62" s="86">
        <f>VLOOKUP($A62,'Data shares'!$C:$FA,78)</f>
        <v>2121700</v>
      </c>
      <c r="O62" s="87">
        <f>VLOOKUP($A62,'Data shares'!$C:$FA,81)</f>
        <v>-1.12E-2</v>
      </c>
    </row>
    <row r="63" spans="1:15" x14ac:dyDescent="0.25">
      <c r="A63" s="100" t="str">
        <f>'Data Vlaue (Cr)'!C58</f>
        <v>DIXON</v>
      </c>
      <c r="B63" s="82">
        <f>VLOOKUP(A63,'Data shares'!$C$2:$CV$216,98,0)</f>
        <v>5347500</v>
      </c>
      <c r="C63" s="82">
        <f>VLOOKUP(A63,'Data shares'!$C$2:$CX$216,100,0)</f>
        <v>191800</v>
      </c>
      <c r="D63" s="141">
        <f>VLOOKUP(A63,'Data shares'!$C$2:$CY$539,101,0)</f>
        <v>3.7199999999999997E-2</v>
      </c>
      <c r="E63" s="86">
        <f>VLOOKUP($A63,'Data shares'!$C:$FA,74)</f>
        <v>3142850</v>
      </c>
      <c r="F63" s="86">
        <f>VLOOKUP($A63,'Data shares'!$C:$FA,76)</f>
        <v>46850</v>
      </c>
      <c r="G63" s="87">
        <f>VLOOKUP(A63,'Data shares'!$C$2:$CA$216,77,0)</f>
        <v>1.5100000000000001E-2</v>
      </c>
      <c r="H63" s="86">
        <f>VLOOKUP($A63,'Data shares'!$C:$FA,90)</f>
        <v>1186750</v>
      </c>
      <c r="I63" s="86">
        <f>VLOOKUP($A63,'Data shares'!$C:$FA,92)</f>
        <v>115200</v>
      </c>
      <c r="J63" s="87">
        <f>VLOOKUP($A63,'Data shares'!$C:$FA,93)</f>
        <v>0.1075</v>
      </c>
      <c r="K63" s="86">
        <f>VLOOKUP($A63,'Data shares'!$C:$FA,94)</f>
        <v>1017900</v>
      </c>
      <c r="L63" s="86">
        <f>VLOOKUP($A63,'Data shares'!$C:$FA,96)</f>
        <v>29750</v>
      </c>
      <c r="M63" s="87">
        <f>VLOOKUP($A63,'Data shares'!$C:$FA,97)</f>
        <v>3.0099999999999998E-2</v>
      </c>
      <c r="N63" s="86">
        <f>VLOOKUP($A63,'Data shares'!$C:$FA,78)</f>
        <v>2950300</v>
      </c>
      <c r="O63" s="87">
        <f>VLOOKUP($A63,'Data shares'!$C:$FA,81)</f>
        <v>1.15E-2</v>
      </c>
    </row>
    <row r="64" spans="1:15" x14ac:dyDescent="0.25">
      <c r="A64" s="100" t="str">
        <f>'Data Vlaue (Cr)'!C59</f>
        <v>DLF</v>
      </c>
      <c r="B64" s="82">
        <f>VLOOKUP(A64,'Data shares'!$C$2:$CV$216,98,0)</f>
        <v>59838075</v>
      </c>
      <c r="C64" s="82">
        <f>VLOOKUP(A64,'Data shares'!$C$2:$CX$216,100,0)</f>
        <v>127825</v>
      </c>
      <c r="D64" s="141">
        <f>VLOOKUP(A64,'Data shares'!$C$2:$CY$539,101,0)</f>
        <v>2.0999999999999999E-3</v>
      </c>
      <c r="E64" s="86">
        <f>VLOOKUP($A64,'Data shares'!$C:$FA,74)</f>
        <v>45728100</v>
      </c>
      <c r="F64" s="86">
        <f>VLOOKUP($A64,'Data shares'!$C:$FA,76)</f>
        <v>23050</v>
      </c>
      <c r="G64" s="87">
        <f>VLOOKUP(A64,'Data shares'!$C$2:$CA$216,77,0)</f>
        <v>5.0000000000000001E-4</v>
      </c>
      <c r="H64" s="86">
        <f>VLOOKUP($A64,'Data shares'!$C:$FA,90)</f>
        <v>8149350</v>
      </c>
      <c r="I64" s="86">
        <f>VLOOKUP($A64,'Data shares'!$C:$FA,92)</f>
        <v>19800</v>
      </c>
      <c r="J64" s="87">
        <f>VLOOKUP($A64,'Data shares'!$C:$FA,93)</f>
        <v>2.3999999999999998E-3</v>
      </c>
      <c r="K64" s="86">
        <f>VLOOKUP($A64,'Data shares'!$C:$FA,94)</f>
        <v>5960625</v>
      </c>
      <c r="L64" s="86">
        <f>VLOOKUP($A64,'Data shares'!$C:$FA,96)</f>
        <v>84975</v>
      </c>
      <c r="M64" s="87">
        <f>VLOOKUP($A64,'Data shares'!$C:$FA,97)</f>
        <v>1.4500000000000001E-2</v>
      </c>
      <c r="N64" s="86">
        <f>VLOOKUP($A64,'Data shares'!$C:$FA,78)</f>
        <v>42650025</v>
      </c>
      <c r="O64" s="87">
        <f>VLOOKUP($A64,'Data shares'!$C:$FA,81)</f>
        <v>-6.9999999999999999E-4</v>
      </c>
    </row>
    <row r="65" spans="1:15" x14ac:dyDescent="0.25">
      <c r="A65" s="100" t="str">
        <f>'Data Vlaue (Cr)'!C60</f>
        <v>DMART</v>
      </c>
      <c r="B65" s="82">
        <f>VLOOKUP(A65,'Data shares'!$C$2:$CV$216,98,0)</f>
        <v>6469200</v>
      </c>
      <c r="C65" s="82">
        <f>VLOOKUP(A65,'Data shares'!$C$2:$CX$216,100,0)</f>
        <v>-301500</v>
      </c>
      <c r="D65" s="141">
        <f>VLOOKUP(A65,'Data shares'!$C$2:$CY$539,101,0)</f>
        <v>-4.4499999999999998E-2</v>
      </c>
      <c r="E65" s="86">
        <f>VLOOKUP($A65,'Data shares'!$C:$FA,74)</f>
        <v>3980550</v>
      </c>
      <c r="F65" s="86">
        <f>VLOOKUP($A65,'Data shares'!$C:$FA,76)</f>
        <v>-33900</v>
      </c>
      <c r="G65" s="87">
        <f>VLOOKUP(A65,'Data shares'!$C$2:$CA$216,77,0)</f>
        <v>-8.3999999999999995E-3</v>
      </c>
      <c r="H65" s="86">
        <f>VLOOKUP($A65,'Data shares'!$C:$FA,90)</f>
        <v>1631250</v>
      </c>
      <c r="I65" s="86">
        <f>VLOOKUP($A65,'Data shares'!$C:$FA,92)</f>
        <v>-273150</v>
      </c>
      <c r="J65" s="87">
        <f>VLOOKUP($A65,'Data shares'!$C:$FA,93)</f>
        <v>-0.1434</v>
      </c>
      <c r="K65" s="86">
        <f>VLOOKUP($A65,'Data shares'!$C:$FA,94)</f>
        <v>857400</v>
      </c>
      <c r="L65" s="86">
        <f>VLOOKUP($A65,'Data shares'!$C:$FA,96)</f>
        <v>5550</v>
      </c>
      <c r="M65" s="87">
        <f>VLOOKUP($A65,'Data shares'!$C:$FA,97)</f>
        <v>6.4999999999999997E-3</v>
      </c>
      <c r="N65" s="86">
        <f>VLOOKUP($A65,'Data shares'!$C:$FA,78)</f>
        <v>3882300</v>
      </c>
      <c r="O65" s="87">
        <f>VLOOKUP($A65,'Data shares'!$C:$FA,81)</f>
        <v>-6.3E-3</v>
      </c>
    </row>
    <row r="66" spans="1:15" x14ac:dyDescent="0.25">
      <c r="A66" s="100" t="str">
        <f>'Data Vlaue (Cr)'!C61</f>
        <v>DRREDDY</v>
      </c>
      <c r="B66" s="82">
        <f>VLOOKUP(A66,'Data shares'!$C$2:$CV$216,98,0)</f>
        <v>33488750</v>
      </c>
      <c r="C66" s="82">
        <f>VLOOKUP(A66,'Data shares'!$C$2:$CX$216,100,0)</f>
        <v>2491875</v>
      </c>
      <c r="D66" s="141">
        <f>VLOOKUP(A66,'Data shares'!$C$2:$CY$539,101,0)</f>
        <v>8.0399999999999999E-2</v>
      </c>
      <c r="E66" s="86">
        <f>VLOOKUP($A66,'Data shares'!$C:$FA,74)</f>
        <v>18201250</v>
      </c>
      <c r="F66" s="86">
        <f>VLOOKUP($A66,'Data shares'!$C:$FA,76)</f>
        <v>1160000</v>
      </c>
      <c r="G66" s="87">
        <f>VLOOKUP(A66,'Data shares'!$C$2:$CA$216,77,0)</f>
        <v>6.8099999999999994E-2</v>
      </c>
      <c r="H66" s="86">
        <f>VLOOKUP($A66,'Data shares'!$C:$FA,90)</f>
        <v>10065000</v>
      </c>
      <c r="I66" s="86">
        <f>VLOOKUP($A66,'Data shares'!$C:$FA,92)</f>
        <v>499375</v>
      </c>
      <c r="J66" s="87">
        <f>VLOOKUP($A66,'Data shares'!$C:$FA,93)</f>
        <v>5.2200000000000003E-2</v>
      </c>
      <c r="K66" s="86">
        <f>VLOOKUP($A66,'Data shares'!$C:$FA,94)</f>
        <v>5222500</v>
      </c>
      <c r="L66" s="86">
        <f>VLOOKUP($A66,'Data shares'!$C:$FA,96)</f>
        <v>832500</v>
      </c>
      <c r="M66" s="87">
        <f>VLOOKUP($A66,'Data shares'!$C:$FA,97)</f>
        <v>0.18959999999999999</v>
      </c>
      <c r="N66" s="86">
        <f>VLOOKUP($A66,'Data shares'!$C:$FA,78)</f>
        <v>17650000</v>
      </c>
      <c r="O66" s="87">
        <f>VLOOKUP($A66,'Data shares'!$C:$FA,81)</f>
        <v>6.4399999999999999E-2</v>
      </c>
    </row>
    <row r="67" spans="1:15" x14ac:dyDescent="0.25">
      <c r="A67" s="100" t="str">
        <f>'Data Vlaue (Cr)'!C62</f>
        <v>EICHERMOT</v>
      </c>
      <c r="B67" s="82">
        <f>VLOOKUP(A67,'Data shares'!$C$2:$CV$216,98,0)</f>
        <v>5374100</v>
      </c>
      <c r="C67" s="82">
        <f>VLOOKUP(A67,'Data shares'!$C$2:$CX$216,100,0)</f>
        <v>-92400</v>
      </c>
      <c r="D67" s="141">
        <f>VLOOKUP(A67,'Data shares'!$C$2:$CY$539,101,0)</f>
        <v>-1.6899999999999998E-2</v>
      </c>
      <c r="E67" s="86">
        <f>VLOOKUP($A67,'Data shares'!$C:$FA,74)</f>
        <v>3399900</v>
      </c>
      <c r="F67" s="86">
        <f>VLOOKUP($A67,'Data shares'!$C:$FA,76)</f>
        <v>-169900</v>
      </c>
      <c r="G67" s="87">
        <f>VLOOKUP(A67,'Data shares'!$C$2:$CA$216,77,0)</f>
        <v>-4.7600000000000003E-2</v>
      </c>
      <c r="H67" s="86">
        <f>VLOOKUP($A67,'Data shares'!$C:$FA,90)</f>
        <v>1121600</v>
      </c>
      <c r="I67" s="86">
        <f>VLOOKUP($A67,'Data shares'!$C:$FA,92)</f>
        <v>78500</v>
      </c>
      <c r="J67" s="87">
        <f>VLOOKUP($A67,'Data shares'!$C:$FA,93)</f>
        <v>7.5300000000000006E-2</v>
      </c>
      <c r="K67" s="86">
        <f>VLOOKUP($A67,'Data shares'!$C:$FA,94)</f>
        <v>852600</v>
      </c>
      <c r="L67" s="86">
        <f>VLOOKUP($A67,'Data shares'!$C:$FA,96)</f>
        <v>-1000</v>
      </c>
      <c r="M67" s="87">
        <f>VLOOKUP($A67,'Data shares'!$C:$FA,97)</f>
        <v>-1.1999999999999999E-3</v>
      </c>
      <c r="N67" s="86">
        <f>VLOOKUP($A67,'Data shares'!$C:$FA,78)</f>
        <v>2847400</v>
      </c>
      <c r="O67" s="87">
        <f>VLOOKUP($A67,'Data shares'!$C:$FA,81)</f>
        <v>-5.8200000000000002E-2</v>
      </c>
    </row>
    <row r="68" spans="1:15" x14ac:dyDescent="0.25">
      <c r="A68" s="100" t="str">
        <f>'Data Vlaue (Cr)'!C63</f>
        <v>ETERNAL</v>
      </c>
      <c r="B68" s="82">
        <f>VLOOKUP(A68,'Data shares'!$C$2:$CV$216,98,0)</f>
        <v>351317025</v>
      </c>
      <c r="C68" s="82">
        <f>VLOOKUP(A68,'Data shares'!$C$2:$CX$216,100,0)</f>
        <v>-4352875</v>
      </c>
      <c r="D68" s="141">
        <f>VLOOKUP(A68,'Data shares'!$C$2:$CY$539,101,0)</f>
        <v>-1.2200000000000001E-2</v>
      </c>
      <c r="E68" s="86">
        <f>VLOOKUP($A68,'Data shares'!$C:$FA,74)</f>
        <v>211062300</v>
      </c>
      <c r="F68" s="86">
        <f>VLOOKUP($A68,'Data shares'!$C:$FA,76)</f>
        <v>1949700</v>
      </c>
      <c r="G68" s="87">
        <f>VLOOKUP(A68,'Data shares'!$C$2:$CA$216,77,0)</f>
        <v>9.2999999999999992E-3</v>
      </c>
      <c r="H68" s="86">
        <f>VLOOKUP($A68,'Data shares'!$C:$FA,90)</f>
        <v>89307900</v>
      </c>
      <c r="I68" s="86">
        <f>VLOOKUP($A68,'Data shares'!$C:$FA,92)</f>
        <v>-5415025</v>
      </c>
      <c r="J68" s="87">
        <f>VLOOKUP($A68,'Data shares'!$C:$FA,93)</f>
        <v>-5.7200000000000001E-2</v>
      </c>
      <c r="K68" s="86">
        <f>VLOOKUP($A68,'Data shares'!$C:$FA,94)</f>
        <v>50946825</v>
      </c>
      <c r="L68" s="86">
        <f>VLOOKUP($A68,'Data shares'!$C:$FA,96)</f>
        <v>-887550</v>
      </c>
      <c r="M68" s="87">
        <f>VLOOKUP($A68,'Data shares'!$C:$FA,97)</f>
        <v>-1.7100000000000001E-2</v>
      </c>
      <c r="N68" s="86">
        <f>VLOOKUP($A68,'Data shares'!$C:$FA,78)</f>
        <v>191153050</v>
      </c>
      <c r="O68" s="87">
        <f>VLOOKUP($A68,'Data shares'!$C:$FA,81)</f>
        <v>2.5999999999999999E-3</v>
      </c>
    </row>
    <row r="69" spans="1:15" x14ac:dyDescent="0.25">
      <c r="A69" s="100" t="str">
        <f>'Data Vlaue (Cr)'!C64</f>
        <v>EXIDEIND</v>
      </c>
      <c r="B69" s="82">
        <f>VLOOKUP(A69,'Data shares'!$C$2:$CV$216,98,0)</f>
        <v>55035000</v>
      </c>
      <c r="C69" s="82">
        <f>VLOOKUP(A69,'Data shares'!$C$2:$CX$216,100,0)</f>
        <v>2788200</v>
      </c>
      <c r="D69" s="141">
        <f>VLOOKUP(A69,'Data shares'!$C$2:$CY$539,101,0)</f>
        <v>5.3400000000000003E-2</v>
      </c>
      <c r="E69" s="86">
        <f>VLOOKUP($A69,'Data shares'!$C:$FA,74)</f>
        <v>26740800</v>
      </c>
      <c r="F69" s="86">
        <f>VLOOKUP($A69,'Data shares'!$C:$FA,76)</f>
        <v>-1535400</v>
      </c>
      <c r="G69" s="87">
        <f>VLOOKUP(A69,'Data shares'!$C$2:$CA$216,77,0)</f>
        <v>-5.4300000000000001E-2</v>
      </c>
      <c r="H69" s="86">
        <f>VLOOKUP($A69,'Data shares'!$C:$FA,90)</f>
        <v>17613000</v>
      </c>
      <c r="I69" s="86">
        <f>VLOOKUP($A69,'Data shares'!$C:$FA,92)</f>
        <v>2471400</v>
      </c>
      <c r="J69" s="87">
        <f>VLOOKUP($A69,'Data shares'!$C:$FA,93)</f>
        <v>0.16320000000000001</v>
      </c>
      <c r="K69" s="86">
        <f>VLOOKUP($A69,'Data shares'!$C:$FA,94)</f>
        <v>10681200</v>
      </c>
      <c r="L69" s="86">
        <f>VLOOKUP($A69,'Data shares'!$C:$FA,96)</f>
        <v>1852200</v>
      </c>
      <c r="M69" s="87">
        <f>VLOOKUP($A69,'Data shares'!$C:$FA,97)</f>
        <v>0.20979999999999999</v>
      </c>
      <c r="N69" s="86">
        <f>VLOOKUP($A69,'Data shares'!$C:$FA,78)</f>
        <v>25291800</v>
      </c>
      <c r="O69" s="87">
        <f>VLOOKUP($A69,'Data shares'!$C:$FA,81)</f>
        <v>-6.6799999999999998E-2</v>
      </c>
    </row>
    <row r="70" spans="1:15" x14ac:dyDescent="0.25">
      <c r="A70" s="100" t="str">
        <f>'Data Vlaue (Cr)'!C65</f>
        <v>FEDERALBNK</v>
      </c>
      <c r="B70" s="82">
        <f>VLOOKUP(A70,'Data shares'!$C$2:$CV$216,98,0)</f>
        <v>140620000</v>
      </c>
      <c r="C70" s="82">
        <f>VLOOKUP(A70,'Data shares'!$C$2:$CX$216,100,0)</f>
        <v>2630000</v>
      </c>
      <c r="D70" s="141">
        <f>VLOOKUP(A70,'Data shares'!$C$2:$CY$539,101,0)</f>
        <v>1.9099999999999999E-2</v>
      </c>
      <c r="E70" s="86">
        <f>VLOOKUP($A70,'Data shares'!$C:$FA,74)</f>
        <v>85100000</v>
      </c>
      <c r="F70" s="86">
        <f>VLOOKUP($A70,'Data shares'!$C:$FA,76)</f>
        <v>1132500</v>
      </c>
      <c r="G70" s="87">
        <f>VLOOKUP(A70,'Data shares'!$C$2:$CA$216,77,0)</f>
        <v>1.35E-2</v>
      </c>
      <c r="H70" s="86">
        <f>VLOOKUP($A70,'Data shares'!$C:$FA,90)</f>
        <v>35330000</v>
      </c>
      <c r="I70" s="86">
        <f>VLOOKUP($A70,'Data shares'!$C:$FA,92)</f>
        <v>902500</v>
      </c>
      <c r="J70" s="87">
        <f>VLOOKUP($A70,'Data shares'!$C:$FA,93)</f>
        <v>2.6200000000000001E-2</v>
      </c>
      <c r="K70" s="86">
        <f>VLOOKUP($A70,'Data shares'!$C:$FA,94)</f>
        <v>20190000</v>
      </c>
      <c r="L70" s="86">
        <f>VLOOKUP($A70,'Data shares'!$C:$FA,96)</f>
        <v>595000</v>
      </c>
      <c r="M70" s="87">
        <f>VLOOKUP($A70,'Data shares'!$C:$FA,97)</f>
        <v>3.04E-2</v>
      </c>
      <c r="N70" s="86">
        <f>VLOOKUP($A70,'Data shares'!$C:$FA,78)</f>
        <v>77350000</v>
      </c>
      <c r="O70" s="87">
        <f>VLOOKUP($A70,'Data shares'!$C:$FA,81)</f>
        <v>7.4999999999999997E-3</v>
      </c>
    </row>
    <row r="71" spans="1:15" x14ac:dyDescent="0.25">
      <c r="A71" s="100" t="str">
        <f>'Data Vlaue (Cr)'!C66</f>
        <v>FINNIFTY</v>
      </c>
      <c r="B71" s="82">
        <f>VLOOKUP(A71,'Data shares'!$C$2:$CV$216,98,0)</f>
        <v>371460</v>
      </c>
      <c r="C71" s="82">
        <f>VLOOKUP(A71,'Data shares'!$C$2:$CX$216,100,0)</f>
        <v>60180</v>
      </c>
      <c r="D71" s="141">
        <f>VLOOKUP(A71,'Data shares'!$C$2:$CY$539,101,0)</f>
        <v>0.1933</v>
      </c>
      <c r="E71" s="86">
        <f>VLOOKUP($A71,'Data shares'!$C:$FA,74)</f>
        <v>28140</v>
      </c>
      <c r="F71" s="86">
        <f>VLOOKUP($A71,'Data shares'!$C:$FA,76)</f>
        <v>-360</v>
      </c>
      <c r="G71" s="87">
        <f>VLOOKUP(A71,'Data shares'!$C$2:$CA$216,77,0)</f>
        <v>-1.26E-2</v>
      </c>
      <c r="H71" s="86">
        <f>VLOOKUP($A71,'Data shares'!$C:$FA,90)</f>
        <v>191340</v>
      </c>
      <c r="I71" s="86">
        <f>VLOOKUP($A71,'Data shares'!$C:$FA,92)</f>
        <v>24600</v>
      </c>
      <c r="J71" s="87">
        <f>VLOOKUP($A71,'Data shares'!$C:$FA,93)</f>
        <v>0.14749999999999999</v>
      </c>
      <c r="K71" s="86">
        <f>VLOOKUP($A71,'Data shares'!$C:$FA,94)</f>
        <v>151980</v>
      </c>
      <c r="L71" s="86">
        <f>VLOOKUP($A71,'Data shares'!$C:$FA,96)</f>
        <v>35940</v>
      </c>
      <c r="M71" s="87">
        <f>VLOOKUP($A71,'Data shares'!$C:$FA,97)</f>
        <v>0.30969999999999998</v>
      </c>
      <c r="N71" s="86">
        <f>VLOOKUP($A71,'Data shares'!$C:$FA,78)</f>
        <v>28140</v>
      </c>
      <c r="O71" s="87">
        <f>VLOOKUP($A71,'Data shares'!$C:$FA,81)</f>
        <v>-1.26E-2</v>
      </c>
    </row>
    <row r="72" spans="1:15" x14ac:dyDescent="0.25">
      <c r="A72" s="100" t="str">
        <f>'Data Vlaue (Cr)'!C67</f>
        <v>FORCEMOT</v>
      </c>
      <c r="B72" s="82">
        <f>VLOOKUP(A72,'Data shares'!$C$2:$CV$216,98,0)</f>
        <v>519850</v>
      </c>
      <c r="C72" s="82">
        <f>VLOOKUP(A72,'Data shares'!$C$2:$CX$216,100,0)</f>
        <v>12975</v>
      </c>
      <c r="D72" s="141">
        <f>VLOOKUP(A72,'Data shares'!$C$2:$CY$539,101,0)</f>
        <v>2.5600000000000001E-2</v>
      </c>
      <c r="E72" s="86">
        <f>VLOOKUP($A72,'Data shares'!$C:$FA,74)</f>
        <v>293725</v>
      </c>
      <c r="F72" s="86">
        <f>VLOOKUP($A72,'Data shares'!$C:$FA,76)</f>
        <v>2025</v>
      </c>
      <c r="G72" s="87">
        <f>VLOOKUP(A72,'Data shares'!$C$2:$CA$216,77,0)</f>
        <v>6.8999999999999999E-3</v>
      </c>
      <c r="H72" s="86">
        <f>VLOOKUP($A72,'Data shares'!$C:$FA,90)</f>
        <v>156000</v>
      </c>
      <c r="I72" s="86">
        <f>VLOOKUP($A72,'Data shares'!$C:$FA,92)</f>
        <v>-4900</v>
      </c>
      <c r="J72" s="87">
        <f>VLOOKUP($A72,'Data shares'!$C:$FA,93)</f>
        <v>-3.0499999999999999E-2</v>
      </c>
      <c r="K72" s="86">
        <f>VLOOKUP($A72,'Data shares'!$C:$FA,94)</f>
        <v>70125</v>
      </c>
      <c r="L72" s="86">
        <f>VLOOKUP($A72,'Data shares'!$C:$FA,96)</f>
        <v>15850</v>
      </c>
      <c r="M72" s="87">
        <f>VLOOKUP($A72,'Data shares'!$C:$FA,97)</f>
        <v>0.29199999999999998</v>
      </c>
      <c r="N72" s="86">
        <f>VLOOKUP($A72,'Data shares'!$C:$FA,78)</f>
        <v>268575</v>
      </c>
      <c r="O72" s="87">
        <f>VLOOKUP($A72,'Data shares'!$C:$FA,81)</f>
        <v>-2.58E-2</v>
      </c>
    </row>
    <row r="73" spans="1:15" x14ac:dyDescent="0.25">
      <c r="A73" s="100" t="str">
        <f>'Data Vlaue (Cr)'!C68</f>
        <v>FORTIS</v>
      </c>
      <c r="B73" s="82">
        <f>VLOOKUP(A73,'Data shares'!$C$2:$CV$216,98,0)</f>
        <v>12113250</v>
      </c>
      <c r="C73" s="82">
        <f>VLOOKUP(A73,'Data shares'!$C$2:$CX$216,100,0)</f>
        <v>207700</v>
      </c>
      <c r="D73" s="141">
        <f>VLOOKUP(A73,'Data shares'!$C$2:$CY$539,101,0)</f>
        <v>1.7399999999999999E-2</v>
      </c>
      <c r="E73" s="86">
        <f>VLOOKUP($A73,'Data shares'!$C:$FA,74)</f>
        <v>9399975</v>
      </c>
      <c r="F73" s="86">
        <f>VLOOKUP($A73,'Data shares'!$C:$FA,76)</f>
        <v>-32550</v>
      </c>
      <c r="G73" s="87">
        <f>VLOOKUP(A73,'Data shares'!$C$2:$CA$216,77,0)</f>
        <v>-3.5000000000000001E-3</v>
      </c>
      <c r="H73" s="86">
        <f>VLOOKUP($A73,'Data shares'!$C:$FA,90)</f>
        <v>1937500</v>
      </c>
      <c r="I73" s="86">
        <f>VLOOKUP($A73,'Data shares'!$C:$FA,92)</f>
        <v>285975</v>
      </c>
      <c r="J73" s="87">
        <f>VLOOKUP($A73,'Data shares'!$C:$FA,93)</f>
        <v>0.17319999999999999</v>
      </c>
      <c r="K73" s="86">
        <f>VLOOKUP($A73,'Data shares'!$C:$FA,94)</f>
        <v>775775</v>
      </c>
      <c r="L73" s="86">
        <f>VLOOKUP($A73,'Data shares'!$C:$FA,96)</f>
        <v>-45725</v>
      </c>
      <c r="M73" s="87">
        <f>VLOOKUP($A73,'Data shares'!$C:$FA,97)</f>
        <v>-5.57E-2</v>
      </c>
      <c r="N73" s="86">
        <f>VLOOKUP($A73,'Data shares'!$C:$FA,78)</f>
        <v>7477975</v>
      </c>
      <c r="O73" s="87">
        <f>VLOOKUP($A73,'Data shares'!$C:$FA,81)</f>
        <v>-5.3E-3</v>
      </c>
    </row>
    <row r="74" spans="1:15" x14ac:dyDescent="0.25">
      <c r="A74" s="100" t="str">
        <f>'Data Vlaue (Cr)'!C69</f>
        <v>GAIL</v>
      </c>
      <c r="B74" s="82">
        <f>VLOOKUP(A74,'Data shares'!$C$2:$CV$216,98,0)</f>
        <v>113460850</v>
      </c>
      <c r="C74" s="82">
        <f>VLOOKUP(A74,'Data shares'!$C$2:$CX$216,100,0)</f>
        <v>3310750</v>
      </c>
      <c r="D74" s="141">
        <f>VLOOKUP(A74,'Data shares'!$C$2:$CY$539,101,0)</f>
        <v>3.0099999999999998E-2</v>
      </c>
      <c r="E74" s="86">
        <f>VLOOKUP($A74,'Data shares'!$C:$FA,74)</f>
        <v>74419750</v>
      </c>
      <c r="F74" s="86">
        <f>VLOOKUP($A74,'Data shares'!$C:$FA,76)</f>
        <v>289900</v>
      </c>
      <c r="G74" s="87">
        <f>VLOOKUP(A74,'Data shares'!$C$2:$CA$216,77,0)</f>
        <v>3.8999999999999998E-3</v>
      </c>
      <c r="H74" s="86">
        <f>VLOOKUP($A74,'Data shares'!$C:$FA,90)</f>
        <v>19999350</v>
      </c>
      <c r="I74" s="86">
        <f>VLOOKUP($A74,'Data shares'!$C:$FA,92)</f>
        <v>2286900</v>
      </c>
      <c r="J74" s="87">
        <f>VLOOKUP($A74,'Data shares'!$C:$FA,93)</f>
        <v>0.12909999999999999</v>
      </c>
      <c r="K74" s="86">
        <f>VLOOKUP($A74,'Data shares'!$C:$FA,94)</f>
        <v>19041750</v>
      </c>
      <c r="L74" s="86">
        <f>VLOOKUP($A74,'Data shares'!$C:$FA,96)</f>
        <v>733950</v>
      </c>
      <c r="M74" s="87">
        <f>VLOOKUP($A74,'Data shares'!$C:$FA,97)</f>
        <v>4.0099999999999997E-2</v>
      </c>
      <c r="N74" s="86">
        <f>VLOOKUP($A74,'Data shares'!$C:$FA,78)</f>
        <v>68332950</v>
      </c>
      <c r="O74" s="87">
        <f>VLOOKUP($A74,'Data shares'!$C:$FA,81)</f>
        <v>3.3E-3</v>
      </c>
    </row>
    <row r="75" spans="1:15" x14ac:dyDescent="0.25">
      <c r="A75" s="100" t="str">
        <f>'Data Vlaue (Cr)'!C70</f>
        <v>GLENMARK</v>
      </c>
      <c r="B75" s="82">
        <f>VLOOKUP(A75,'Data shares'!$C$2:$CV$216,98,0)</f>
        <v>14232000</v>
      </c>
      <c r="C75" s="82">
        <f>VLOOKUP(A75,'Data shares'!$C$2:$CX$216,100,0)</f>
        <v>279375</v>
      </c>
      <c r="D75" s="141">
        <f>VLOOKUP(A75,'Data shares'!$C$2:$CY$539,101,0)</f>
        <v>0.02</v>
      </c>
      <c r="E75" s="86">
        <f>VLOOKUP($A75,'Data shares'!$C:$FA,74)</f>
        <v>11016375</v>
      </c>
      <c r="F75" s="86">
        <f>VLOOKUP($A75,'Data shares'!$C:$FA,76)</f>
        <v>-223125</v>
      </c>
      <c r="G75" s="87">
        <f>VLOOKUP(A75,'Data shares'!$C$2:$CA$216,77,0)</f>
        <v>-1.9900000000000001E-2</v>
      </c>
      <c r="H75" s="86">
        <f>VLOOKUP($A75,'Data shares'!$C:$FA,90)</f>
        <v>2174250</v>
      </c>
      <c r="I75" s="86">
        <f>VLOOKUP($A75,'Data shares'!$C:$FA,92)</f>
        <v>450000</v>
      </c>
      <c r="J75" s="87">
        <f>VLOOKUP($A75,'Data shares'!$C:$FA,93)</f>
        <v>0.26100000000000001</v>
      </c>
      <c r="K75" s="86">
        <f>VLOOKUP($A75,'Data shares'!$C:$FA,94)</f>
        <v>1041375</v>
      </c>
      <c r="L75" s="86">
        <f>VLOOKUP($A75,'Data shares'!$C:$FA,96)</f>
        <v>52500</v>
      </c>
      <c r="M75" s="87">
        <f>VLOOKUP($A75,'Data shares'!$C:$FA,97)</f>
        <v>5.3100000000000001E-2</v>
      </c>
      <c r="N75" s="86">
        <f>VLOOKUP($A75,'Data shares'!$C:$FA,78)</f>
        <v>10954125</v>
      </c>
      <c r="O75" s="87">
        <f>VLOOKUP($A75,'Data shares'!$C:$FA,81)</f>
        <v>-2.0400000000000001E-2</v>
      </c>
    </row>
    <row r="76" spans="1:15" x14ac:dyDescent="0.25">
      <c r="A76" s="100" t="str">
        <f>'Data Vlaue (Cr)'!C71</f>
        <v>GMRAIRPORT</v>
      </c>
      <c r="B76" s="82">
        <f>VLOOKUP(A76,'Data shares'!$C$2:$CV$216,98,0)</f>
        <v>241565175</v>
      </c>
      <c r="C76" s="82">
        <f>VLOOKUP(A76,'Data shares'!$C$2:$CX$216,100,0)</f>
        <v>9813825</v>
      </c>
      <c r="D76" s="141">
        <f>VLOOKUP(A76,'Data shares'!$C$2:$CY$539,101,0)</f>
        <v>4.2299999999999997E-2</v>
      </c>
      <c r="E76" s="86">
        <f>VLOOKUP($A76,'Data shares'!$C:$FA,74)</f>
        <v>139325625</v>
      </c>
      <c r="F76" s="86">
        <f>VLOOKUP($A76,'Data shares'!$C:$FA,76)</f>
        <v>4610475</v>
      </c>
      <c r="G76" s="87">
        <f>VLOOKUP(A76,'Data shares'!$C$2:$CA$216,77,0)</f>
        <v>3.4200000000000001E-2</v>
      </c>
      <c r="H76" s="86">
        <f>VLOOKUP($A76,'Data shares'!$C:$FA,90)</f>
        <v>63570150</v>
      </c>
      <c r="I76" s="86">
        <f>VLOOKUP($A76,'Data shares'!$C:$FA,92)</f>
        <v>2252925</v>
      </c>
      <c r="J76" s="87">
        <f>VLOOKUP($A76,'Data shares'!$C:$FA,93)</f>
        <v>3.6700000000000003E-2</v>
      </c>
      <c r="K76" s="86">
        <f>VLOOKUP($A76,'Data shares'!$C:$FA,94)</f>
        <v>38669400</v>
      </c>
      <c r="L76" s="86">
        <f>VLOOKUP($A76,'Data shares'!$C:$FA,96)</f>
        <v>2950425</v>
      </c>
      <c r="M76" s="87">
        <f>VLOOKUP($A76,'Data shares'!$C:$FA,97)</f>
        <v>8.2600000000000007E-2</v>
      </c>
      <c r="N76" s="86">
        <f>VLOOKUP($A76,'Data shares'!$C:$FA,78)</f>
        <v>131925150</v>
      </c>
      <c r="O76" s="87">
        <f>VLOOKUP($A76,'Data shares'!$C:$FA,81)</f>
        <v>3.5000000000000003E-2</v>
      </c>
    </row>
    <row r="77" spans="1:15" x14ac:dyDescent="0.25">
      <c r="A77" s="100" t="str">
        <f>'Data Vlaue (Cr)'!C72</f>
        <v>GODFRYPHLP</v>
      </c>
      <c r="B77" s="82">
        <f>VLOOKUP(A77,'Data shares'!$C$2:$CV$216,98,0)</f>
        <v>2909775</v>
      </c>
      <c r="C77" s="82">
        <f>VLOOKUP(A77,'Data shares'!$C$2:$CX$216,100,0)</f>
        <v>386100</v>
      </c>
      <c r="D77" s="141">
        <f>VLOOKUP(A77,'Data shares'!$C$2:$CY$539,101,0)</f>
        <v>0.153</v>
      </c>
      <c r="E77" s="86">
        <f>VLOOKUP($A77,'Data shares'!$C:$FA,74)</f>
        <v>1883475</v>
      </c>
      <c r="F77" s="86">
        <f>VLOOKUP($A77,'Data shares'!$C:$FA,76)</f>
        <v>171875</v>
      </c>
      <c r="G77" s="87">
        <f>VLOOKUP(A77,'Data shares'!$C$2:$CA$216,77,0)</f>
        <v>0.1004</v>
      </c>
      <c r="H77" s="86">
        <f>VLOOKUP($A77,'Data shares'!$C:$FA,90)</f>
        <v>644325</v>
      </c>
      <c r="I77" s="86">
        <f>VLOOKUP($A77,'Data shares'!$C:$FA,92)</f>
        <v>66000</v>
      </c>
      <c r="J77" s="87">
        <f>VLOOKUP($A77,'Data shares'!$C:$FA,93)</f>
        <v>0.11409999999999999</v>
      </c>
      <c r="K77" s="86">
        <f>VLOOKUP($A77,'Data shares'!$C:$FA,94)</f>
        <v>381975</v>
      </c>
      <c r="L77" s="86">
        <f>VLOOKUP($A77,'Data shares'!$C:$FA,96)</f>
        <v>148225</v>
      </c>
      <c r="M77" s="87">
        <f>VLOOKUP($A77,'Data shares'!$C:$FA,97)</f>
        <v>0.6341</v>
      </c>
      <c r="N77" s="86">
        <f>VLOOKUP($A77,'Data shares'!$C:$FA,78)</f>
        <v>1827375</v>
      </c>
      <c r="O77" s="87">
        <f>VLOOKUP($A77,'Data shares'!$C:$FA,81)</f>
        <v>9.6500000000000002E-2</v>
      </c>
    </row>
    <row r="78" spans="1:15" x14ac:dyDescent="0.25">
      <c r="A78" s="100" t="str">
        <f>'Data Vlaue (Cr)'!C73</f>
        <v>GODREJCP</v>
      </c>
      <c r="B78" s="82">
        <f>VLOOKUP(A78,'Data shares'!$C$2:$CV$216,98,0)</f>
        <v>17814000</v>
      </c>
      <c r="C78" s="82">
        <f>VLOOKUP(A78,'Data shares'!$C$2:$CX$216,100,0)</f>
        <v>2616000</v>
      </c>
      <c r="D78" s="141">
        <f>VLOOKUP(A78,'Data shares'!$C$2:$CY$539,101,0)</f>
        <v>0.1721</v>
      </c>
      <c r="E78" s="86">
        <f>VLOOKUP($A78,'Data shares'!$C:$FA,74)</f>
        <v>13359000</v>
      </c>
      <c r="F78" s="86">
        <f>VLOOKUP($A78,'Data shares'!$C:$FA,76)</f>
        <v>505500</v>
      </c>
      <c r="G78" s="87">
        <f>VLOOKUP(A78,'Data shares'!$C$2:$CA$216,77,0)</f>
        <v>3.9300000000000002E-2</v>
      </c>
      <c r="H78" s="86">
        <f>VLOOKUP($A78,'Data shares'!$C:$FA,90)</f>
        <v>2926000</v>
      </c>
      <c r="I78" s="86">
        <f>VLOOKUP($A78,'Data shares'!$C:$FA,92)</f>
        <v>1566500</v>
      </c>
      <c r="J78" s="87">
        <f>VLOOKUP($A78,'Data shares'!$C:$FA,93)</f>
        <v>1.1523000000000001</v>
      </c>
      <c r="K78" s="86">
        <f>VLOOKUP($A78,'Data shares'!$C:$FA,94)</f>
        <v>1529000</v>
      </c>
      <c r="L78" s="86">
        <f>VLOOKUP($A78,'Data shares'!$C:$FA,96)</f>
        <v>544000</v>
      </c>
      <c r="M78" s="87">
        <f>VLOOKUP($A78,'Data shares'!$C:$FA,97)</f>
        <v>0.55230000000000001</v>
      </c>
      <c r="N78" s="86">
        <f>VLOOKUP($A78,'Data shares'!$C:$FA,78)</f>
        <v>12629000</v>
      </c>
      <c r="O78" s="87">
        <f>VLOOKUP($A78,'Data shares'!$C:$FA,81)</f>
        <v>3.9800000000000002E-2</v>
      </c>
    </row>
    <row r="79" spans="1:15" x14ac:dyDescent="0.25">
      <c r="A79" s="100" t="str">
        <f>'Data Vlaue (Cr)'!C74</f>
        <v>GODREJPROP</v>
      </c>
      <c r="B79" s="82">
        <f>VLOOKUP(A79,'Data shares'!$C$2:$CV$216,98,0)</f>
        <v>12541275</v>
      </c>
      <c r="C79" s="82">
        <f>VLOOKUP(A79,'Data shares'!$C$2:$CX$216,100,0)</f>
        <v>-804975</v>
      </c>
      <c r="D79" s="141">
        <f>VLOOKUP(A79,'Data shares'!$C$2:$CY$539,101,0)</f>
        <v>-6.0299999999999999E-2</v>
      </c>
      <c r="E79" s="86">
        <f>VLOOKUP($A79,'Data shares'!$C:$FA,74)</f>
        <v>7969625</v>
      </c>
      <c r="F79" s="86">
        <f>VLOOKUP($A79,'Data shares'!$C:$FA,76)</f>
        <v>-122700</v>
      </c>
      <c r="G79" s="87">
        <f>VLOOKUP(A79,'Data shares'!$C$2:$CA$216,77,0)</f>
        <v>-1.52E-2</v>
      </c>
      <c r="H79" s="86">
        <f>VLOOKUP($A79,'Data shares'!$C:$FA,90)</f>
        <v>2878200</v>
      </c>
      <c r="I79" s="86">
        <f>VLOOKUP($A79,'Data shares'!$C:$FA,92)</f>
        <v>-554675</v>
      </c>
      <c r="J79" s="87">
        <f>VLOOKUP($A79,'Data shares'!$C:$FA,93)</f>
        <v>-0.16159999999999999</v>
      </c>
      <c r="K79" s="86">
        <f>VLOOKUP($A79,'Data shares'!$C:$FA,94)</f>
        <v>1693450</v>
      </c>
      <c r="L79" s="86">
        <f>VLOOKUP($A79,'Data shares'!$C:$FA,96)</f>
        <v>-127600</v>
      </c>
      <c r="M79" s="87">
        <f>VLOOKUP($A79,'Data shares'!$C:$FA,97)</f>
        <v>-7.0099999999999996E-2</v>
      </c>
      <c r="N79" s="86">
        <f>VLOOKUP($A79,'Data shares'!$C:$FA,78)</f>
        <v>7135975</v>
      </c>
      <c r="O79" s="87">
        <f>VLOOKUP($A79,'Data shares'!$C:$FA,81)</f>
        <v>-1.5699999999999999E-2</v>
      </c>
    </row>
    <row r="80" spans="1:15" x14ac:dyDescent="0.25">
      <c r="A80" s="100" t="str">
        <f>'Data Vlaue (Cr)'!C75</f>
        <v>GRASIM</v>
      </c>
      <c r="B80" s="82">
        <f>VLOOKUP(A80,'Data shares'!$C$2:$CV$216,98,0)</f>
        <v>16986000</v>
      </c>
      <c r="C80" s="82">
        <f>VLOOKUP(A80,'Data shares'!$C$2:$CX$216,100,0)</f>
        <v>268000</v>
      </c>
      <c r="D80" s="141">
        <f>VLOOKUP(A80,'Data shares'!$C$2:$CY$539,101,0)</f>
        <v>1.6E-2</v>
      </c>
      <c r="E80" s="86">
        <f>VLOOKUP($A80,'Data shares'!$C:$FA,74)</f>
        <v>14974250</v>
      </c>
      <c r="F80" s="86">
        <f>VLOOKUP($A80,'Data shares'!$C:$FA,76)</f>
        <v>210750</v>
      </c>
      <c r="G80" s="87">
        <f>VLOOKUP(A80,'Data shares'!$C$2:$CA$216,77,0)</f>
        <v>1.43E-2</v>
      </c>
      <c r="H80" s="86">
        <f>VLOOKUP($A80,'Data shares'!$C:$FA,90)</f>
        <v>1187750</v>
      </c>
      <c r="I80" s="86">
        <f>VLOOKUP($A80,'Data shares'!$C:$FA,92)</f>
        <v>16750</v>
      </c>
      <c r="J80" s="87">
        <f>VLOOKUP($A80,'Data shares'!$C:$FA,93)</f>
        <v>1.43E-2</v>
      </c>
      <c r="K80" s="86">
        <f>VLOOKUP($A80,'Data shares'!$C:$FA,94)</f>
        <v>824000</v>
      </c>
      <c r="L80" s="86">
        <f>VLOOKUP($A80,'Data shares'!$C:$FA,96)</f>
        <v>40500</v>
      </c>
      <c r="M80" s="87">
        <f>VLOOKUP($A80,'Data shares'!$C:$FA,97)</f>
        <v>5.1700000000000003E-2</v>
      </c>
      <c r="N80" s="86">
        <f>VLOOKUP($A80,'Data shares'!$C:$FA,78)</f>
        <v>14148000</v>
      </c>
      <c r="O80" s="87">
        <f>VLOOKUP($A80,'Data shares'!$C:$FA,81)</f>
        <v>1.4200000000000001E-2</v>
      </c>
    </row>
    <row r="81" spans="1:15" x14ac:dyDescent="0.25">
      <c r="A81" s="100" t="str">
        <f>'Data Vlaue (Cr)'!C76</f>
        <v>HAL</v>
      </c>
      <c r="B81" s="82">
        <f>VLOOKUP(A81,'Data shares'!$C$2:$CV$216,98,0)</f>
        <v>11207550</v>
      </c>
      <c r="C81" s="82">
        <f>VLOOKUP(A81,'Data shares'!$C$2:$CX$216,100,0)</f>
        <v>-98850</v>
      </c>
      <c r="D81" s="141">
        <f>VLOOKUP(A81,'Data shares'!$C$2:$CY$539,101,0)</f>
        <v>-8.6999999999999994E-3</v>
      </c>
      <c r="E81" s="86">
        <f>VLOOKUP($A81,'Data shares'!$C:$FA,74)</f>
        <v>6610200</v>
      </c>
      <c r="F81" s="86">
        <f>VLOOKUP($A81,'Data shares'!$C:$FA,76)</f>
        <v>-90450</v>
      </c>
      <c r="G81" s="87">
        <f>VLOOKUP(A81,'Data shares'!$C$2:$CA$216,77,0)</f>
        <v>-1.35E-2</v>
      </c>
      <c r="H81" s="86">
        <f>VLOOKUP($A81,'Data shares'!$C:$FA,90)</f>
        <v>2608050</v>
      </c>
      <c r="I81" s="86">
        <f>VLOOKUP($A81,'Data shares'!$C:$FA,92)</f>
        <v>61500</v>
      </c>
      <c r="J81" s="87">
        <f>VLOOKUP($A81,'Data shares'!$C:$FA,93)</f>
        <v>2.4199999999999999E-2</v>
      </c>
      <c r="K81" s="86">
        <f>VLOOKUP($A81,'Data shares'!$C:$FA,94)</f>
        <v>1989300</v>
      </c>
      <c r="L81" s="86">
        <f>VLOOKUP($A81,'Data shares'!$C:$FA,96)</f>
        <v>-69900</v>
      </c>
      <c r="M81" s="87">
        <f>VLOOKUP($A81,'Data shares'!$C:$FA,97)</f>
        <v>-3.39E-2</v>
      </c>
      <c r="N81" s="86">
        <f>VLOOKUP($A81,'Data shares'!$C:$FA,78)</f>
        <v>5695650</v>
      </c>
      <c r="O81" s="87">
        <f>VLOOKUP($A81,'Data shares'!$C:$FA,81)</f>
        <v>-1.78E-2</v>
      </c>
    </row>
    <row r="82" spans="1:15" x14ac:dyDescent="0.25">
      <c r="A82" s="100" t="str">
        <f>'Data Vlaue (Cr)'!C77</f>
        <v>HAVELLS</v>
      </c>
      <c r="B82" s="82">
        <f>VLOOKUP(A82,'Data shares'!$C$2:$CV$216,98,0)</f>
        <v>18218000</v>
      </c>
      <c r="C82" s="82">
        <f>VLOOKUP(A82,'Data shares'!$C$2:$CX$216,100,0)</f>
        <v>-76500</v>
      </c>
      <c r="D82" s="141">
        <f>VLOOKUP(A82,'Data shares'!$C$2:$CY$539,101,0)</f>
        <v>-4.1999999999999997E-3</v>
      </c>
      <c r="E82" s="86">
        <f>VLOOKUP($A82,'Data shares'!$C:$FA,74)</f>
        <v>10284500</v>
      </c>
      <c r="F82" s="86">
        <f>VLOOKUP($A82,'Data shares'!$C:$FA,76)</f>
        <v>-278500</v>
      </c>
      <c r="G82" s="87">
        <f>VLOOKUP(A82,'Data shares'!$C$2:$CA$216,77,0)</f>
        <v>-2.64E-2</v>
      </c>
      <c r="H82" s="86">
        <f>VLOOKUP($A82,'Data shares'!$C:$FA,90)</f>
        <v>5577000</v>
      </c>
      <c r="I82" s="86">
        <f>VLOOKUP($A82,'Data shares'!$C:$FA,92)</f>
        <v>206000</v>
      </c>
      <c r="J82" s="87">
        <f>VLOOKUP($A82,'Data shares'!$C:$FA,93)</f>
        <v>3.8399999999999997E-2</v>
      </c>
      <c r="K82" s="86">
        <f>VLOOKUP($A82,'Data shares'!$C:$FA,94)</f>
        <v>2356500</v>
      </c>
      <c r="L82" s="86">
        <f>VLOOKUP($A82,'Data shares'!$C:$FA,96)</f>
        <v>-4000</v>
      </c>
      <c r="M82" s="87">
        <f>VLOOKUP($A82,'Data shares'!$C:$FA,97)</f>
        <v>-1.6999999999999999E-3</v>
      </c>
      <c r="N82" s="86">
        <f>VLOOKUP($A82,'Data shares'!$C:$FA,78)</f>
        <v>9770000</v>
      </c>
      <c r="O82" s="87">
        <f>VLOOKUP($A82,'Data shares'!$C:$FA,81)</f>
        <v>-2.9600000000000001E-2</v>
      </c>
    </row>
    <row r="83" spans="1:15" x14ac:dyDescent="0.25">
      <c r="A83" s="100" t="str">
        <f>'Data Vlaue (Cr)'!C78</f>
        <v>HCLTECH</v>
      </c>
      <c r="B83" s="82">
        <f>VLOOKUP(A83,'Data shares'!$C$2:$CV$216,98,0)</f>
        <v>81157850</v>
      </c>
      <c r="C83" s="82">
        <f>VLOOKUP(A83,'Data shares'!$C$2:$CX$216,100,0)</f>
        <v>3415700</v>
      </c>
      <c r="D83" s="141">
        <f>VLOOKUP(A83,'Data shares'!$C$2:$CY$539,101,0)</f>
        <v>4.3900000000000002E-2</v>
      </c>
      <c r="E83" s="86">
        <f>VLOOKUP($A83,'Data shares'!$C:$FA,74)</f>
        <v>45109850</v>
      </c>
      <c r="F83" s="86">
        <f>VLOOKUP($A83,'Data shares'!$C:$FA,76)</f>
        <v>1256500</v>
      </c>
      <c r="G83" s="87">
        <f>VLOOKUP(A83,'Data shares'!$C$2:$CA$216,77,0)</f>
        <v>2.87E-2</v>
      </c>
      <c r="H83" s="86">
        <f>VLOOKUP($A83,'Data shares'!$C:$FA,90)</f>
        <v>24207100</v>
      </c>
      <c r="I83" s="86">
        <f>VLOOKUP($A83,'Data shares'!$C:$FA,92)</f>
        <v>2032150</v>
      </c>
      <c r="J83" s="87">
        <f>VLOOKUP($A83,'Data shares'!$C:$FA,93)</f>
        <v>9.1600000000000001E-2</v>
      </c>
      <c r="K83" s="86">
        <f>VLOOKUP($A83,'Data shares'!$C:$FA,94)</f>
        <v>11840900</v>
      </c>
      <c r="L83" s="86">
        <f>VLOOKUP($A83,'Data shares'!$C:$FA,96)</f>
        <v>127050</v>
      </c>
      <c r="M83" s="87">
        <f>VLOOKUP($A83,'Data shares'!$C:$FA,97)</f>
        <v>1.0800000000000001E-2</v>
      </c>
      <c r="N83" s="86">
        <f>VLOOKUP($A83,'Data shares'!$C:$FA,78)</f>
        <v>42517300</v>
      </c>
      <c r="O83" s="87">
        <f>VLOOKUP($A83,'Data shares'!$C:$FA,81)</f>
        <v>2.1600000000000001E-2</v>
      </c>
    </row>
    <row r="84" spans="1:15" x14ac:dyDescent="0.25">
      <c r="A84" s="100" t="str">
        <f>'Data Vlaue (Cr)'!C79</f>
        <v>HDFCAMC</v>
      </c>
      <c r="B84" s="82">
        <f>VLOOKUP(A84,'Data shares'!$C$2:$CV$216,98,0)</f>
        <v>8079000</v>
      </c>
      <c r="C84" s="82">
        <f>VLOOKUP(A84,'Data shares'!$C$2:$CX$216,100,0)</f>
        <v>249600</v>
      </c>
      <c r="D84" s="141">
        <f>VLOOKUP(A84,'Data shares'!$C$2:$CY$539,101,0)</f>
        <v>3.1899999999999998E-2</v>
      </c>
      <c r="E84" s="86">
        <f>VLOOKUP($A84,'Data shares'!$C:$FA,74)</f>
        <v>6024600</v>
      </c>
      <c r="F84" s="86">
        <f>VLOOKUP($A84,'Data shares'!$C:$FA,76)</f>
        <v>219900</v>
      </c>
      <c r="G84" s="87">
        <f>VLOOKUP(A84,'Data shares'!$C$2:$CA$216,77,0)</f>
        <v>3.7900000000000003E-2</v>
      </c>
      <c r="H84" s="86">
        <f>VLOOKUP($A84,'Data shares'!$C:$FA,90)</f>
        <v>1273200</v>
      </c>
      <c r="I84" s="86">
        <f>VLOOKUP($A84,'Data shares'!$C:$FA,92)</f>
        <v>-26100</v>
      </c>
      <c r="J84" s="87">
        <f>VLOOKUP($A84,'Data shares'!$C:$FA,93)</f>
        <v>-2.01E-2</v>
      </c>
      <c r="K84" s="86">
        <f>VLOOKUP($A84,'Data shares'!$C:$FA,94)</f>
        <v>781200</v>
      </c>
      <c r="L84" s="86">
        <f>VLOOKUP($A84,'Data shares'!$C:$FA,96)</f>
        <v>55800</v>
      </c>
      <c r="M84" s="87">
        <f>VLOOKUP($A84,'Data shares'!$C:$FA,97)</f>
        <v>7.6899999999999996E-2</v>
      </c>
      <c r="N84" s="86">
        <f>VLOOKUP($A84,'Data shares'!$C:$FA,78)</f>
        <v>5932200</v>
      </c>
      <c r="O84" s="87">
        <f>VLOOKUP($A84,'Data shares'!$C:$FA,81)</f>
        <v>3.8600000000000002E-2</v>
      </c>
    </row>
    <row r="85" spans="1:15" x14ac:dyDescent="0.25">
      <c r="A85" s="100" t="str">
        <f>'Data Vlaue (Cr)'!C80</f>
        <v>HDFCBANK</v>
      </c>
      <c r="B85" s="82">
        <f>VLOOKUP(A85,'Data shares'!$C$2:$CV$216,98,0)</f>
        <v>454610550</v>
      </c>
      <c r="C85" s="82">
        <f>VLOOKUP(A85,'Data shares'!$C$2:$CX$216,100,0)</f>
        <v>7894150</v>
      </c>
      <c r="D85" s="141">
        <f>VLOOKUP(A85,'Data shares'!$C$2:$CY$539,101,0)</f>
        <v>1.77E-2</v>
      </c>
      <c r="E85" s="86">
        <f>VLOOKUP($A85,'Data shares'!$C:$FA,74)</f>
        <v>343287250</v>
      </c>
      <c r="F85" s="86">
        <f>VLOOKUP($A85,'Data shares'!$C:$FA,76)</f>
        <v>3337100</v>
      </c>
      <c r="G85" s="87">
        <f>VLOOKUP(A85,'Data shares'!$C$2:$CA$216,77,0)</f>
        <v>9.7999999999999997E-3</v>
      </c>
      <c r="H85" s="86">
        <f>VLOOKUP($A85,'Data shares'!$C:$FA,90)</f>
        <v>69743050</v>
      </c>
      <c r="I85" s="86">
        <f>VLOOKUP($A85,'Data shares'!$C:$FA,92)</f>
        <v>756650</v>
      </c>
      <c r="J85" s="87">
        <f>VLOOKUP($A85,'Data shares'!$C:$FA,93)</f>
        <v>1.0999999999999999E-2</v>
      </c>
      <c r="K85" s="86">
        <f>VLOOKUP($A85,'Data shares'!$C:$FA,94)</f>
        <v>41580250</v>
      </c>
      <c r="L85" s="86">
        <f>VLOOKUP($A85,'Data shares'!$C:$FA,96)</f>
        <v>3800400</v>
      </c>
      <c r="M85" s="87">
        <f>VLOOKUP($A85,'Data shares'!$C:$FA,97)</f>
        <v>0.10059999999999999</v>
      </c>
      <c r="N85" s="86">
        <f>VLOOKUP($A85,'Data shares'!$C:$FA,78)</f>
        <v>259015900</v>
      </c>
      <c r="O85" s="87">
        <f>VLOOKUP($A85,'Data shares'!$C:$FA,81)</f>
        <v>8.0000000000000002E-3</v>
      </c>
    </row>
    <row r="86" spans="1:15" x14ac:dyDescent="0.25">
      <c r="A86" s="100" t="str">
        <f>'Data Vlaue (Cr)'!C81</f>
        <v>HDFCLIFE</v>
      </c>
      <c r="B86" s="82">
        <f>VLOOKUP(A86,'Data shares'!$C$2:$CV$216,98,0)</f>
        <v>78835900</v>
      </c>
      <c r="C86" s="82">
        <f>VLOOKUP(A86,'Data shares'!$C$2:$CX$216,100,0)</f>
        <v>9430300</v>
      </c>
      <c r="D86" s="141">
        <f>VLOOKUP(A86,'Data shares'!$C$2:$CY$539,101,0)</f>
        <v>0.13589999999999999</v>
      </c>
      <c r="E86" s="86">
        <f>VLOOKUP($A86,'Data shares'!$C:$FA,74)</f>
        <v>51716500</v>
      </c>
      <c r="F86" s="86">
        <f>VLOOKUP($A86,'Data shares'!$C:$FA,76)</f>
        <v>7397500</v>
      </c>
      <c r="G86" s="87">
        <f>VLOOKUP(A86,'Data shares'!$C$2:$CA$216,77,0)</f>
        <v>0.16689999999999999</v>
      </c>
      <c r="H86" s="86">
        <f>VLOOKUP($A86,'Data shares'!$C:$FA,90)</f>
        <v>17347000</v>
      </c>
      <c r="I86" s="86">
        <f>VLOOKUP($A86,'Data shares'!$C:$FA,92)</f>
        <v>1194600</v>
      </c>
      <c r="J86" s="87">
        <f>VLOOKUP($A86,'Data shares'!$C:$FA,93)</f>
        <v>7.3999999999999996E-2</v>
      </c>
      <c r="K86" s="86">
        <f>VLOOKUP($A86,'Data shares'!$C:$FA,94)</f>
        <v>9772400</v>
      </c>
      <c r="L86" s="86">
        <f>VLOOKUP($A86,'Data shares'!$C:$FA,96)</f>
        <v>838200</v>
      </c>
      <c r="M86" s="87">
        <f>VLOOKUP($A86,'Data shares'!$C:$FA,97)</f>
        <v>9.3799999999999994E-2</v>
      </c>
      <c r="N86" s="86">
        <f>VLOOKUP($A86,'Data shares'!$C:$FA,78)</f>
        <v>47158100</v>
      </c>
      <c r="O86" s="87">
        <f>VLOOKUP($A86,'Data shares'!$C:$FA,81)</f>
        <v>0.182</v>
      </c>
    </row>
    <row r="87" spans="1:15" x14ac:dyDescent="0.25">
      <c r="A87" s="100" t="str">
        <f>'Data Vlaue (Cr)'!C82</f>
        <v>HEROMOTOCO</v>
      </c>
      <c r="B87" s="82">
        <f>VLOOKUP(A87,'Data shares'!$C$2:$CV$216,98,0)</f>
        <v>8602050</v>
      </c>
      <c r="C87" s="82">
        <f>VLOOKUP(A87,'Data shares'!$C$2:$CX$216,100,0)</f>
        <v>512700</v>
      </c>
      <c r="D87" s="141">
        <f>VLOOKUP(A87,'Data shares'!$C$2:$CY$539,101,0)</f>
        <v>6.3399999999999998E-2</v>
      </c>
      <c r="E87" s="86">
        <f>VLOOKUP($A87,'Data shares'!$C:$FA,74)</f>
        <v>4491900</v>
      </c>
      <c r="F87" s="86">
        <f>VLOOKUP($A87,'Data shares'!$C:$FA,76)</f>
        <v>-190800</v>
      </c>
      <c r="G87" s="87">
        <f>VLOOKUP(A87,'Data shares'!$C$2:$CA$216,77,0)</f>
        <v>-4.07E-2</v>
      </c>
      <c r="H87" s="86">
        <f>VLOOKUP($A87,'Data shares'!$C:$FA,90)</f>
        <v>2649900</v>
      </c>
      <c r="I87" s="86">
        <f>VLOOKUP($A87,'Data shares'!$C:$FA,92)</f>
        <v>437400</v>
      </c>
      <c r="J87" s="87">
        <f>VLOOKUP($A87,'Data shares'!$C:$FA,93)</f>
        <v>0.19769999999999999</v>
      </c>
      <c r="K87" s="86">
        <f>VLOOKUP($A87,'Data shares'!$C:$FA,94)</f>
        <v>1460250</v>
      </c>
      <c r="L87" s="86">
        <f>VLOOKUP($A87,'Data shares'!$C:$FA,96)</f>
        <v>266100</v>
      </c>
      <c r="M87" s="87">
        <f>VLOOKUP($A87,'Data shares'!$C:$FA,97)</f>
        <v>0.2228</v>
      </c>
      <c r="N87" s="86">
        <f>VLOOKUP($A87,'Data shares'!$C:$FA,78)</f>
        <v>4148550</v>
      </c>
      <c r="O87" s="87">
        <f>VLOOKUP($A87,'Data shares'!$C:$FA,81)</f>
        <v>-5.0599999999999999E-2</v>
      </c>
    </row>
    <row r="88" spans="1:15" x14ac:dyDescent="0.25">
      <c r="A88" s="100" t="str">
        <f>'Data Vlaue (Cr)'!C83</f>
        <v>HINDALCO</v>
      </c>
      <c r="B88" s="82">
        <f>VLOOKUP(A88,'Data shares'!$C$2:$CV$216,98,0)</f>
        <v>46334400</v>
      </c>
      <c r="C88" s="82">
        <f>VLOOKUP(A88,'Data shares'!$C$2:$CX$216,100,0)</f>
        <v>453600</v>
      </c>
      <c r="D88" s="141">
        <f>VLOOKUP(A88,'Data shares'!$C$2:$CY$539,101,0)</f>
        <v>9.9000000000000008E-3</v>
      </c>
      <c r="E88" s="86">
        <f>VLOOKUP($A88,'Data shares'!$C:$FA,74)</f>
        <v>33846400</v>
      </c>
      <c r="F88" s="86">
        <f>VLOOKUP($A88,'Data shares'!$C:$FA,76)</f>
        <v>-497000</v>
      </c>
      <c r="G88" s="87">
        <f>VLOOKUP(A88,'Data shares'!$C$2:$CA$216,77,0)</f>
        <v>-1.4500000000000001E-2</v>
      </c>
      <c r="H88" s="86">
        <f>VLOOKUP($A88,'Data shares'!$C:$FA,90)</f>
        <v>7263900</v>
      </c>
      <c r="I88" s="86">
        <f>VLOOKUP($A88,'Data shares'!$C:$FA,92)</f>
        <v>754600</v>
      </c>
      <c r="J88" s="87">
        <f>VLOOKUP($A88,'Data shares'!$C:$FA,93)</f>
        <v>0.1159</v>
      </c>
      <c r="K88" s="86">
        <f>VLOOKUP($A88,'Data shares'!$C:$FA,94)</f>
        <v>5224100</v>
      </c>
      <c r="L88" s="86">
        <f>VLOOKUP($A88,'Data shares'!$C:$FA,96)</f>
        <v>196000</v>
      </c>
      <c r="M88" s="87">
        <f>VLOOKUP($A88,'Data shares'!$C:$FA,97)</f>
        <v>3.9E-2</v>
      </c>
      <c r="N88" s="86">
        <f>VLOOKUP($A88,'Data shares'!$C:$FA,78)</f>
        <v>30384200</v>
      </c>
      <c r="O88" s="87">
        <f>VLOOKUP($A88,'Data shares'!$C:$FA,81)</f>
        <v>-1.9900000000000001E-2</v>
      </c>
    </row>
    <row r="89" spans="1:15" x14ac:dyDescent="0.25">
      <c r="A89" s="100" t="str">
        <f>'Data Vlaue (Cr)'!C84</f>
        <v>HINDPETRO</v>
      </c>
      <c r="B89" s="82">
        <f>VLOOKUP(A89,'Data shares'!$C$2:$CV$216,98,0)</f>
        <v>65103750</v>
      </c>
      <c r="C89" s="82">
        <f>VLOOKUP(A89,'Data shares'!$C$2:$CX$216,100,0)</f>
        <v>4831650</v>
      </c>
      <c r="D89" s="141">
        <f>VLOOKUP(A89,'Data shares'!$C$2:$CY$539,101,0)</f>
        <v>8.0199999999999994E-2</v>
      </c>
      <c r="E89" s="86">
        <f>VLOOKUP($A89,'Data shares'!$C:$FA,74)</f>
        <v>39483450</v>
      </c>
      <c r="F89" s="86">
        <f>VLOOKUP($A89,'Data shares'!$C:$FA,76)</f>
        <v>838350</v>
      </c>
      <c r="G89" s="87">
        <f>VLOOKUP(A89,'Data shares'!$C$2:$CA$216,77,0)</f>
        <v>2.1700000000000001E-2</v>
      </c>
      <c r="H89" s="86">
        <f>VLOOKUP($A89,'Data shares'!$C:$FA,90)</f>
        <v>12429450</v>
      </c>
      <c r="I89" s="86">
        <f>VLOOKUP($A89,'Data shares'!$C:$FA,92)</f>
        <v>2373300</v>
      </c>
      <c r="J89" s="87">
        <f>VLOOKUP($A89,'Data shares'!$C:$FA,93)</f>
        <v>0.23599999999999999</v>
      </c>
      <c r="K89" s="86">
        <f>VLOOKUP($A89,'Data shares'!$C:$FA,94)</f>
        <v>13190850</v>
      </c>
      <c r="L89" s="86">
        <f>VLOOKUP($A89,'Data shares'!$C:$FA,96)</f>
        <v>1620000</v>
      </c>
      <c r="M89" s="87">
        <f>VLOOKUP($A89,'Data shares'!$C:$FA,97)</f>
        <v>0.14000000000000001</v>
      </c>
      <c r="N89" s="86">
        <f>VLOOKUP($A89,'Data shares'!$C:$FA,78)</f>
        <v>38065950</v>
      </c>
      <c r="O89" s="87">
        <f>VLOOKUP($A89,'Data shares'!$C:$FA,81)</f>
        <v>2.07E-2</v>
      </c>
    </row>
    <row r="90" spans="1:15" x14ac:dyDescent="0.25">
      <c r="A90" s="100" t="str">
        <f>'Data Vlaue (Cr)'!C85</f>
        <v>HINDUNILVR</v>
      </c>
      <c r="B90" s="82">
        <f>VLOOKUP(A90,'Data shares'!$C$2:$CV$216,98,0)</f>
        <v>27431700</v>
      </c>
      <c r="C90" s="82">
        <f>VLOOKUP(A90,'Data shares'!$C$2:$CX$216,100,0)</f>
        <v>582300</v>
      </c>
      <c r="D90" s="141">
        <f>VLOOKUP(A90,'Data shares'!$C$2:$CY$539,101,0)</f>
        <v>2.1700000000000001E-2</v>
      </c>
      <c r="E90" s="86">
        <f>VLOOKUP($A90,'Data shares'!$C:$FA,74)</f>
        <v>15264000</v>
      </c>
      <c r="F90" s="86">
        <f>VLOOKUP($A90,'Data shares'!$C:$FA,76)</f>
        <v>218400</v>
      </c>
      <c r="G90" s="87">
        <f>VLOOKUP(A90,'Data shares'!$C$2:$CA$216,77,0)</f>
        <v>1.4500000000000001E-2</v>
      </c>
      <c r="H90" s="86">
        <f>VLOOKUP($A90,'Data shares'!$C:$FA,90)</f>
        <v>7978200</v>
      </c>
      <c r="I90" s="86">
        <f>VLOOKUP($A90,'Data shares'!$C:$FA,92)</f>
        <v>446400</v>
      </c>
      <c r="J90" s="87">
        <f>VLOOKUP($A90,'Data shares'!$C:$FA,93)</f>
        <v>5.9299999999999999E-2</v>
      </c>
      <c r="K90" s="86">
        <f>VLOOKUP($A90,'Data shares'!$C:$FA,94)</f>
        <v>4189500</v>
      </c>
      <c r="L90" s="86">
        <f>VLOOKUP($A90,'Data shares'!$C:$FA,96)</f>
        <v>-82500</v>
      </c>
      <c r="M90" s="87">
        <f>VLOOKUP($A90,'Data shares'!$C:$FA,97)</f>
        <v>-1.9300000000000001E-2</v>
      </c>
      <c r="N90" s="86">
        <f>VLOOKUP($A90,'Data shares'!$C:$FA,78)</f>
        <v>14522400</v>
      </c>
      <c r="O90" s="87">
        <f>VLOOKUP($A90,'Data shares'!$C:$FA,81)</f>
        <v>1.11E-2</v>
      </c>
    </row>
    <row r="91" spans="1:15" x14ac:dyDescent="0.25">
      <c r="A91" s="100" t="str">
        <f>'Data Vlaue (Cr)'!C86</f>
        <v>HINDZINC</v>
      </c>
      <c r="B91" s="82">
        <f>VLOOKUP(A91,'Data shares'!$C$2:$CV$216,98,0)</f>
        <v>65478700</v>
      </c>
      <c r="C91" s="82">
        <f>VLOOKUP(A91,'Data shares'!$C$2:$CX$216,100,0)</f>
        <v>3665200</v>
      </c>
      <c r="D91" s="141">
        <f>VLOOKUP(A91,'Data shares'!$C$2:$CY$539,101,0)</f>
        <v>5.9299999999999999E-2</v>
      </c>
      <c r="E91" s="86">
        <f>VLOOKUP($A91,'Data shares'!$C:$FA,74)</f>
        <v>36098300</v>
      </c>
      <c r="F91" s="86">
        <f>VLOOKUP($A91,'Data shares'!$C:$FA,76)</f>
        <v>1501850</v>
      </c>
      <c r="G91" s="87">
        <f>VLOOKUP(A91,'Data shares'!$C$2:$CA$216,77,0)</f>
        <v>4.3400000000000001E-2</v>
      </c>
      <c r="H91" s="86">
        <f>VLOOKUP($A91,'Data shares'!$C:$FA,90)</f>
        <v>16944200</v>
      </c>
      <c r="I91" s="86">
        <f>VLOOKUP($A91,'Data shares'!$C:$FA,92)</f>
        <v>530425</v>
      </c>
      <c r="J91" s="87">
        <f>VLOOKUP($A91,'Data shares'!$C:$FA,93)</f>
        <v>3.2300000000000002E-2</v>
      </c>
      <c r="K91" s="86">
        <f>VLOOKUP($A91,'Data shares'!$C:$FA,94)</f>
        <v>12436200</v>
      </c>
      <c r="L91" s="86">
        <f>VLOOKUP($A91,'Data shares'!$C:$FA,96)</f>
        <v>1632925</v>
      </c>
      <c r="M91" s="87">
        <f>VLOOKUP($A91,'Data shares'!$C:$FA,97)</f>
        <v>0.1512</v>
      </c>
      <c r="N91" s="86">
        <f>VLOOKUP($A91,'Data shares'!$C:$FA,78)</f>
        <v>34836550</v>
      </c>
      <c r="O91" s="87">
        <f>VLOOKUP($A91,'Data shares'!$C:$FA,81)</f>
        <v>4.1399999999999999E-2</v>
      </c>
    </row>
    <row r="92" spans="1:15" x14ac:dyDescent="0.25">
      <c r="A92" s="100" t="str">
        <f>'Data Vlaue (Cr)'!C87</f>
        <v>HYUNDAI</v>
      </c>
      <c r="B92" s="82">
        <f>VLOOKUP(A92,'Data shares'!$C$2:$CV$216,98,0)</f>
        <v>11698225</v>
      </c>
      <c r="C92" s="82">
        <f>VLOOKUP(A92,'Data shares'!$C$2:$CX$216,100,0)</f>
        <v>224400</v>
      </c>
      <c r="D92" s="141">
        <f>VLOOKUP(A92,'Data shares'!$C$2:$CY$539,101,0)</f>
        <v>1.9599999999999999E-2</v>
      </c>
      <c r="E92" s="86">
        <f>VLOOKUP($A92,'Data shares'!$C:$FA,74)</f>
        <v>9603275</v>
      </c>
      <c r="F92" s="86">
        <f>VLOOKUP($A92,'Data shares'!$C:$FA,76)</f>
        <v>133925</v>
      </c>
      <c r="G92" s="87">
        <f>VLOOKUP(A92,'Data shares'!$C$2:$CA$216,77,0)</f>
        <v>1.41E-2</v>
      </c>
      <c r="H92" s="86">
        <f>VLOOKUP($A92,'Data shares'!$C:$FA,90)</f>
        <v>1122000</v>
      </c>
      <c r="I92" s="86">
        <f>VLOOKUP($A92,'Data shares'!$C:$FA,92)</f>
        <v>-40150</v>
      </c>
      <c r="J92" s="87">
        <f>VLOOKUP($A92,'Data shares'!$C:$FA,93)</f>
        <v>-3.4500000000000003E-2</v>
      </c>
      <c r="K92" s="86">
        <f>VLOOKUP($A92,'Data shares'!$C:$FA,94)</f>
        <v>972950</v>
      </c>
      <c r="L92" s="86">
        <f>VLOOKUP($A92,'Data shares'!$C:$FA,96)</f>
        <v>130625</v>
      </c>
      <c r="M92" s="87">
        <f>VLOOKUP($A92,'Data shares'!$C:$FA,97)</f>
        <v>0.15509999999999999</v>
      </c>
      <c r="N92" s="86">
        <f>VLOOKUP($A92,'Data shares'!$C:$FA,78)</f>
        <v>8314625</v>
      </c>
      <c r="O92" s="87">
        <f>VLOOKUP($A92,'Data shares'!$C:$FA,81)</f>
        <v>-1.09E-2</v>
      </c>
    </row>
    <row r="93" spans="1:15" x14ac:dyDescent="0.25">
      <c r="A93" s="100" t="str">
        <f>'Data Vlaue (Cr)'!C88</f>
        <v>ICICIBANK</v>
      </c>
      <c r="B93" s="82">
        <f>VLOOKUP(A93,'Data shares'!$C$2:$CV$216,98,0)</f>
        <v>208527900</v>
      </c>
      <c r="C93" s="82">
        <f>VLOOKUP(A93,'Data shares'!$C$2:$CX$216,100,0)</f>
        <v>5241600</v>
      </c>
      <c r="D93" s="141">
        <f>VLOOKUP(A93,'Data shares'!$C$2:$CY$539,101,0)</f>
        <v>2.58E-2</v>
      </c>
      <c r="E93" s="86">
        <f>VLOOKUP($A93,'Data shares'!$C:$FA,74)</f>
        <v>151484900</v>
      </c>
      <c r="F93" s="86">
        <f>VLOOKUP($A93,'Data shares'!$C:$FA,76)</f>
        <v>5378100</v>
      </c>
      <c r="G93" s="87">
        <f>VLOOKUP(A93,'Data shares'!$C$2:$CA$216,77,0)</f>
        <v>3.6799999999999999E-2</v>
      </c>
      <c r="H93" s="86">
        <f>VLOOKUP($A93,'Data shares'!$C:$FA,90)</f>
        <v>35566300</v>
      </c>
      <c r="I93" s="86">
        <f>VLOOKUP($A93,'Data shares'!$C:$FA,92)</f>
        <v>-583800</v>
      </c>
      <c r="J93" s="87">
        <f>VLOOKUP($A93,'Data shares'!$C:$FA,93)</f>
        <v>-1.61E-2</v>
      </c>
      <c r="K93" s="86">
        <f>VLOOKUP($A93,'Data shares'!$C:$FA,94)</f>
        <v>21476700</v>
      </c>
      <c r="L93" s="86">
        <f>VLOOKUP($A93,'Data shares'!$C:$FA,96)</f>
        <v>447300</v>
      </c>
      <c r="M93" s="87">
        <f>VLOOKUP($A93,'Data shares'!$C:$FA,97)</f>
        <v>2.1299999999999999E-2</v>
      </c>
      <c r="N93" s="86">
        <f>VLOOKUP($A93,'Data shares'!$C:$FA,78)</f>
        <v>121345700</v>
      </c>
      <c r="O93" s="87">
        <f>VLOOKUP($A93,'Data shares'!$C:$FA,81)</f>
        <v>3.5700000000000003E-2</v>
      </c>
    </row>
    <row r="94" spans="1:15" x14ac:dyDescent="0.25">
      <c r="A94" s="100" t="str">
        <f>'Data Vlaue (Cr)'!C89</f>
        <v>ICICIGI</v>
      </c>
      <c r="B94" s="82">
        <f>VLOOKUP(A94,'Data shares'!$C$2:$CV$216,98,0)</f>
        <v>6413875</v>
      </c>
      <c r="C94" s="82">
        <f>VLOOKUP(A94,'Data shares'!$C$2:$CX$216,100,0)</f>
        <v>94575</v>
      </c>
      <c r="D94" s="141">
        <f>VLOOKUP(A94,'Data shares'!$C$2:$CY$539,101,0)</f>
        <v>1.4999999999999999E-2</v>
      </c>
      <c r="E94" s="86">
        <f>VLOOKUP($A94,'Data shares'!$C:$FA,74)</f>
        <v>5263050</v>
      </c>
      <c r="F94" s="86">
        <f>VLOOKUP($A94,'Data shares'!$C:$FA,76)</f>
        <v>-46800</v>
      </c>
      <c r="G94" s="87">
        <f>VLOOKUP(A94,'Data shares'!$C$2:$CA$216,77,0)</f>
        <v>-8.8000000000000005E-3</v>
      </c>
      <c r="H94" s="86">
        <f>VLOOKUP($A94,'Data shares'!$C:$FA,90)</f>
        <v>788450</v>
      </c>
      <c r="I94" s="86">
        <f>VLOOKUP($A94,'Data shares'!$C:$FA,92)</f>
        <v>114725</v>
      </c>
      <c r="J94" s="87">
        <f>VLOOKUP($A94,'Data shares'!$C:$FA,93)</f>
        <v>0.17030000000000001</v>
      </c>
      <c r="K94" s="86">
        <f>VLOOKUP($A94,'Data shares'!$C:$FA,94)</f>
        <v>362375</v>
      </c>
      <c r="L94" s="86">
        <f>VLOOKUP($A94,'Data shares'!$C:$FA,96)</f>
        <v>26650</v>
      </c>
      <c r="M94" s="87">
        <f>VLOOKUP($A94,'Data shares'!$C:$FA,97)</f>
        <v>7.9399999999999998E-2</v>
      </c>
      <c r="N94" s="86">
        <f>VLOOKUP($A94,'Data shares'!$C:$FA,78)</f>
        <v>4961125</v>
      </c>
      <c r="O94" s="87">
        <f>VLOOKUP($A94,'Data shares'!$C:$FA,81)</f>
        <v>-9.2999999999999992E-3</v>
      </c>
    </row>
    <row r="95" spans="1:15" x14ac:dyDescent="0.25">
      <c r="A95" s="100" t="str">
        <f>'Data Vlaue (Cr)'!C90</f>
        <v>ICICIPRULI</v>
      </c>
      <c r="B95" s="82">
        <f>VLOOKUP(A95,'Data shares'!$C$2:$CV$216,98,0)</f>
        <v>28563075</v>
      </c>
      <c r="C95" s="82">
        <f>VLOOKUP(A95,'Data shares'!$C$2:$CX$216,100,0)</f>
        <v>-237725</v>
      </c>
      <c r="D95" s="141">
        <f>VLOOKUP(A95,'Data shares'!$C$2:$CY$539,101,0)</f>
        <v>-8.3000000000000001E-3</v>
      </c>
      <c r="E95" s="86">
        <f>VLOOKUP($A95,'Data shares'!$C:$FA,74)</f>
        <v>20437875</v>
      </c>
      <c r="F95" s="86">
        <f>VLOOKUP($A95,'Data shares'!$C:$FA,76)</f>
        <v>-177600</v>
      </c>
      <c r="G95" s="87">
        <f>VLOOKUP(A95,'Data shares'!$C$2:$CA$216,77,0)</f>
        <v>-8.6E-3</v>
      </c>
      <c r="H95" s="86">
        <f>VLOOKUP($A95,'Data shares'!$C:$FA,90)</f>
        <v>4421500</v>
      </c>
      <c r="I95" s="86">
        <f>VLOOKUP($A95,'Data shares'!$C:$FA,92)</f>
        <v>-224775</v>
      </c>
      <c r="J95" s="87">
        <f>VLOOKUP($A95,'Data shares'!$C:$FA,93)</f>
        <v>-4.8399999999999999E-2</v>
      </c>
      <c r="K95" s="86">
        <f>VLOOKUP($A95,'Data shares'!$C:$FA,94)</f>
        <v>3703700</v>
      </c>
      <c r="L95" s="86">
        <f>VLOOKUP($A95,'Data shares'!$C:$FA,96)</f>
        <v>164650</v>
      </c>
      <c r="M95" s="87">
        <f>VLOOKUP($A95,'Data shares'!$C:$FA,97)</f>
        <v>4.65E-2</v>
      </c>
      <c r="N95" s="86">
        <f>VLOOKUP($A95,'Data shares'!$C:$FA,78)</f>
        <v>20188125</v>
      </c>
      <c r="O95" s="87">
        <f>VLOOKUP($A95,'Data shares'!$C:$FA,81)</f>
        <v>-9.4000000000000004E-3</v>
      </c>
    </row>
    <row r="96" spans="1:15" x14ac:dyDescent="0.25">
      <c r="A96" s="100" t="str">
        <f>'Data Vlaue (Cr)'!C91</f>
        <v>IDEA</v>
      </c>
      <c r="B96" s="82">
        <f>VLOOKUP(A96,'Data shares'!$C$2:$CV$216,98,0)</f>
        <v>9141723975</v>
      </c>
      <c r="C96" s="82">
        <f>VLOOKUP(A96,'Data shares'!$C$2:$CX$216,100,0)</f>
        <v>-111286575</v>
      </c>
      <c r="D96" s="141">
        <f>VLOOKUP(A96,'Data shares'!$C$2:$CY$539,101,0)</f>
        <v>-1.2E-2</v>
      </c>
      <c r="E96" s="86">
        <f>VLOOKUP($A96,'Data shares'!$C:$FA,74)</f>
        <v>6698708475</v>
      </c>
      <c r="F96" s="86">
        <f>VLOOKUP($A96,'Data shares'!$C:$FA,76)</f>
        <v>-125938950</v>
      </c>
      <c r="G96" s="87">
        <f>VLOOKUP(A96,'Data shares'!$C$2:$CA$216,77,0)</f>
        <v>-1.8499999999999999E-2</v>
      </c>
      <c r="H96" s="86">
        <f>VLOOKUP($A96,'Data shares'!$C:$FA,90)</f>
        <v>1572235575</v>
      </c>
      <c r="I96" s="86">
        <f>VLOOKUP($A96,'Data shares'!$C:$FA,92)</f>
        <v>-22085775</v>
      </c>
      <c r="J96" s="87">
        <f>VLOOKUP($A96,'Data shares'!$C:$FA,93)</f>
        <v>-1.3899999999999999E-2</v>
      </c>
      <c r="K96" s="86">
        <f>VLOOKUP($A96,'Data shares'!$C:$FA,94)</f>
        <v>870779925</v>
      </c>
      <c r="L96" s="86">
        <f>VLOOKUP($A96,'Data shares'!$C:$FA,96)</f>
        <v>36738150</v>
      </c>
      <c r="M96" s="87">
        <f>VLOOKUP($A96,'Data shares'!$C:$FA,97)</f>
        <v>4.3999999999999997E-2</v>
      </c>
      <c r="N96" s="86">
        <f>VLOOKUP($A96,'Data shares'!$C:$FA,78)</f>
        <v>6473490750</v>
      </c>
      <c r="O96" s="87">
        <f>VLOOKUP($A96,'Data shares'!$C:$FA,81)</f>
        <v>-1.8800000000000001E-2</v>
      </c>
    </row>
    <row r="97" spans="1:15" x14ac:dyDescent="0.25">
      <c r="A97" s="100" t="str">
        <f>'Data Vlaue (Cr)'!C92</f>
        <v>IDFCFIRSTB</v>
      </c>
      <c r="B97" s="82">
        <f>VLOOKUP(A97,'Data shares'!$C$2:$CV$216,98,0)</f>
        <v>612493175</v>
      </c>
      <c r="C97" s="82">
        <f>VLOOKUP(A97,'Data shares'!$C$2:$CX$216,100,0)</f>
        <v>24625125</v>
      </c>
      <c r="D97" s="141">
        <f>VLOOKUP(A97,'Data shares'!$C$2:$CY$539,101,0)</f>
        <v>4.19E-2</v>
      </c>
      <c r="E97" s="86">
        <f>VLOOKUP($A97,'Data shares'!$C:$FA,74)</f>
        <v>421456000</v>
      </c>
      <c r="F97" s="86">
        <f>VLOOKUP($A97,'Data shares'!$C:$FA,76)</f>
        <v>10972325</v>
      </c>
      <c r="G97" s="87">
        <f>VLOOKUP(A97,'Data shares'!$C$2:$CA$216,77,0)</f>
        <v>2.6700000000000002E-2</v>
      </c>
      <c r="H97" s="86">
        <f>VLOOKUP($A97,'Data shares'!$C:$FA,90)</f>
        <v>104807500</v>
      </c>
      <c r="I97" s="86">
        <f>VLOOKUP($A97,'Data shares'!$C:$FA,92)</f>
        <v>10684800</v>
      </c>
      <c r="J97" s="87">
        <f>VLOOKUP($A97,'Data shares'!$C:$FA,93)</f>
        <v>0.1135</v>
      </c>
      <c r="K97" s="86">
        <f>VLOOKUP($A97,'Data shares'!$C:$FA,94)</f>
        <v>86229675</v>
      </c>
      <c r="L97" s="86">
        <f>VLOOKUP($A97,'Data shares'!$C:$FA,96)</f>
        <v>2968000</v>
      </c>
      <c r="M97" s="87">
        <f>VLOOKUP($A97,'Data shares'!$C:$FA,97)</f>
        <v>3.56E-2</v>
      </c>
      <c r="N97" s="86">
        <f>VLOOKUP($A97,'Data shares'!$C:$FA,78)</f>
        <v>373300200</v>
      </c>
      <c r="O97" s="87">
        <f>VLOOKUP($A97,'Data shares'!$C:$FA,81)</f>
        <v>2.1399999999999999E-2</v>
      </c>
    </row>
    <row r="98" spans="1:15" x14ac:dyDescent="0.25">
      <c r="A98" s="100" t="str">
        <f>'Data Vlaue (Cr)'!C93</f>
        <v>IEX</v>
      </c>
      <c r="B98" s="82">
        <f>VLOOKUP(A98,'Data shares'!$C$2:$CV$216,98,0)</f>
        <v>144562200</v>
      </c>
      <c r="C98" s="82">
        <f>VLOOKUP(A98,'Data shares'!$C$2:$CX$216,100,0)</f>
        <v>2100450</v>
      </c>
      <c r="D98" s="141">
        <f>VLOOKUP(A98,'Data shares'!$C$2:$CY$539,101,0)</f>
        <v>1.47E-2</v>
      </c>
      <c r="E98" s="86">
        <f>VLOOKUP($A98,'Data shares'!$C:$FA,74)</f>
        <v>70651650</v>
      </c>
      <c r="F98" s="86">
        <f>VLOOKUP($A98,'Data shares'!$C:$FA,76)</f>
        <v>-1497600</v>
      </c>
      <c r="G98" s="87">
        <f>VLOOKUP(A98,'Data shares'!$C$2:$CA$216,77,0)</f>
        <v>-2.0799999999999999E-2</v>
      </c>
      <c r="H98" s="86">
        <f>VLOOKUP($A98,'Data shares'!$C:$FA,90)</f>
        <v>45120000</v>
      </c>
      <c r="I98" s="86">
        <f>VLOOKUP($A98,'Data shares'!$C:$FA,92)</f>
        <v>1286250</v>
      </c>
      <c r="J98" s="87">
        <f>VLOOKUP($A98,'Data shares'!$C:$FA,93)</f>
        <v>2.93E-2</v>
      </c>
      <c r="K98" s="86">
        <f>VLOOKUP($A98,'Data shares'!$C:$FA,94)</f>
        <v>28790550</v>
      </c>
      <c r="L98" s="86">
        <f>VLOOKUP($A98,'Data shares'!$C:$FA,96)</f>
        <v>2311800</v>
      </c>
      <c r="M98" s="87">
        <f>VLOOKUP($A98,'Data shares'!$C:$FA,97)</f>
        <v>8.7300000000000003E-2</v>
      </c>
      <c r="N98" s="86">
        <f>VLOOKUP($A98,'Data shares'!$C:$FA,78)</f>
        <v>67398750</v>
      </c>
      <c r="O98" s="87">
        <f>VLOOKUP($A98,'Data shares'!$C:$FA,81)</f>
        <v>-2.1000000000000001E-2</v>
      </c>
    </row>
    <row r="99" spans="1:15" x14ac:dyDescent="0.25">
      <c r="A99" s="100" t="str">
        <f>'Data Vlaue (Cr)'!C94</f>
        <v>INDHOTEL</v>
      </c>
      <c r="B99" s="82">
        <f>VLOOKUP(A99,'Data shares'!$C$2:$CV$216,98,0)</f>
        <v>32638000</v>
      </c>
      <c r="C99" s="82">
        <f>VLOOKUP(A99,'Data shares'!$C$2:$CX$216,100,0)</f>
        <v>419000</v>
      </c>
      <c r="D99" s="141">
        <f>VLOOKUP(A99,'Data shares'!$C$2:$CY$539,101,0)</f>
        <v>1.2999999999999999E-2</v>
      </c>
      <c r="E99" s="86">
        <f>VLOOKUP($A99,'Data shares'!$C:$FA,74)</f>
        <v>22046000</v>
      </c>
      <c r="F99" s="86">
        <f>VLOOKUP($A99,'Data shares'!$C:$FA,76)</f>
        <v>-366000</v>
      </c>
      <c r="G99" s="87">
        <f>VLOOKUP(A99,'Data shares'!$C$2:$CA$216,77,0)</f>
        <v>-1.6299999999999999E-2</v>
      </c>
      <c r="H99" s="86">
        <f>VLOOKUP($A99,'Data shares'!$C:$FA,90)</f>
        <v>5328000</v>
      </c>
      <c r="I99" s="86">
        <f>VLOOKUP($A99,'Data shares'!$C:$FA,92)</f>
        <v>590000</v>
      </c>
      <c r="J99" s="87">
        <f>VLOOKUP($A99,'Data shares'!$C:$FA,93)</f>
        <v>0.1245</v>
      </c>
      <c r="K99" s="86">
        <f>VLOOKUP($A99,'Data shares'!$C:$FA,94)</f>
        <v>5264000</v>
      </c>
      <c r="L99" s="86">
        <f>VLOOKUP($A99,'Data shares'!$C:$FA,96)</f>
        <v>195000</v>
      </c>
      <c r="M99" s="87">
        <f>VLOOKUP($A99,'Data shares'!$C:$FA,97)</f>
        <v>3.85E-2</v>
      </c>
      <c r="N99" s="86">
        <f>VLOOKUP($A99,'Data shares'!$C:$FA,78)</f>
        <v>20189000</v>
      </c>
      <c r="O99" s="87">
        <f>VLOOKUP($A99,'Data shares'!$C:$FA,81)</f>
        <v>-2.23E-2</v>
      </c>
    </row>
    <row r="100" spans="1:15" x14ac:dyDescent="0.25">
      <c r="A100" s="100" t="str">
        <f>'Data Vlaue (Cr)'!C95</f>
        <v>INDIANB</v>
      </c>
      <c r="B100" s="82">
        <f>VLOOKUP(A100,'Data shares'!$C$2:$CV$216,98,0)</f>
        <v>24809000</v>
      </c>
      <c r="C100" s="82">
        <f>VLOOKUP(A100,'Data shares'!$C$2:$CX$216,100,0)</f>
        <v>336000</v>
      </c>
      <c r="D100" s="141">
        <f>VLOOKUP(A100,'Data shares'!$C$2:$CY$539,101,0)</f>
        <v>1.37E-2</v>
      </c>
      <c r="E100" s="86">
        <f>VLOOKUP($A100,'Data shares'!$C:$FA,74)</f>
        <v>13969000</v>
      </c>
      <c r="F100" s="86">
        <f>VLOOKUP($A100,'Data shares'!$C:$FA,76)</f>
        <v>342000</v>
      </c>
      <c r="G100" s="87">
        <f>VLOOKUP(A100,'Data shares'!$C$2:$CA$216,77,0)</f>
        <v>2.5100000000000001E-2</v>
      </c>
      <c r="H100" s="86">
        <f>VLOOKUP($A100,'Data shares'!$C:$FA,90)</f>
        <v>7008000</v>
      </c>
      <c r="I100" s="86">
        <f>VLOOKUP($A100,'Data shares'!$C:$FA,92)</f>
        <v>-110000</v>
      </c>
      <c r="J100" s="87">
        <f>VLOOKUP($A100,'Data shares'!$C:$FA,93)</f>
        <v>-1.55E-2</v>
      </c>
      <c r="K100" s="86">
        <f>VLOOKUP($A100,'Data shares'!$C:$FA,94)</f>
        <v>3832000</v>
      </c>
      <c r="L100" s="86">
        <f>VLOOKUP($A100,'Data shares'!$C:$FA,96)</f>
        <v>104000</v>
      </c>
      <c r="M100" s="87">
        <f>VLOOKUP($A100,'Data shares'!$C:$FA,97)</f>
        <v>2.7900000000000001E-2</v>
      </c>
      <c r="N100" s="86">
        <f>VLOOKUP($A100,'Data shares'!$C:$FA,78)</f>
        <v>13412000</v>
      </c>
      <c r="O100" s="87">
        <f>VLOOKUP($A100,'Data shares'!$C:$FA,81)</f>
        <v>2.4899999999999999E-2</v>
      </c>
    </row>
    <row r="101" spans="1:15" x14ac:dyDescent="0.25">
      <c r="A101" s="100" t="str">
        <f>'Data Vlaue (Cr)'!C96</f>
        <v>INDIAVIX</v>
      </c>
      <c r="B101" s="82">
        <f>VLOOKUP(A101,'Data shares'!$C$2:$CV$216,98,0)</f>
        <v>0</v>
      </c>
      <c r="C101" s="82">
        <f>VLOOKUP(A101,'Data shares'!$C$2:$CX$216,100,0)</f>
        <v>0</v>
      </c>
      <c r="D101" s="141">
        <f>VLOOKUP(A101,'Data shares'!$C$2:$CY$539,101,0)</f>
        <v>0</v>
      </c>
      <c r="E101" s="86">
        <f>VLOOKUP($A101,'Data shares'!$C:$FA,74)</f>
        <v>0</v>
      </c>
      <c r="F101" s="86">
        <f>VLOOKUP($A101,'Data shares'!$C:$FA,76)</f>
        <v>0</v>
      </c>
      <c r="G101" s="87">
        <f>VLOOKUP(A101,'Data shares'!$C$2:$CA$216,77,0)</f>
        <v>0</v>
      </c>
      <c r="H101" s="86">
        <f>VLOOKUP($A101,'Data shares'!$C:$FA,90)</f>
        <v>0</v>
      </c>
      <c r="I101" s="86">
        <f>VLOOKUP($A101,'Data shares'!$C:$FA,92)</f>
        <v>0</v>
      </c>
      <c r="J101" s="87">
        <f>VLOOKUP($A101,'Data shares'!$C:$FA,93)</f>
        <v>0</v>
      </c>
      <c r="K101" s="86">
        <f>VLOOKUP($A101,'Data shares'!$C:$FA,94)</f>
        <v>0</v>
      </c>
      <c r="L101" s="86">
        <f>VLOOKUP($A101,'Data shares'!$C:$FA,96)</f>
        <v>0</v>
      </c>
      <c r="M101" s="87">
        <f>VLOOKUP($A101,'Data shares'!$C:$FA,97)</f>
        <v>0</v>
      </c>
      <c r="N101" s="86">
        <f>VLOOKUP($A101,'Data shares'!$C:$FA,78)</f>
        <v>0</v>
      </c>
      <c r="O101" s="87">
        <f>VLOOKUP($A101,'Data shares'!$C:$FA,81)</f>
        <v>0</v>
      </c>
    </row>
    <row r="102" spans="1:15" x14ac:dyDescent="0.25">
      <c r="A102" s="100" t="str">
        <f>'Data Vlaue (Cr)'!C97</f>
        <v>INDIGO</v>
      </c>
      <c r="B102" s="82">
        <f>VLOOKUP(A102,'Data shares'!$C$2:$CV$216,98,0)</f>
        <v>14641050</v>
      </c>
      <c r="C102" s="82">
        <f>VLOOKUP(A102,'Data shares'!$C$2:$CX$216,100,0)</f>
        <v>884100</v>
      </c>
      <c r="D102" s="141">
        <f>VLOOKUP(A102,'Data shares'!$C$2:$CY$539,101,0)</f>
        <v>6.4299999999999996E-2</v>
      </c>
      <c r="E102" s="86">
        <f>VLOOKUP($A102,'Data shares'!$C:$FA,74)</f>
        <v>7764000</v>
      </c>
      <c r="F102" s="86">
        <f>VLOOKUP($A102,'Data shares'!$C:$FA,76)</f>
        <v>-153000</v>
      </c>
      <c r="G102" s="87">
        <f>VLOOKUP(A102,'Data shares'!$C$2:$CA$216,77,0)</f>
        <v>-1.9300000000000001E-2</v>
      </c>
      <c r="H102" s="86">
        <f>VLOOKUP($A102,'Data shares'!$C:$FA,90)</f>
        <v>4299450</v>
      </c>
      <c r="I102" s="86">
        <f>VLOOKUP($A102,'Data shares'!$C:$FA,92)</f>
        <v>543000</v>
      </c>
      <c r="J102" s="87">
        <f>VLOOKUP($A102,'Data shares'!$C:$FA,93)</f>
        <v>0.14460000000000001</v>
      </c>
      <c r="K102" s="86">
        <f>VLOOKUP($A102,'Data shares'!$C:$FA,94)</f>
        <v>2577600</v>
      </c>
      <c r="L102" s="86">
        <f>VLOOKUP($A102,'Data shares'!$C:$FA,96)</f>
        <v>494100</v>
      </c>
      <c r="M102" s="87">
        <f>VLOOKUP($A102,'Data shares'!$C:$FA,97)</f>
        <v>0.23710000000000001</v>
      </c>
      <c r="N102" s="86">
        <f>VLOOKUP($A102,'Data shares'!$C:$FA,78)</f>
        <v>7493700</v>
      </c>
      <c r="O102" s="87">
        <f>VLOOKUP($A102,'Data shares'!$C:$FA,81)</f>
        <v>-2.01E-2</v>
      </c>
    </row>
    <row r="103" spans="1:15" x14ac:dyDescent="0.25">
      <c r="A103" s="100" t="str">
        <f>'Data Vlaue (Cr)'!C98</f>
        <v>INDUSINDBK</v>
      </c>
      <c r="B103" s="82">
        <f>VLOOKUP(A103,'Data shares'!$C$2:$CV$216,98,0)</f>
        <v>49156100</v>
      </c>
      <c r="C103" s="82">
        <f>VLOOKUP(A103,'Data shares'!$C$2:$CX$216,100,0)</f>
        <v>998900</v>
      </c>
      <c r="D103" s="141">
        <f>VLOOKUP(A103,'Data shares'!$C$2:$CY$539,101,0)</f>
        <v>2.07E-2</v>
      </c>
      <c r="E103" s="86">
        <f>VLOOKUP($A103,'Data shares'!$C:$FA,74)</f>
        <v>36582000</v>
      </c>
      <c r="F103" s="86">
        <f>VLOOKUP($A103,'Data shares'!$C:$FA,76)</f>
        <v>126000</v>
      </c>
      <c r="G103" s="87">
        <f>VLOOKUP(A103,'Data shares'!$C$2:$CA$216,77,0)</f>
        <v>3.5000000000000001E-3</v>
      </c>
      <c r="H103" s="86">
        <f>VLOOKUP($A103,'Data shares'!$C:$FA,90)</f>
        <v>6580000</v>
      </c>
      <c r="I103" s="86">
        <f>VLOOKUP($A103,'Data shares'!$C:$FA,92)</f>
        <v>343700</v>
      </c>
      <c r="J103" s="87">
        <f>VLOOKUP($A103,'Data shares'!$C:$FA,93)</f>
        <v>5.5100000000000003E-2</v>
      </c>
      <c r="K103" s="86">
        <f>VLOOKUP($A103,'Data shares'!$C:$FA,94)</f>
        <v>5994100</v>
      </c>
      <c r="L103" s="86">
        <f>VLOOKUP($A103,'Data shares'!$C:$FA,96)</f>
        <v>529200</v>
      </c>
      <c r="M103" s="87">
        <f>VLOOKUP($A103,'Data shares'!$C:$FA,97)</f>
        <v>9.6799999999999997E-2</v>
      </c>
      <c r="N103" s="86">
        <f>VLOOKUP($A103,'Data shares'!$C:$FA,78)</f>
        <v>34491800</v>
      </c>
      <c r="O103" s="87">
        <f>VLOOKUP($A103,'Data shares'!$C:$FA,81)</f>
        <v>-4.1000000000000003E-3</v>
      </c>
    </row>
    <row r="104" spans="1:15" x14ac:dyDescent="0.25">
      <c r="A104" s="100" t="str">
        <f>'Data Vlaue (Cr)'!C99</f>
        <v>INDUSTOWER</v>
      </c>
      <c r="B104" s="82">
        <f>VLOOKUP(A104,'Data shares'!$C$2:$CV$216,98,0)</f>
        <v>133565600</v>
      </c>
      <c r="C104" s="82">
        <f>VLOOKUP(A104,'Data shares'!$C$2:$CX$216,100,0)</f>
        <v>-567800</v>
      </c>
      <c r="D104" s="141">
        <f>VLOOKUP(A104,'Data shares'!$C$2:$CY$539,101,0)</f>
        <v>-4.1999999999999997E-3</v>
      </c>
      <c r="E104" s="86">
        <f>VLOOKUP($A104,'Data shares'!$C:$FA,74)</f>
        <v>83935800</v>
      </c>
      <c r="F104" s="86">
        <f>VLOOKUP($A104,'Data shares'!$C:$FA,76)</f>
        <v>870400</v>
      </c>
      <c r="G104" s="87">
        <f>VLOOKUP(A104,'Data shares'!$C$2:$CA$216,77,0)</f>
        <v>1.0500000000000001E-2</v>
      </c>
      <c r="H104" s="86">
        <f>VLOOKUP($A104,'Data shares'!$C:$FA,90)</f>
        <v>29255300</v>
      </c>
      <c r="I104" s="86">
        <f>VLOOKUP($A104,'Data shares'!$C:$FA,92)</f>
        <v>-1167900</v>
      </c>
      <c r="J104" s="87">
        <f>VLOOKUP($A104,'Data shares'!$C:$FA,93)</f>
        <v>-3.8399999999999997E-2</v>
      </c>
      <c r="K104" s="86">
        <f>VLOOKUP($A104,'Data shares'!$C:$FA,94)</f>
        <v>20374500</v>
      </c>
      <c r="L104" s="86">
        <f>VLOOKUP($A104,'Data shares'!$C:$FA,96)</f>
        <v>-270300</v>
      </c>
      <c r="M104" s="87">
        <f>VLOOKUP($A104,'Data shares'!$C:$FA,97)</f>
        <v>-1.3100000000000001E-2</v>
      </c>
      <c r="N104" s="86">
        <f>VLOOKUP($A104,'Data shares'!$C:$FA,78)</f>
        <v>80054700</v>
      </c>
      <c r="O104" s="87">
        <f>VLOOKUP($A104,'Data shares'!$C:$FA,81)</f>
        <v>9.7999999999999997E-3</v>
      </c>
    </row>
    <row r="105" spans="1:15" x14ac:dyDescent="0.25">
      <c r="A105" s="100" t="str">
        <f>'Data Vlaue (Cr)'!C100</f>
        <v>INFY</v>
      </c>
      <c r="B105" s="82">
        <f>VLOOKUP(A105,'Data shares'!$C$2:$CV$216,98,0)</f>
        <v>149236800</v>
      </c>
      <c r="C105" s="82">
        <f>VLOOKUP(A105,'Data shares'!$C$2:$CX$216,100,0)</f>
        <v>9367200</v>
      </c>
      <c r="D105" s="141">
        <f>VLOOKUP(A105,'Data shares'!$C$2:$CY$539,101,0)</f>
        <v>6.7000000000000004E-2</v>
      </c>
      <c r="E105" s="86">
        <f>VLOOKUP($A105,'Data shares'!$C:$FA,74)</f>
        <v>85876800</v>
      </c>
      <c r="F105" s="86">
        <f>VLOOKUP($A105,'Data shares'!$C:$FA,76)</f>
        <v>2970800</v>
      </c>
      <c r="G105" s="87">
        <f>VLOOKUP(A105,'Data shares'!$C$2:$CA$216,77,0)</f>
        <v>3.5799999999999998E-2</v>
      </c>
      <c r="H105" s="86">
        <f>VLOOKUP($A105,'Data shares'!$C:$FA,90)</f>
        <v>40464000</v>
      </c>
      <c r="I105" s="86">
        <f>VLOOKUP($A105,'Data shares'!$C:$FA,92)</f>
        <v>4522000</v>
      </c>
      <c r="J105" s="87">
        <f>VLOOKUP($A105,'Data shares'!$C:$FA,93)</f>
        <v>0.1258</v>
      </c>
      <c r="K105" s="86">
        <f>VLOOKUP($A105,'Data shares'!$C:$FA,94)</f>
        <v>22896000</v>
      </c>
      <c r="L105" s="86">
        <f>VLOOKUP($A105,'Data shares'!$C:$FA,96)</f>
        <v>1874400</v>
      </c>
      <c r="M105" s="87">
        <f>VLOOKUP($A105,'Data shares'!$C:$FA,97)</f>
        <v>8.9200000000000002E-2</v>
      </c>
      <c r="N105" s="86">
        <f>VLOOKUP($A105,'Data shares'!$C:$FA,78)</f>
        <v>79884800</v>
      </c>
      <c r="O105" s="87">
        <f>VLOOKUP($A105,'Data shares'!$C:$FA,81)</f>
        <v>3.15E-2</v>
      </c>
    </row>
    <row r="106" spans="1:15" x14ac:dyDescent="0.25">
      <c r="A106" s="100" t="str">
        <f>'Data Vlaue (Cr)'!C101</f>
        <v>INOXWIND</v>
      </c>
      <c r="B106" s="82">
        <f>VLOOKUP(A106,'Data shares'!$C$2:$CV$216,98,0)</f>
        <v>131858750</v>
      </c>
      <c r="C106" s="82">
        <f>VLOOKUP(A106,'Data shares'!$C$2:$CX$216,100,0)</f>
        <v>1333475</v>
      </c>
      <c r="D106" s="141">
        <f>VLOOKUP(A106,'Data shares'!$C$2:$CY$539,101,0)</f>
        <v>1.0200000000000001E-2</v>
      </c>
      <c r="E106" s="86">
        <f>VLOOKUP($A106,'Data shares'!$C:$FA,74)</f>
        <v>91861650</v>
      </c>
      <c r="F106" s="86">
        <f>VLOOKUP($A106,'Data shares'!$C:$FA,76)</f>
        <v>-1819675</v>
      </c>
      <c r="G106" s="87">
        <f>VLOOKUP(A106,'Data shares'!$C$2:$CA$216,77,0)</f>
        <v>-1.9400000000000001E-2</v>
      </c>
      <c r="H106" s="86">
        <f>VLOOKUP($A106,'Data shares'!$C:$FA,90)</f>
        <v>26494325</v>
      </c>
      <c r="I106" s="86">
        <f>VLOOKUP($A106,'Data shares'!$C:$FA,92)</f>
        <v>2216500</v>
      </c>
      <c r="J106" s="87">
        <f>VLOOKUP($A106,'Data shares'!$C:$FA,93)</f>
        <v>9.1300000000000006E-2</v>
      </c>
      <c r="K106" s="86">
        <f>VLOOKUP($A106,'Data shares'!$C:$FA,94)</f>
        <v>13502775</v>
      </c>
      <c r="L106" s="86">
        <f>VLOOKUP($A106,'Data shares'!$C:$FA,96)</f>
        <v>936650</v>
      </c>
      <c r="M106" s="87">
        <f>VLOOKUP($A106,'Data shares'!$C:$FA,97)</f>
        <v>7.4499999999999997E-2</v>
      </c>
      <c r="N106" s="86">
        <f>VLOOKUP($A106,'Data shares'!$C:$FA,78)</f>
        <v>88617100</v>
      </c>
      <c r="O106" s="87">
        <f>VLOOKUP($A106,'Data shares'!$C:$FA,81)</f>
        <v>-1.95E-2</v>
      </c>
    </row>
    <row r="107" spans="1:15" x14ac:dyDescent="0.25">
      <c r="A107" s="100" t="str">
        <f>'Data Vlaue (Cr)'!C102</f>
        <v>IOC</v>
      </c>
      <c r="B107" s="82">
        <f>VLOOKUP(A107,'Data shares'!$C$2:$CV$216,98,0)</f>
        <v>193454625</v>
      </c>
      <c r="C107" s="82">
        <f>VLOOKUP(A107,'Data shares'!$C$2:$CX$216,100,0)</f>
        <v>7054125</v>
      </c>
      <c r="D107" s="141">
        <f>VLOOKUP(A107,'Data shares'!$C$2:$CY$539,101,0)</f>
        <v>3.78E-2</v>
      </c>
      <c r="E107" s="86">
        <f>VLOOKUP($A107,'Data shares'!$C:$FA,74)</f>
        <v>112807500</v>
      </c>
      <c r="F107" s="86">
        <f>VLOOKUP($A107,'Data shares'!$C:$FA,76)</f>
        <v>-541125</v>
      </c>
      <c r="G107" s="87">
        <f>VLOOKUP(A107,'Data shares'!$C$2:$CA$216,77,0)</f>
        <v>-4.7999999999999996E-3</v>
      </c>
      <c r="H107" s="86">
        <f>VLOOKUP($A107,'Data shares'!$C:$FA,90)</f>
        <v>47906625</v>
      </c>
      <c r="I107" s="86">
        <f>VLOOKUP($A107,'Data shares'!$C:$FA,92)</f>
        <v>6196125</v>
      </c>
      <c r="J107" s="87">
        <f>VLOOKUP($A107,'Data shares'!$C:$FA,93)</f>
        <v>0.14860000000000001</v>
      </c>
      <c r="K107" s="86">
        <f>VLOOKUP($A107,'Data shares'!$C:$FA,94)</f>
        <v>32740500</v>
      </c>
      <c r="L107" s="86">
        <f>VLOOKUP($A107,'Data shares'!$C:$FA,96)</f>
        <v>1399125</v>
      </c>
      <c r="M107" s="87">
        <f>VLOOKUP($A107,'Data shares'!$C:$FA,97)</f>
        <v>4.4600000000000001E-2</v>
      </c>
      <c r="N107" s="86">
        <f>VLOOKUP($A107,'Data shares'!$C:$FA,78)</f>
        <v>103978875</v>
      </c>
      <c r="O107" s="87">
        <f>VLOOKUP($A107,'Data shares'!$C:$FA,81)</f>
        <v>-7.6E-3</v>
      </c>
    </row>
    <row r="108" spans="1:15" x14ac:dyDescent="0.25">
      <c r="A108" s="100" t="str">
        <f>'Data Vlaue (Cr)'!C103</f>
        <v>IREDA</v>
      </c>
      <c r="B108" s="82">
        <f>VLOOKUP(A108,'Data shares'!$C$2:$CV$216,98,0)</f>
        <v>77801875</v>
      </c>
      <c r="C108" s="82">
        <f>VLOOKUP(A108,'Data shares'!$C$2:$CX$216,100,0)</f>
        <v>1859900</v>
      </c>
      <c r="D108" s="141">
        <f>VLOOKUP(A108,'Data shares'!$C$2:$CY$539,101,0)</f>
        <v>2.4500000000000001E-2</v>
      </c>
      <c r="E108" s="86">
        <f>VLOOKUP($A108,'Data shares'!$C:$FA,74)</f>
        <v>48300925</v>
      </c>
      <c r="F108" s="86">
        <f>VLOOKUP($A108,'Data shares'!$C:$FA,76)</f>
        <v>783500</v>
      </c>
      <c r="G108" s="87">
        <f>VLOOKUP(A108,'Data shares'!$C$2:$CA$216,77,0)</f>
        <v>1.6500000000000001E-2</v>
      </c>
      <c r="H108" s="86">
        <f>VLOOKUP($A108,'Data shares'!$C:$FA,90)</f>
        <v>17450100</v>
      </c>
      <c r="I108" s="86">
        <f>VLOOKUP($A108,'Data shares'!$C:$FA,92)</f>
        <v>679650</v>
      </c>
      <c r="J108" s="87">
        <f>VLOOKUP($A108,'Data shares'!$C:$FA,93)</f>
        <v>4.0500000000000001E-2</v>
      </c>
      <c r="K108" s="86">
        <f>VLOOKUP($A108,'Data shares'!$C:$FA,94)</f>
        <v>12050850</v>
      </c>
      <c r="L108" s="86">
        <f>VLOOKUP($A108,'Data shares'!$C:$FA,96)</f>
        <v>396750</v>
      </c>
      <c r="M108" s="87">
        <f>VLOOKUP($A108,'Data shares'!$C:$FA,97)</f>
        <v>3.4000000000000002E-2</v>
      </c>
      <c r="N108" s="86">
        <f>VLOOKUP($A108,'Data shares'!$C:$FA,78)</f>
        <v>41358600</v>
      </c>
      <c r="O108" s="87">
        <f>VLOOKUP($A108,'Data shares'!$C:$FA,81)</f>
        <v>9.2999999999999992E-3</v>
      </c>
    </row>
    <row r="109" spans="1:15" x14ac:dyDescent="0.25">
      <c r="A109" s="100" t="str">
        <f>'Data Vlaue (Cr)'!C104</f>
        <v>IRFC</v>
      </c>
      <c r="B109" s="82">
        <f>VLOOKUP(A109,'Data shares'!$C$2:$CV$216,98,0)</f>
        <v>115610800</v>
      </c>
      <c r="C109" s="82">
        <f>VLOOKUP(A109,'Data shares'!$C$2:$CX$216,100,0)</f>
        <v>2220475</v>
      </c>
      <c r="D109" s="141">
        <f>VLOOKUP(A109,'Data shares'!$C$2:$CY$539,101,0)</f>
        <v>1.9599999999999999E-2</v>
      </c>
      <c r="E109" s="86">
        <f>VLOOKUP($A109,'Data shares'!$C:$FA,74)</f>
        <v>54800625</v>
      </c>
      <c r="F109" s="86">
        <f>VLOOKUP($A109,'Data shares'!$C:$FA,76)</f>
        <v>153800</v>
      </c>
      <c r="G109" s="87">
        <f>VLOOKUP(A109,'Data shares'!$C$2:$CA$216,77,0)</f>
        <v>2.8E-3</v>
      </c>
      <c r="H109" s="86">
        <f>VLOOKUP($A109,'Data shares'!$C:$FA,90)</f>
        <v>34637500</v>
      </c>
      <c r="I109" s="86">
        <f>VLOOKUP($A109,'Data shares'!$C:$FA,92)</f>
        <v>-212500</v>
      </c>
      <c r="J109" s="87">
        <f>VLOOKUP($A109,'Data shares'!$C:$FA,93)</f>
        <v>-6.1000000000000004E-3</v>
      </c>
      <c r="K109" s="86">
        <f>VLOOKUP($A109,'Data shares'!$C:$FA,94)</f>
        <v>26172675</v>
      </c>
      <c r="L109" s="86">
        <f>VLOOKUP($A109,'Data shares'!$C:$FA,96)</f>
        <v>2279175</v>
      </c>
      <c r="M109" s="87">
        <f>VLOOKUP($A109,'Data shares'!$C:$FA,97)</f>
        <v>9.5399999999999999E-2</v>
      </c>
      <c r="N109" s="86">
        <f>VLOOKUP($A109,'Data shares'!$C:$FA,78)</f>
        <v>48900500</v>
      </c>
      <c r="O109" s="87">
        <f>VLOOKUP($A109,'Data shares'!$C:$FA,81)</f>
        <v>-5.9999999999999995E-4</v>
      </c>
    </row>
    <row r="110" spans="1:15" x14ac:dyDescent="0.25">
      <c r="A110" s="100" t="str">
        <f>'Data Vlaue (Cr)'!C105</f>
        <v>ITC</v>
      </c>
      <c r="B110" s="82">
        <f>VLOOKUP(A110,'Data shares'!$C$2:$CV$216,98,0)</f>
        <v>327481925</v>
      </c>
      <c r="C110" s="82">
        <f>VLOOKUP(A110,'Data shares'!$C$2:$CX$216,100,0)</f>
        <v>10066450</v>
      </c>
      <c r="D110" s="141">
        <f>VLOOKUP(A110,'Data shares'!$C$2:$CY$539,101,0)</f>
        <v>3.1699999999999999E-2</v>
      </c>
      <c r="E110" s="86">
        <f>VLOOKUP($A110,'Data shares'!$C:$FA,74)</f>
        <v>179013725</v>
      </c>
      <c r="F110" s="86">
        <f>VLOOKUP($A110,'Data shares'!$C:$FA,76)</f>
        <v>2434075</v>
      </c>
      <c r="G110" s="87">
        <f>VLOOKUP(A110,'Data shares'!$C$2:$CA$216,77,0)</f>
        <v>1.38E-2</v>
      </c>
      <c r="H110" s="86">
        <f>VLOOKUP($A110,'Data shares'!$C:$FA,90)</f>
        <v>109599400</v>
      </c>
      <c r="I110" s="86">
        <f>VLOOKUP($A110,'Data shares'!$C:$FA,92)</f>
        <v>7624375</v>
      </c>
      <c r="J110" s="87">
        <f>VLOOKUP($A110,'Data shares'!$C:$FA,93)</f>
        <v>7.4800000000000005E-2</v>
      </c>
      <c r="K110" s="86">
        <f>VLOOKUP($A110,'Data shares'!$C:$FA,94)</f>
        <v>38868800</v>
      </c>
      <c r="L110" s="86">
        <f>VLOOKUP($A110,'Data shares'!$C:$FA,96)</f>
        <v>8000</v>
      </c>
      <c r="M110" s="87">
        <f>VLOOKUP($A110,'Data shares'!$C:$FA,97)</f>
        <v>2.0000000000000001E-4</v>
      </c>
      <c r="N110" s="86">
        <f>VLOOKUP($A110,'Data shares'!$C:$FA,78)</f>
        <v>156224000</v>
      </c>
      <c r="O110" s="87">
        <f>VLOOKUP($A110,'Data shares'!$C:$FA,81)</f>
        <v>9.4000000000000004E-3</v>
      </c>
    </row>
    <row r="111" spans="1:15" x14ac:dyDescent="0.25">
      <c r="A111" s="100" t="str">
        <f>'Data Vlaue (Cr)'!C106</f>
        <v>JINDALSTEL</v>
      </c>
      <c r="B111" s="82">
        <f>VLOOKUP(A111,'Data shares'!$C$2:$CV$216,98,0)</f>
        <v>18915000</v>
      </c>
      <c r="C111" s="82">
        <f>VLOOKUP(A111,'Data shares'!$C$2:$CX$216,100,0)</f>
        <v>3125</v>
      </c>
      <c r="D111" s="141">
        <f>VLOOKUP(A111,'Data shares'!$C$2:$CY$539,101,0)</f>
        <v>2.0000000000000001E-4</v>
      </c>
      <c r="E111" s="86">
        <f>VLOOKUP($A111,'Data shares'!$C:$FA,74)</f>
        <v>12706875</v>
      </c>
      <c r="F111" s="86">
        <f>VLOOKUP($A111,'Data shares'!$C:$FA,76)</f>
        <v>-231250</v>
      </c>
      <c r="G111" s="87">
        <f>VLOOKUP(A111,'Data shares'!$C$2:$CA$216,77,0)</f>
        <v>-1.7899999999999999E-2</v>
      </c>
      <c r="H111" s="86">
        <f>VLOOKUP($A111,'Data shares'!$C:$FA,90)</f>
        <v>3606250</v>
      </c>
      <c r="I111" s="86">
        <f>VLOOKUP($A111,'Data shares'!$C:$FA,92)</f>
        <v>111875</v>
      </c>
      <c r="J111" s="87">
        <f>VLOOKUP($A111,'Data shares'!$C:$FA,93)</f>
        <v>3.2000000000000001E-2</v>
      </c>
      <c r="K111" s="86">
        <f>VLOOKUP($A111,'Data shares'!$C:$FA,94)</f>
        <v>2601875</v>
      </c>
      <c r="L111" s="86">
        <f>VLOOKUP($A111,'Data shares'!$C:$FA,96)</f>
        <v>122500</v>
      </c>
      <c r="M111" s="87">
        <f>VLOOKUP($A111,'Data shares'!$C:$FA,97)</f>
        <v>4.9399999999999999E-2</v>
      </c>
      <c r="N111" s="86">
        <f>VLOOKUP($A111,'Data shares'!$C:$FA,78)</f>
        <v>12606875</v>
      </c>
      <c r="O111" s="87">
        <f>VLOOKUP($A111,'Data shares'!$C:$FA,81)</f>
        <v>-1.8599999999999998E-2</v>
      </c>
    </row>
    <row r="112" spans="1:15" x14ac:dyDescent="0.25">
      <c r="A112" s="100" t="str">
        <f>'Data Vlaue (Cr)'!C107</f>
        <v>JIOFIN</v>
      </c>
      <c r="B112" s="82">
        <f>VLOOKUP(A112,'Data shares'!$C$2:$CV$216,98,0)</f>
        <v>300231300</v>
      </c>
      <c r="C112" s="82">
        <f>VLOOKUP(A112,'Data shares'!$C$2:$CX$216,100,0)</f>
        <v>-115150</v>
      </c>
      <c r="D112" s="141">
        <f>VLOOKUP(A112,'Data shares'!$C$2:$CY$539,101,0)</f>
        <v>-4.0000000000000002E-4</v>
      </c>
      <c r="E112" s="86">
        <f>VLOOKUP($A112,'Data shares'!$C:$FA,74)</f>
        <v>197672600</v>
      </c>
      <c r="F112" s="86">
        <f>VLOOKUP($A112,'Data shares'!$C:$FA,76)</f>
        <v>-2733050</v>
      </c>
      <c r="G112" s="87">
        <f>VLOOKUP(A112,'Data shares'!$C$2:$CA$216,77,0)</f>
        <v>-1.3599999999999999E-2</v>
      </c>
      <c r="H112" s="86">
        <f>VLOOKUP($A112,'Data shares'!$C:$FA,90)</f>
        <v>62439500</v>
      </c>
      <c r="I112" s="86">
        <f>VLOOKUP($A112,'Data shares'!$C:$FA,92)</f>
        <v>1475800</v>
      </c>
      <c r="J112" s="87">
        <f>VLOOKUP($A112,'Data shares'!$C:$FA,93)</f>
        <v>2.4199999999999999E-2</v>
      </c>
      <c r="K112" s="86">
        <f>VLOOKUP($A112,'Data shares'!$C:$FA,94)</f>
        <v>40119200</v>
      </c>
      <c r="L112" s="86">
        <f>VLOOKUP($A112,'Data shares'!$C:$FA,96)</f>
        <v>1142100</v>
      </c>
      <c r="M112" s="87">
        <f>VLOOKUP($A112,'Data shares'!$C:$FA,97)</f>
        <v>2.93E-2</v>
      </c>
      <c r="N112" s="86">
        <f>VLOOKUP($A112,'Data shares'!$C:$FA,78)</f>
        <v>175683650</v>
      </c>
      <c r="O112" s="87">
        <f>VLOOKUP($A112,'Data shares'!$C:$FA,81)</f>
        <v>-1.7999999999999999E-2</v>
      </c>
    </row>
    <row r="113" spans="1:15" x14ac:dyDescent="0.25">
      <c r="A113" s="100" t="str">
        <f>'Data Vlaue (Cr)'!C108</f>
        <v>JSWENERGY</v>
      </c>
      <c r="B113" s="82">
        <f>VLOOKUP(A113,'Data shares'!$C$2:$CV$216,98,0)</f>
        <v>33668450</v>
      </c>
      <c r="C113" s="82">
        <f>VLOOKUP(A113,'Data shares'!$C$2:$CX$216,100,0)</f>
        <v>-62000</v>
      </c>
      <c r="D113" s="141">
        <f>VLOOKUP(A113,'Data shares'!$C$2:$CY$539,101,0)</f>
        <v>-1.8E-3</v>
      </c>
      <c r="E113" s="86">
        <f>VLOOKUP($A113,'Data shares'!$C:$FA,74)</f>
        <v>23765450</v>
      </c>
      <c r="F113" s="86">
        <f>VLOOKUP($A113,'Data shares'!$C:$FA,76)</f>
        <v>-571000</v>
      </c>
      <c r="G113" s="87">
        <f>VLOOKUP(A113,'Data shares'!$C$2:$CA$216,77,0)</f>
        <v>-2.35E-2</v>
      </c>
      <c r="H113" s="86">
        <f>VLOOKUP($A113,'Data shares'!$C:$FA,90)</f>
        <v>5867000</v>
      </c>
      <c r="I113" s="86">
        <f>VLOOKUP($A113,'Data shares'!$C:$FA,92)</f>
        <v>304000</v>
      </c>
      <c r="J113" s="87">
        <f>VLOOKUP($A113,'Data shares'!$C:$FA,93)</f>
        <v>5.4600000000000003E-2</v>
      </c>
      <c r="K113" s="86">
        <f>VLOOKUP($A113,'Data shares'!$C:$FA,94)</f>
        <v>4036000</v>
      </c>
      <c r="L113" s="86">
        <f>VLOOKUP($A113,'Data shares'!$C:$FA,96)</f>
        <v>205000</v>
      </c>
      <c r="M113" s="87">
        <f>VLOOKUP($A113,'Data shares'!$C:$FA,97)</f>
        <v>5.3499999999999999E-2</v>
      </c>
      <c r="N113" s="86">
        <f>VLOOKUP($A113,'Data shares'!$C:$FA,78)</f>
        <v>23360000</v>
      </c>
      <c r="O113" s="87">
        <f>VLOOKUP($A113,'Data shares'!$C:$FA,81)</f>
        <v>-2.3900000000000001E-2</v>
      </c>
    </row>
    <row r="114" spans="1:15" x14ac:dyDescent="0.25">
      <c r="A114" s="100" t="str">
        <f>'Data Vlaue (Cr)'!C109</f>
        <v>JSWSTEEL</v>
      </c>
      <c r="B114" s="82">
        <f>VLOOKUP(A114,'Data shares'!$C$2:$CV$216,98,0)</f>
        <v>57661875</v>
      </c>
      <c r="C114" s="82">
        <f>VLOOKUP(A114,'Data shares'!$C$2:$CX$216,100,0)</f>
        <v>-267300</v>
      </c>
      <c r="D114" s="141">
        <f>VLOOKUP(A114,'Data shares'!$C$2:$CY$539,101,0)</f>
        <v>-4.5999999999999999E-3</v>
      </c>
      <c r="E114" s="86">
        <f>VLOOKUP($A114,'Data shares'!$C:$FA,74)</f>
        <v>49826475</v>
      </c>
      <c r="F114" s="86">
        <f>VLOOKUP($A114,'Data shares'!$C:$FA,76)</f>
        <v>61425</v>
      </c>
      <c r="G114" s="87">
        <f>VLOOKUP(A114,'Data shares'!$C$2:$CA$216,77,0)</f>
        <v>1.1999999999999999E-3</v>
      </c>
      <c r="H114" s="86">
        <f>VLOOKUP($A114,'Data shares'!$C:$FA,90)</f>
        <v>4544775</v>
      </c>
      <c r="I114" s="86">
        <f>VLOOKUP($A114,'Data shares'!$C:$FA,92)</f>
        <v>-263250</v>
      </c>
      <c r="J114" s="87">
        <f>VLOOKUP($A114,'Data shares'!$C:$FA,93)</f>
        <v>-5.4800000000000001E-2</v>
      </c>
      <c r="K114" s="86">
        <f>VLOOKUP($A114,'Data shares'!$C:$FA,94)</f>
        <v>3290625</v>
      </c>
      <c r="L114" s="86">
        <f>VLOOKUP($A114,'Data shares'!$C:$FA,96)</f>
        <v>-65475</v>
      </c>
      <c r="M114" s="87">
        <f>VLOOKUP($A114,'Data shares'!$C:$FA,97)</f>
        <v>-1.95E-2</v>
      </c>
      <c r="N114" s="86">
        <f>VLOOKUP($A114,'Data shares'!$C:$FA,78)</f>
        <v>48703950</v>
      </c>
      <c r="O114" s="87">
        <f>VLOOKUP($A114,'Data shares'!$C:$FA,81)</f>
        <v>6.9999999999999999E-4</v>
      </c>
    </row>
    <row r="115" spans="1:15" x14ac:dyDescent="0.25">
      <c r="A115" s="100" t="str">
        <f>'Data Vlaue (Cr)'!C110</f>
        <v>JUBLFOOD</v>
      </c>
      <c r="B115" s="82">
        <f>VLOOKUP(A115,'Data shares'!$C$2:$CV$216,98,0)</f>
        <v>50665000</v>
      </c>
      <c r="C115" s="82">
        <f>VLOOKUP(A115,'Data shares'!$C$2:$CX$216,100,0)</f>
        <v>-245000</v>
      </c>
      <c r="D115" s="141">
        <f>VLOOKUP(A115,'Data shares'!$C$2:$CY$539,101,0)</f>
        <v>-4.7999999999999996E-3</v>
      </c>
      <c r="E115" s="86">
        <f>VLOOKUP($A115,'Data shares'!$C:$FA,74)</f>
        <v>39177500</v>
      </c>
      <c r="F115" s="86">
        <f>VLOOKUP($A115,'Data shares'!$C:$FA,76)</f>
        <v>-836250</v>
      </c>
      <c r="G115" s="87">
        <f>VLOOKUP(A115,'Data shares'!$C$2:$CA$216,77,0)</f>
        <v>-2.0899999999999998E-2</v>
      </c>
      <c r="H115" s="86">
        <f>VLOOKUP($A115,'Data shares'!$C:$FA,90)</f>
        <v>7053750</v>
      </c>
      <c r="I115" s="86">
        <f>VLOOKUP($A115,'Data shares'!$C:$FA,92)</f>
        <v>358750</v>
      </c>
      <c r="J115" s="87">
        <f>VLOOKUP($A115,'Data shares'!$C:$FA,93)</f>
        <v>5.3600000000000002E-2</v>
      </c>
      <c r="K115" s="86">
        <f>VLOOKUP($A115,'Data shares'!$C:$FA,94)</f>
        <v>4433750</v>
      </c>
      <c r="L115" s="86">
        <f>VLOOKUP($A115,'Data shares'!$C:$FA,96)</f>
        <v>232500</v>
      </c>
      <c r="M115" s="87">
        <f>VLOOKUP($A115,'Data shares'!$C:$FA,97)</f>
        <v>5.5300000000000002E-2</v>
      </c>
      <c r="N115" s="86">
        <f>VLOOKUP($A115,'Data shares'!$C:$FA,78)</f>
        <v>37243750</v>
      </c>
      <c r="O115" s="87">
        <f>VLOOKUP($A115,'Data shares'!$C:$FA,81)</f>
        <v>-2.4899999999999999E-2</v>
      </c>
    </row>
    <row r="116" spans="1:15" x14ac:dyDescent="0.25">
      <c r="A116" s="100" t="str">
        <f>'Data Vlaue (Cr)'!C111</f>
        <v>KALYANKJIL</v>
      </c>
      <c r="B116" s="82">
        <f>VLOOKUP(A116,'Data shares'!$C$2:$CV$216,98,0)</f>
        <v>38617700</v>
      </c>
      <c r="C116" s="82">
        <f>VLOOKUP(A116,'Data shares'!$C$2:$CX$216,100,0)</f>
        <v>2011175</v>
      </c>
      <c r="D116" s="141">
        <f>VLOOKUP(A116,'Data shares'!$C$2:$CY$539,101,0)</f>
        <v>5.4899999999999997E-2</v>
      </c>
      <c r="E116" s="86">
        <f>VLOOKUP($A116,'Data shares'!$C:$FA,74)</f>
        <v>27526875</v>
      </c>
      <c r="F116" s="86">
        <f>VLOOKUP($A116,'Data shares'!$C:$FA,76)</f>
        <v>671675</v>
      </c>
      <c r="G116" s="87">
        <f>VLOOKUP(A116,'Data shares'!$C$2:$CA$216,77,0)</f>
        <v>2.5000000000000001E-2</v>
      </c>
      <c r="H116" s="86">
        <f>VLOOKUP($A116,'Data shares'!$C:$FA,90)</f>
        <v>7072325</v>
      </c>
      <c r="I116" s="86">
        <f>VLOOKUP($A116,'Data shares'!$C:$FA,92)</f>
        <v>847175</v>
      </c>
      <c r="J116" s="87">
        <f>VLOOKUP($A116,'Data shares'!$C:$FA,93)</f>
        <v>0.1361</v>
      </c>
      <c r="K116" s="86">
        <f>VLOOKUP($A116,'Data shares'!$C:$FA,94)</f>
        <v>4018500</v>
      </c>
      <c r="L116" s="86">
        <f>VLOOKUP($A116,'Data shares'!$C:$FA,96)</f>
        <v>492325</v>
      </c>
      <c r="M116" s="87">
        <f>VLOOKUP($A116,'Data shares'!$C:$FA,97)</f>
        <v>0.1396</v>
      </c>
      <c r="N116" s="86">
        <f>VLOOKUP($A116,'Data shares'!$C:$FA,78)</f>
        <v>26932175</v>
      </c>
      <c r="O116" s="87">
        <f>VLOOKUP($A116,'Data shares'!$C:$FA,81)</f>
        <v>2.2800000000000001E-2</v>
      </c>
    </row>
    <row r="117" spans="1:15" x14ac:dyDescent="0.25">
      <c r="A117" s="100" t="str">
        <f>'Data Vlaue (Cr)'!C112</f>
        <v>KAYNES</v>
      </c>
      <c r="B117" s="82">
        <f>VLOOKUP(A117,'Data shares'!$C$2:$CV$216,98,0)</f>
        <v>4385500</v>
      </c>
      <c r="C117" s="82">
        <f>VLOOKUP(A117,'Data shares'!$C$2:$CX$216,100,0)</f>
        <v>-97000</v>
      </c>
      <c r="D117" s="141">
        <f>VLOOKUP(A117,'Data shares'!$C$2:$CY$539,101,0)</f>
        <v>-2.1600000000000001E-2</v>
      </c>
      <c r="E117" s="86">
        <f>VLOOKUP($A117,'Data shares'!$C:$FA,74)</f>
        <v>2675800</v>
      </c>
      <c r="F117" s="86">
        <f>VLOOKUP($A117,'Data shares'!$C:$FA,76)</f>
        <v>-41100</v>
      </c>
      <c r="G117" s="87">
        <f>VLOOKUP(A117,'Data shares'!$C$2:$CA$216,77,0)</f>
        <v>-1.5100000000000001E-2</v>
      </c>
      <c r="H117" s="86">
        <f>VLOOKUP($A117,'Data shares'!$C:$FA,90)</f>
        <v>1004900</v>
      </c>
      <c r="I117" s="86">
        <f>VLOOKUP($A117,'Data shares'!$C:$FA,92)</f>
        <v>-64000</v>
      </c>
      <c r="J117" s="87">
        <f>VLOOKUP($A117,'Data shares'!$C:$FA,93)</f>
        <v>-5.9900000000000002E-2</v>
      </c>
      <c r="K117" s="86">
        <f>VLOOKUP($A117,'Data shares'!$C:$FA,94)</f>
        <v>704800</v>
      </c>
      <c r="L117" s="86">
        <f>VLOOKUP($A117,'Data shares'!$C:$FA,96)</f>
        <v>8100</v>
      </c>
      <c r="M117" s="87">
        <f>VLOOKUP($A117,'Data shares'!$C:$FA,97)</f>
        <v>1.1599999999999999E-2</v>
      </c>
      <c r="N117" s="86">
        <f>VLOOKUP($A117,'Data shares'!$C:$FA,78)</f>
        <v>2496100</v>
      </c>
      <c r="O117" s="87">
        <f>VLOOKUP($A117,'Data shares'!$C:$FA,81)</f>
        <v>-2.1000000000000001E-2</v>
      </c>
    </row>
    <row r="118" spans="1:15" x14ac:dyDescent="0.25">
      <c r="A118" s="100" t="str">
        <f>'Data Vlaue (Cr)'!C113</f>
        <v>KEI</v>
      </c>
      <c r="B118" s="82">
        <f>VLOOKUP(A118,'Data shares'!$C$2:$CV$216,98,0)</f>
        <v>2997050</v>
      </c>
      <c r="C118" s="82">
        <f>VLOOKUP(A118,'Data shares'!$C$2:$CX$216,100,0)</f>
        <v>-31500</v>
      </c>
      <c r="D118" s="141">
        <f>VLOOKUP(A118,'Data shares'!$C$2:$CY$539,101,0)</f>
        <v>-1.04E-2</v>
      </c>
      <c r="E118" s="86">
        <f>VLOOKUP($A118,'Data shares'!$C:$FA,74)</f>
        <v>1684550</v>
      </c>
      <c r="F118" s="86">
        <f>VLOOKUP($A118,'Data shares'!$C:$FA,76)</f>
        <v>-19250</v>
      </c>
      <c r="G118" s="87">
        <f>VLOOKUP(A118,'Data shares'!$C$2:$CA$216,77,0)</f>
        <v>-1.1299999999999999E-2</v>
      </c>
      <c r="H118" s="86">
        <f>VLOOKUP($A118,'Data shares'!$C:$FA,90)</f>
        <v>725550</v>
      </c>
      <c r="I118" s="86">
        <f>VLOOKUP($A118,'Data shares'!$C:$FA,92)</f>
        <v>-25200</v>
      </c>
      <c r="J118" s="87">
        <f>VLOOKUP($A118,'Data shares'!$C:$FA,93)</f>
        <v>-3.3599999999999998E-2</v>
      </c>
      <c r="K118" s="86">
        <f>VLOOKUP($A118,'Data shares'!$C:$FA,94)</f>
        <v>586950</v>
      </c>
      <c r="L118" s="86">
        <f>VLOOKUP($A118,'Data shares'!$C:$FA,96)</f>
        <v>12950</v>
      </c>
      <c r="M118" s="87">
        <f>VLOOKUP($A118,'Data shares'!$C:$FA,97)</f>
        <v>2.2599999999999999E-2</v>
      </c>
      <c r="N118" s="86">
        <f>VLOOKUP($A118,'Data shares'!$C:$FA,78)</f>
        <v>1650250</v>
      </c>
      <c r="O118" s="87">
        <f>VLOOKUP($A118,'Data shares'!$C:$FA,81)</f>
        <v>-1.37E-2</v>
      </c>
    </row>
    <row r="119" spans="1:15" x14ac:dyDescent="0.25">
      <c r="A119" s="100" t="str">
        <f>'Data Vlaue (Cr)'!C114</f>
        <v>KFINTECH</v>
      </c>
      <c r="B119" s="82">
        <f>VLOOKUP(A119,'Data shares'!$C$2:$CV$216,98,0)</f>
        <v>11496825</v>
      </c>
      <c r="C119" s="82">
        <f>VLOOKUP(A119,'Data shares'!$C$2:$CX$216,100,0)</f>
        <v>-1127275</v>
      </c>
      <c r="D119" s="141">
        <f>VLOOKUP(A119,'Data shares'!$C$2:$CY$539,101,0)</f>
        <v>-8.9300000000000004E-2</v>
      </c>
      <c r="E119" s="86">
        <f>VLOOKUP($A119,'Data shares'!$C:$FA,74)</f>
        <v>5649250</v>
      </c>
      <c r="F119" s="86">
        <f>VLOOKUP($A119,'Data shares'!$C:$FA,76)</f>
        <v>-82775</v>
      </c>
      <c r="G119" s="87">
        <f>VLOOKUP(A119,'Data shares'!$C$2:$CA$216,77,0)</f>
        <v>-1.44E-2</v>
      </c>
      <c r="H119" s="86">
        <f>VLOOKUP($A119,'Data shares'!$C:$FA,90)</f>
        <v>3452500</v>
      </c>
      <c r="I119" s="86">
        <f>VLOOKUP($A119,'Data shares'!$C:$FA,92)</f>
        <v>-893000</v>
      </c>
      <c r="J119" s="87">
        <f>VLOOKUP($A119,'Data shares'!$C:$FA,93)</f>
        <v>-0.20549999999999999</v>
      </c>
      <c r="K119" s="86">
        <f>VLOOKUP($A119,'Data shares'!$C:$FA,94)</f>
        <v>2395075</v>
      </c>
      <c r="L119" s="86">
        <f>VLOOKUP($A119,'Data shares'!$C:$FA,96)</f>
        <v>-151500</v>
      </c>
      <c r="M119" s="87">
        <f>VLOOKUP($A119,'Data shares'!$C:$FA,97)</f>
        <v>-5.9499999999999997E-2</v>
      </c>
      <c r="N119" s="86">
        <f>VLOOKUP($A119,'Data shares'!$C:$FA,78)</f>
        <v>4947000</v>
      </c>
      <c r="O119" s="87">
        <f>VLOOKUP($A119,'Data shares'!$C:$FA,81)</f>
        <v>-3.32E-2</v>
      </c>
    </row>
    <row r="120" spans="1:15" x14ac:dyDescent="0.25">
      <c r="A120" s="100" t="str">
        <f>'Data Vlaue (Cr)'!C115</f>
        <v>KOTAKBANK</v>
      </c>
      <c r="B120" s="82">
        <f>VLOOKUP(A120,'Data shares'!$C$2:$CV$216,98,0)</f>
        <v>299546000</v>
      </c>
      <c r="C120" s="82">
        <f>VLOOKUP(A120,'Data shares'!$C$2:$CX$216,100,0)</f>
        <v>-1506000</v>
      </c>
      <c r="D120" s="141">
        <f>VLOOKUP(A120,'Data shares'!$C$2:$CY$539,101,0)</f>
        <v>-5.0000000000000001E-3</v>
      </c>
      <c r="E120" s="86">
        <f>VLOOKUP($A120,'Data shares'!$C:$FA,74)</f>
        <v>222806000</v>
      </c>
      <c r="F120" s="86">
        <f>VLOOKUP($A120,'Data shares'!$C:$FA,76)</f>
        <v>1768000</v>
      </c>
      <c r="G120" s="87">
        <f>VLOOKUP(A120,'Data shares'!$C$2:$CA$216,77,0)</f>
        <v>8.0000000000000002E-3</v>
      </c>
      <c r="H120" s="86">
        <f>VLOOKUP($A120,'Data shares'!$C:$FA,90)</f>
        <v>47718000</v>
      </c>
      <c r="I120" s="86">
        <f>VLOOKUP($A120,'Data shares'!$C:$FA,92)</f>
        <v>-828000</v>
      </c>
      <c r="J120" s="87">
        <f>VLOOKUP($A120,'Data shares'!$C:$FA,93)</f>
        <v>-1.7100000000000001E-2</v>
      </c>
      <c r="K120" s="86">
        <f>VLOOKUP($A120,'Data shares'!$C:$FA,94)</f>
        <v>29022000</v>
      </c>
      <c r="L120" s="86">
        <f>VLOOKUP($A120,'Data shares'!$C:$FA,96)</f>
        <v>-2446000</v>
      </c>
      <c r="M120" s="87">
        <f>VLOOKUP($A120,'Data shares'!$C:$FA,97)</f>
        <v>-7.7700000000000005E-2</v>
      </c>
      <c r="N120" s="86">
        <f>VLOOKUP($A120,'Data shares'!$C:$FA,78)</f>
        <v>178568000</v>
      </c>
      <c r="O120" s="87">
        <f>VLOOKUP($A120,'Data shares'!$C:$FA,81)</f>
        <v>0</v>
      </c>
    </row>
    <row r="121" spans="1:15" x14ac:dyDescent="0.25">
      <c r="A121" s="100" t="str">
        <f>'Data Vlaue (Cr)'!C116</f>
        <v>KPITTECH</v>
      </c>
      <c r="B121" s="82">
        <f>VLOOKUP(A121,'Data shares'!$C$2:$CV$216,98,0)</f>
        <v>15233250</v>
      </c>
      <c r="C121" s="82">
        <f>VLOOKUP(A121,'Data shares'!$C$2:$CX$216,100,0)</f>
        <v>4760850</v>
      </c>
      <c r="D121" s="141">
        <f>VLOOKUP(A121,'Data shares'!$C$2:$CY$539,101,0)</f>
        <v>0.4546</v>
      </c>
      <c r="E121" s="86">
        <f>VLOOKUP($A121,'Data shares'!$C:$FA,74)</f>
        <v>6685650</v>
      </c>
      <c r="F121" s="86">
        <f>VLOOKUP($A121,'Data shares'!$C:$FA,76)</f>
        <v>446250</v>
      </c>
      <c r="G121" s="87">
        <f>VLOOKUP(A121,'Data shares'!$C$2:$CA$216,77,0)</f>
        <v>7.1499999999999994E-2</v>
      </c>
      <c r="H121" s="86">
        <f>VLOOKUP($A121,'Data shares'!$C:$FA,90)</f>
        <v>5533925</v>
      </c>
      <c r="I121" s="86">
        <f>VLOOKUP($A121,'Data shares'!$C:$FA,92)</f>
        <v>2866625</v>
      </c>
      <c r="J121" s="87">
        <f>VLOOKUP($A121,'Data shares'!$C:$FA,93)</f>
        <v>1.0747</v>
      </c>
      <c r="K121" s="86">
        <f>VLOOKUP($A121,'Data shares'!$C:$FA,94)</f>
        <v>3013675</v>
      </c>
      <c r="L121" s="86">
        <f>VLOOKUP($A121,'Data shares'!$C:$FA,96)</f>
        <v>1447975</v>
      </c>
      <c r="M121" s="87">
        <f>VLOOKUP($A121,'Data shares'!$C:$FA,97)</f>
        <v>0.92479999999999996</v>
      </c>
      <c r="N121" s="86">
        <f>VLOOKUP($A121,'Data shares'!$C:$FA,78)</f>
        <v>6354175</v>
      </c>
      <c r="O121" s="87">
        <f>VLOOKUP($A121,'Data shares'!$C:$FA,81)</f>
        <v>5.5800000000000002E-2</v>
      </c>
    </row>
    <row r="122" spans="1:15" x14ac:dyDescent="0.25">
      <c r="A122" s="100" t="str">
        <f>'Data Vlaue (Cr)'!C117</f>
        <v>LAURUSLABS</v>
      </c>
      <c r="B122" s="82">
        <f>VLOOKUP(A122,'Data shares'!$C$2:$CV$216,98,0)</f>
        <v>30400250</v>
      </c>
      <c r="C122" s="82">
        <f>VLOOKUP(A122,'Data shares'!$C$2:$CX$216,100,0)</f>
        <v>919700</v>
      </c>
      <c r="D122" s="141">
        <f>VLOOKUP(A122,'Data shares'!$C$2:$CY$539,101,0)</f>
        <v>3.1199999999999999E-2</v>
      </c>
      <c r="E122" s="86">
        <f>VLOOKUP($A122,'Data shares'!$C:$FA,74)</f>
        <v>19945250</v>
      </c>
      <c r="F122" s="86">
        <f>VLOOKUP($A122,'Data shares'!$C:$FA,76)</f>
        <v>654500</v>
      </c>
      <c r="G122" s="87">
        <f>VLOOKUP(A122,'Data shares'!$C$2:$CA$216,77,0)</f>
        <v>3.39E-2</v>
      </c>
      <c r="H122" s="86">
        <f>VLOOKUP($A122,'Data shares'!$C:$FA,90)</f>
        <v>6482950</v>
      </c>
      <c r="I122" s="86">
        <f>VLOOKUP($A122,'Data shares'!$C:$FA,92)</f>
        <v>143650</v>
      </c>
      <c r="J122" s="87">
        <f>VLOOKUP($A122,'Data shares'!$C:$FA,93)</f>
        <v>2.2700000000000001E-2</v>
      </c>
      <c r="K122" s="86">
        <f>VLOOKUP($A122,'Data shares'!$C:$FA,94)</f>
        <v>3972050</v>
      </c>
      <c r="L122" s="86">
        <f>VLOOKUP($A122,'Data shares'!$C:$FA,96)</f>
        <v>121550</v>
      </c>
      <c r="M122" s="87">
        <f>VLOOKUP($A122,'Data shares'!$C:$FA,97)</f>
        <v>3.1600000000000003E-2</v>
      </c>
      <c r="N122" s="86">
        <f>VLOOKUP($A122,'Data shares'!$C:$FA,78)</f>
        <v>19695350</v>
      </c>
      <c r="O122" s="87">
        <f>VLOOKUP($A122,'Data shares'!$C:$FA,81)</f>
        <v>3.3599999999999998E-2</v>
      </c>
    </row>
    <row r="123" spans="1:15" x14ac:dyDescent="0.25">
      <c r="A123" s="100" t="str">
        <f>'Data Vlaue (Cr)'!C118</f>
        <v>LICHSGFIN</v>
      </c>
      <c r="B123" s="82">
        <f>VLOOKUP(A123,'Data shares'!$C$2:$CV$216,98,0)</f>
        <v>41761000</v>
      </c>
      <c r="C123" s="82">
        <f>VLOOKUP(A123,'Data shares'!$C$2:$CX$216,100,0)</f>
        <v>2515000</v>
      </c>
      <c r="D123" s="141">
        <f>VLOOKUP(A123,'Data shares'!$C$2:$CY$539,101,0)</f>
        <v>6.4100000000000004E-2</v>
      </c>
      <c r="E123" s="86">
        <f>VLOOKUP($A123,'Data shares'!$C:$FA,74)</f>
        <v>31222000</v>
      </c>
      <c r="F123" s="86">
        <f>VLOOKUP($A123,'Data shares'!$C:$FA,76)</f>
        <v>996000</v>
      </c>
      <c r="G123" s="87">
        <f>VLOOKUP(A123,'Data shares'!$C$2:$CA$216,77,0)</f>
        <v>3.3000000000000002E-2</v>
      </c>
      <c r="H123" s="86">
        <f>VLOOKUP($A123,'Data shares'!$C:$FA,90)</f>
        <v>6181000</v>
      </c>
      <c r="I123" s="86">
        <f>VLOOKUP($A123,'Data shares'!$C:$FA,92)</f>
        <v>687000</v>
      </c>
      <c r="J123" s="87">
        <f>VLOOKUP($A123,'Data shares'!$C:$FA,93)</f>
        <v>0.125</v>
      </c>
      <c r="K123" s="86">
        <f>VLOOKUP($A123,'Data shares'!$C:$FA,94)</f>
        <v>4358000</v>
      </c>
      <c r="L123" s="86">
        <f>VLOOKUP($A123,'Data shares'!$C:$FA,96)</f>
        <v>832000</v>
      </c>
      <c r="M123" s="87">
        <f>VLOOKUP($A123,'Data shares'!$C:$FA,97)</f>
        <v>0.23599999999999999</v>
      </c>
      <c r="N123" s="86">
        <f>VLOOKUP($A123,'Data shares'!$C:$FA,78)</f>
        <v>30766000</v>
      </c>
      <c r="O123" s="87">
        <f>VLOOKUP($A123,'Data shares'!$C:$FA,81)</f>
        <v>3.2300000000000002E-2</v>
      </c>
    </row>
    <row r="124" spans="1:15" x14ac:dyDescent="0.25">
      <c r="A124" s="100" t="str">
        <f>'Data Vlaue (Cr)'!C119</f>
        <v>LICI</v>
      </c>
      <c r="B124" s="82">
        <f>VLOOKUP(A124,'Data shares'!$C$2:$CV$216,98,0)</f>
        <v>19400500</v>
      </c>
      <c r="C124" s="82">
        <f>VLOOKUP(A124,'Data shares'!$C$2:$CX$216,100,0)</f>
        <v>-301700</v>
      </c>
      <c r="D124" s="141">
        <f>VLOOKUP(A124,'Data shares'!$C$2:$CY$539,101,0)</f>
        <v>-1.5299999999999999E-2</v>
      </c>
      <c r="E124" s="86">
        <f>VLOOKUP($A124,'Data shares'!$C:$FA,74)</f>
        <v>9905700</v>
      </c>
      <c r="F124" s="86">
        <f>VLOOKUP($A124,'Data shares'!$C:$FA,76)</f>
        <v>-95200</v>
      </c>
      <c r="G124" s="87">
        <f>VLOOKUP(A124,'Data shares'!$C$2:$CA$216,77,0)</f>
        <v>-9.4999999999999998E-3</v>
      </c>
      <c r="H124" s="86">
        <f>VLOOKUP($A124,'Data shares'!$C:$FA,90)</f>
        <v>6003200</v>
      </c>
      <c r="I124" s="86">
        <f>VLOOKUP($A124,'Data shares'!$C:$FA,92)</f>
        <v>-70700</v>
      </c>
      <c r="J124" s="87">
        <f>VLOOKUP($A124,'Data shares'!$C:$FA,93)</f>
        <v>-1.1599999999999999E-2</v>
      </c>
      <c r="K124" s="86">
        <f>VLOOKUP($A124,'Data shares'!$C:$FA,94)</f>
        <v>3491600</v>
      </c>
      <c r="L124" s="86">
        <f>VLOOKUP($A124,'Data shares'!$C:$FA,96)</f>
        <v>-135800</v>
      </c>
      <c r="M124" s="87">
        <f>VLOOKUP($A124,'Data shares'!$C:$FA,97)</f>
        <v>-3.7400000000000003E-2</v>
      </c>
      <c r="N124" s="86">
        <f>VLOOKUP($A124,'Data shares'!$C:$FA,78)</f>
        <v>8759100</v>
      </c>
      <c r="O124" s="87">
        <f>VLOOKUP($A124,'Data shares'!$C:$FA,81)</f>
        <v>-1.5299999999999999E-2</v>
      </c>
    </row>
    <row r="125" spans="1:15" x14ac:dyDescent="0.25">
      <c r="A125" s="100" t="str">
        <f>'Data Vlaue (Cr)'!C120</f>
        <v>LODHA</v>
      </c>
      <c r="B125" s="82">
        <f>VLOOKUP(A125,'Data shares'!$C$2:$CV$216,98,0)</f>
        <v>18322475</v>
      </c>
      <c r="C125" s="82">
        <f>VLOOKUP(A125,'Data shares'!$C$2:$CX$216,100,0)</f>
        <v>-716850</v>
      </c>
      <c r="D125" s="141">
        <f>VLOOKUP(A125,'Data shares'!$C$2:$CY$539,101,0)</f>
        <v>-3.7699999999999997E-2</v>
      </c>
      <c r="E125" s="86">
        <f>VLOOKUP($A125,'Data shares'!$C:$FA,74)</f>
        <v>14450225</v>
      </c>
      <c r="F125" s="86">
        <f>VLOOKUP($A125,'Data shares'!$C:$FA,76)</f>
        <v>-384300</v>
      </c>
      <c r="G125" s="87">
        <f>VLOOKUP(A125,'Data shares'!$C$2:$CA$216,77,0)</f>
        <v>-2.5899999999999999E-2</v>
      </c>
      <c r="H125" s="86">
        <f>VLOOKUP($A125,'Data shares'!$C:$FA,90)</f>
        <v>2242350</v>
      </c>
      <c r="I125" s="86">
        <f>VLOOKUP($A125,'Data shares'!$C:$FA,92)</f>
        <v>-265500</v>
      </c>
      <c r="J125" s="87">
        <f>VLOOKUP($A125,'Data shares'!$C:$FA,93)</f>
        <v>-0.10589999999999999</v>
      </c>
      <c r="K125" s="86">
        <f>VLOOKUP($A125,'Data shares'!$C:$FA,94)</f>
        <v>1629900</v>
      </c>
      <c r="L125" s="86">
        <f>VLOOKUP($A125,'Data shares'!$C:$FA,96)</f>
        <v>-67050</v>
      </c>
      <c r="M125" s="87">
        <f>VLOOKUP($A125,'Data shares'!$C:$FA,97)</f>
        <v>-3.95E-2</v>
      </c>
      <c r="N125" s="86">
        <f>VLOOKUP($A125,'Data shares'!$C:$FA,78)</f>
        <v>13150800</v>
      </c>
      <c r="O125" s="87">
        <f>VLOOKUP($A125,'Data shares'!$C:$FA,81)</f>
        <v>-2.7799999999999998E-2</v>
      </c>
    </row>
    <row r="126" spans="1:15" x14ac:dyDescent="0.25">
      <c r="A126" s="100" t="str">
        <f>'Data Vlaue (Cr)'!C121</f>
        <v>LT</v>
      </c>
      <c r="B126" s="82">
        <f>VLOOKUP(A126,'Data shares'!$C$2:$CV$216,98,0)</f>
        <v>30930200</v>
      </c>
      <c r="C126" s="82">
        <f>VLOOKUP(A126,'Data shares'!$C$2:$CX$216,100,0)</f>
        <v>5882975</v>
      </c>
      <c r="D126" s="141">
        <f>VLOOKUP(A126,'Data shares'!$C$2:$CY$539,101,0)</f>
        <v>0.2349</v>
      </c>
      <c r="E126" s="86">
        <f>VLOOKUP($A126,'Data shares'!$C:$FA,74)</f>
        <v>17416700</v>
      </c>
      <c r="F126" s="86">
        <f>VLOOKUP($A126,'Data shares'!$C:$FA,76)</f>
        <v>2605575</v>
      </c>
      <c r="G126" s="87">
        <f>VLOOKUP(A126,'Data shares'!$C$2:$CA$216,77,0)</f>
        <v>0.1759</v>
      </c>
      <c r="H126" s="86">
        <f>VLOOKUP($A126,'Data shares'!$C:$FA,90)</f>
        <v>8452500</v>
      </c>
      <c r="I126" s="86">
        <f>VLOOKUP($A126,'Data shares'!$C:$FA,92)</f>
        <v>2720200</v>
      </c>
      <c r="J126" s="87">
        <f>VLOOKUP($A126,'Data shares'!$C:$FA,93)</f>
        <v>0.47449999999999998</v>
      </c>
      <c r="K126" s="86">
        <f>VLOOKUP($A126,'Data shares'!$C:$FA,94)</f>
        <v>5061000</v>
      </c>
      <c r="L126" s="86">
        <f>VLOOKUP($A126,'Data shares'!$C:$FA,96)</f>
        <v>557200</v>
      </c>
      <c r="M126" s="87">
        <f>VLOOKUP($A126,'Data shares'!$C:$FA,97)</f>
        <v>0.1237</v>
      </c>
      <c r="N126" s="86">
        <f>VLOOKUP($A126,'Data shares'!$C:$FA,78)</f>
        <v>16422875</v>
      </c>
      <c r="O126" s="87">
        <f>VLOOKUP($A126,'Data shares'!$C:$FA,81)</f>
        <v>0.1691</v>
      </c>
    </row>
    <row r="127" spans="1:15" x14ac:dyDescent="0.25">
      <c r="A127" s="100" t="str">
        <f>'Data Vlaue (Cr)'!C122</f>
        <v>LTF</v>
      </c>
      <c r="B127" s="82">
        <f>VLOOKUP(A127,'Data shares'!$C$2:$CV$216,98,0)</f>
        <v>70107750</v>
      </c>
      <c r="C127" s="82">
        <f>VLOOKUP(A127,'Data shares'!$C$2:$CX$216,100,0)</f>
        <v>-546750</v>
      </c>
      <c r="D127" s="141">
        <f>VLOOKUP(A127,'Data shares'!$C$2:$CY$539,101,0)</f>
        <v>-7.7000000000000002E-3</v>
      </c>
      <c r="E127" s="86">
        <f>VLOOKUP($A127,'Data shares'!$C:$FA,74)</f>
        <v>44853750</v>
      </c>
      <c r="F127" s="86">
        <f>VLOOKUP($A127,'Data shares'!$C:$FA,76)</f>
        <v>-292500</v>
      </c>
      <c r="G127" s="87">
        <f>VLOOKUP(A127,'Data shares'!$C$2:$CA$216,77,0)</f>
        <v>-6.4999999999999997E-3</v>
      </c>
      <c r="H127" s="86">
        <f>VLOOKUP($A127,'Data shares'!$C:$FA,90)</f>
        <v>14487750</v>
      </c>
      <c r="I127" s="86">
        <f>VLOOKUP($A127,'Data shares'!$C:$FA,92)</f>
        <v>-380250</v>
      </c>
      <c r="J127" s="87">
        <f>VLOOKUP($A127,'Data shares'!$C:$FA,93)</f>
        <v>-2.5600000000000001E-2</v>
      </c>
      <c r="K127" s="86">
        <f>VLOOKUP($A127,'Data shares'!$C:$FA,94)</f>
        <v>10766250</v>
      </c>
      <c r="L127" s="86">
        <f>VLOOKUP($A127,'Data shares'!$C:$FA,96)</f>
        <v>126000</v>
      </c>
      <c r="M127" s="87">
        <f>VLOOKUP($A127,'Data shares'!$C:$FA,97)</f>
        <v>1.18E-2</v>
      </c>
      <c r="N127" s="86">
        <f>VLOOKUP($A127,'Data shares'!$C:$FA,78)</f>
        <v>43485750</v>
      </c>
      <c r="O127" s="87">
        <f>VLOOKUP($A127,'Data shares'!$C:$FA,81)</f>
        <v>-1.32E-2</v>
      </c>
    </row>
    <row r="128" spans="1:15" x14ac:dyDescent="0.25">
      <c r="A128" s="100" t="str">
        <f>'Data Vlaue (Cr)'!C123</f>
        <v>LTM</v>
      </c>
      <c r="B128" s="82">
        <f>VLOOKUP(A128,'Data shares'!$C$2:$CV$216,98,0)</f>
        <v>5301450</v>
      </c>
      <c r="C128" s="82">
        <f>VLOOKUP(A128,'Data shares'!$C$2:$CX$216,100,0)</f>
        <v>202950</v>
      </c>
      <c r="D128" s="141">
        <f>VLOOKUP(A128,'Data shares'!$C$2:$CY$539,101,0)</f>
        <v>3.9800000000000002E-2</v>
      </c>
      <c r="E128" s="86">
        <f>VLOOKUP($A128,'Data shares'!$C:$FA,74)</f>
        <v>3616200</v>
      </c>
      <c r="F128" s="86">
        <f>VLOOKUP($A128,'Data shares'!$C:$FA,76)</f>
        <v>114450</v>
      </c>
      <c r="G128" s="87">
        <f>VLOOKUP(A128,'Data shares'!$C$2:$CA$216,77,0)</f>
        <v>3.27E-2</v>
      </c>
      <c r="H128" s="86">
        <f>VLOOKUP($A128,'Data shares'!$C:$FA,90)</f>
        <v>1072500</v>
      </c>
      <c r="I128" s="86">
        <f>VLOOKUP($A128,'Data shares'!$C:$FA,92)</f>
        <v>134850</v>
      </c>
      <c r="J128" s="87">
        <f>VLOOKUP($A128,'Data shares'!$C:$FA,93)</f>
        <v>0.14380000000000001</v>
      </c>
      <c r="K128" s="86">
        <f>VLOOKUP($A128,'Data shares'!$C:$FA,94)</f>
        <v>612750</v>
      </c>
      <c r="L128" s="86">
        <f>VLOOKUP($A128,'Data shares'!$C:$FA,96)</f>
        <v>-46350</v>
      </c>
      <c r="M128" s="87">
        <f>VLOOKUP($A128,'Data shares'!$C:$FA,97)</f>
        <v>-7.0300000000000001E-2</v>
      </c>
      <c r="N128" s="86">
        <f>VLOOKUP($A128,'Data shares'!$C:$FA,78)</f>
        <v>3216300</v>
      </c>
      <c r="O128" s="87">
        <f>VLOOKUP($A128,'Data shares'!$C:$FA,81)</f>
        <v>3.5000000000000001E-3</v>
      </c>
    </row>
    <row r="129" spans="1:15" x14ac:dyDescent="0.25">
      <c r="A129" s="100" t="str">
        <f>'Data Vlaue (Cr)'!C124</f>
        <v>LUPIN</v>
      </c>
      <c r="B129" s="82">
        <f>VLOOKUP(A129,'Data shares'!$C$2:$CV$216,98,0)</f>
        <v>13901750</v>
      </c>
      <c r="C129" s="82">
        <f>VLOOKUP(A129,'Data shares'!$C$2:$CX$216,100,0)</f>
        <v>1245250</v>
      </c>
      <c r="D129" s="141">
        <f>VLOOKUP(A129,'Data shares'!$C$2:$CY$539,101,0)</f>
        <v>9.8400000000000001E-2</v>
      </c>
      <c r="E129" s="86">
        <f>VLOOKUP($A129,'Data shares'!$C:$FA,74)</f>
        <v>7711625</v>
      </c>
      <c r="F129" s="86">
        <f>VLOOKUP($A129,'Data shares'!$C:$FA,76)</f>
        <v>358275</v>
      </c>
      <c r="G129" s="87">
        <f>VLOOKUP(A129,'Data shares'!$C$2:$CA$216,77,0)</f>
        <v>4.87E-2</v>
      </c>
      <c r="H129" s="86">
        <f>VLOOKUP($A129,'Data shares'!$C:$FA,90)</f>
        <v>3519425</v>
      </c>
      <c r="I129" s="86">
        <f>VLOOKUP($A129,'Data shares'!$C:$FA,92)</f>
        <v>255425</v>
      </c>
      <c r="J129" s="87">
        <f>VLOOKUP($A129,'Data shares'!$C:$FA,93)</f>
        <v>7.8299999999999995E-2</v>
      </c>
      <c r="K129" s="86">
        <f>VLOOKUP($A129,'Data shares'!$C:$FA,94)</f>
        <v>2670700</v>
      </c>
      <c r="L129" s="86">
        <f>VLOOKUP($A129,'Data shares'!$C:$FA,96)</f>
        <v>631550</v>
      </c>
      <c r="M129" s="87">
        <f>VLOOKUP($A129,'Data shares'!$C:$FA,97)</f>
        <v>0.30969999999999998</v>
      </c>
      <c r="N129" s="86">
        <f>VLOOKUP($A129,'Data shares'!$C:$FA,78)</f>
        <v>7273875</v>
      </c>
      <c r="O129" s="87">
        <f>VLOOKUP($A129,'Data shares'!$C:$FA,81)</f>
        <v>4.7199999999999999E-2</v>
      </c>
    </row>
    <row r="130" spans="1:15" x14ac:dyDescent="0.25">
      <c r="A130" s="100" t="str">
        <f>'Data Vlaue (Cr)'!C125</f>
        <v>M&amp;M</v>
      </c>
      <c r="B130" s="82">
        <f>VLOOKUP(A130,'Data shares'!$C$2:$CV$216,98,0)</f>
        <v>30425200</v>
      </c>
      <c r="C130" s="82">
        <f>VLOOKUP(A130,'Data shares'!$C$2:$CX$216,100,0)</f>
        <v>-617200</v>
      </c>
      <c r="D130" s="141">
        <f>VLOOKUP(A130,'Data shares'!$C$2:$CY$539,101,0)</f>
        <v>-1.9900000000000001E-2</v>
      </c>
      <c r="E130" s="86">
        <f>VLOOKUP($A130,'Data shares'!$C:$FA,74)</f>
        <v>19712600</v>
      </c>
      <c r="F130" s="86">
        <f>VLOOKUP($A130,'Data shares'!$C:$FA,76)</f>
        <v>-788600</v>
      </c>
      <c r="G130" s="87">
        <f>VLOOKUP(A130,'Data shares'!$C$2:$CA$216,77,0)</f>
        <v>-3.85E-2</v>
      </c>
      <c r="H130" s="86">
        <f>VLOOKUP($A130,'Data shares'!$C:$FA,90)</f>
        <v>5683600</v>
      </c>
      <c r="I130" s="86">
        <f>VLOOKUP($A130,'Data shares'!$C:$FA,92)</f>
        <v>-241400</v>
      </c>
      <c r="J130" s="87">
        <f>VLOOKUP($A130,'Data shares'!$C:$FA,93)</f>
        <v>-4.07E-2</v>
      </c>
      <c r="K130" s="86">
        <f>VLOOKUP($A130,'Data shares'!$C:$FA,94)</f>
        <v>5029000</v>
      </c>
      <c r="L130" s="86">
        <f>VLOOKUP($A130,'Data shares'!$C:$FA,96)</f>
        <v>412800</v>
      </c>
      <c r="M130" s="87">
        <f>VLOOKUP($A130,'Data shares'!$C:$FA,97)</f>
        <v>8.9399999999999993E-2</v>
      </c>
      <c r="N130" s="86">
        <f>VLOOKUP($A130,'Data shares'!$C:$FA,78)</f>
        <v>16492600</v>
      </c>
      <c r="O130" s="87">
        <f>VLOOKUP($A130,'Data shares'!$C:$FA,81)</f>
        <v>-5.0099999999999999E-2</v>
      </c>
    </row>
    <row r="131" spans="1:15" x14ac:dyDescent="0.25">
      <c r="A131" s="100" t="str">
        <f>'Data Vlaue (Cr)'!C126</f>
        <v>MANAPPURAM</v>
      </c>
      <c r="B131" s="82">
        <f>VLOOKUP(A131,'Data shares'!$C$2:$CV$216,98,0)</f>
        <v>70512000</v>
      </c>
      <c r="C131" s="82">
        <f>VLOOKUP(A131,'Data shares'!$C$2:$CX$216,100,0)</f>
        <v>-1380000</v>
      </c>
      <c r="D131" s="141">
        <f>VLOOKUP(A131,'Data shares'!$C$2:$CY$539,101,0)</f>
        <v>-1.9199999999999998E-2</v>
      </c>
      <c r="E131" s="86">
        <f>VLOOKUP($A131,'Data shares'!$C:$FA,74)</f>
        <v>49500000</v>
      </c>
      <c r="F131" s="86">
        <f>VLOOKUP($A131,'Data shares'!$C:$FA,76)</f>
        <v>-1284000</v>
      </c>
      <c r="G131" s="87">
        <f>VLOOKUP(A131,'Data shares'!$C$2:$CA$216,77,0)</f>
        <v>-2.53E-2</v>
      </c>
      <c r="H131" s="86">
        <f>VLOOKUP($A131,'Data shares'!$C:$FA,90)</f>
        <v>12201000</v>
      </c>
      <c r="I131" s="86">
        <f>VLOOKUP($A131,'Data shares'!$C:$FA,92)</f>
        <v>-387000</v>
      </c>
      <c r="J131" s="87">
        <f>VLOOKUP($A131,'Data shares'!$C:$FA,93)</f>
        <v>-3.0700000000000002E-2</v>
      </c>
      <c r="K131" s="86">
        <f>VLOOKUP($A131,'Data shares'!$C:$FA,94)</f>
        <v>8811000</v>
      </c>
      <c r="L131" s="86">
        <f>VLOOKUP($A131,'Data shares'!$C:$FA,96)</f>
        <v>291000</v>
      </c>
      <c r="M131" s="87">
        <f>VLOOKUP($A131,'Data shares'!$C:$FA,97)</f>
        <v>3.4200000000000001E-2</v>
      </c>
      <c r="N131" s="86">
        <f>VLOOKUP($A131,'Data shares'!$C:$FA,78)</f>
        <v>49059000</v>
      </c>
      <c r="O131" s="87">
        <f>VLOOKUP($A131,'Data shares'!$C:$FA,81)</f>
        <v>-2.6100000000000002E-2</v>
      </c>
    </row>
    <row r="132" spans="1:15" x14ac:dyDescent="0.25">
      <c r="A132" s="100" t="str">
        <f>'Data Vlaue (Cr)'!C127</f>
        <v>MANKIND</v>
      </c>
      <c r="B132" s="82">
        <f>VLOOKUP(A132,'Data shares'!$C$2:$CV$216,98,0)</f>
        <v>5739000</v>
      </c>
      <c r="C132" s="82">
        <f>VLOOKUP(A132,'Data shares'!$C$2:$CX$216,100,0)</f>
        <v>199950</v>
      </c>
      <c r="D132" s="141">
        <f>VLOOKUP(A132,'Data shares'!$C$2:$CY$539,101,0)</f>
        <v>3.61E-2</v>
      </c>
      <c r="E132" s="86">
        <f>VLOOKUP($A132,'Data shares'!$C:$FA,74)</f>
        <v>3909300</v>
      </c>
      <c r="F132" s="86">
        <f>VLOOKUP($A132,'Data shares'!$C:$FA,76)</f>
        <v>156975</v>
      </c>
      <c r="G132" s="87">
        <f>VLOOKUP(A132,'Data shares'!$C$2:$CA$216,77,0)</f>
        <v>4.1799999999999997E-2</v>
      </c>
      <c r="H132" s="86">
        <f>VLOOKUP($A132,'Data shares'!$C:$FA,90)</f>
        <v>1055925</v>
      </c>
      <c r="I132" s="86">
        <f>VLOOKUP($A132,'Data shares'!$C:$FA,92)</f>
        <v>-43875</v>
      </c>
      <c r="J132" s="87">
        <f>VLOOKUP($A132,'Data shares'!$C:$FA,93)</f>
        <v>-3.9899999999999998E-2</v>
      </c>
      <c r="K132" s="86">
        <f>VLOOKUP($A132,'Data shares'!$C:$FA,94)</f>
        <v>773775</v>
      </c>
      <c r="L132" s="86">
        <f>VLOOKUP($A132,'Data shares'!$C:$FA,96)</f>
        <v>86850</v>
      </c>
      <c r="M132" s="87">
        <f>VLOOKUP($A132,'Data shares'!$C:$FA,97)</f>
        <v>0.12640000000000001</v>
      </c>
      <c r="N132" s="86">
        <f>VLOOKUP($A132,'Data shares'!$C:$FA,78)</f>
        <v>3865275</v>
      </c>
      <c r="O132" s="87">
        <f>VLOOKUP($A132,'Data shares'!$C:$FA,81)</f>
        <v>3.9100000000000003E-2</v>
      </c>
    </row>
    <row r="133" spans="1:15" x14ac:dyDescent="0.25">
      <c r="A133" s="100" t="str">
        <f>'Data Vlaue (Cr)'!C128</f>
        <v>MARICO</v>
      </c>
      <c r="B133" s="82">
        <f>VLOOKUP(A133,'Data shares'!$C$2:$CV$216,98,0)</f>
        <v>35252400</v>
      </c>
      <c r="C133" s="82">
        <f>VLOOKUP(A133,'Data shares'!$C$2:$CX$216,100,0)</f>
        <v>759600</v>
      </c>
      <c r="D133" s="141">
        <f>VLOOKUP(A133,'Data shares'!$C$2:$CY$539,101,0)</f>
        <v>2.1999999999999999E-2</v>
      </c>
      <c r="E133" s="86">
        <f>VLOOKUP($A133,'Data shares'!$C:$FA,74)</f>
        <v>21456000</v>
      </c>
      <c r="F133" s="86">
        <f>VLOOKUP($A133,'Data shares'!$C:$FA,76)</f>
        <v>-1159200</v>
      </c>
      <c r="G133" s="87">
        <f>VLOOKUP(A133,'Data shares'!$C$2:$CA$216,77,0)</f>
        <v>-5.1299999999999998E-2</v>
      </c>
      <c r="H133" s="86">
        <f>VLOOKUP($A133,'Data shares'!$C:$FA,90)</f>
        <v>8059200</v>
      </c>
      <c r="I133" s="86">
        <f>VLOOKUP($A133,'Data shares'!$C:$FA,92)</f>
        <v>1231200</v>
      </c>
      <c r="J133" s="87">
        <f>VLOOKUP($A133,'Data shares'!$C:$FA,93)</f>
        <v>0.18029999999999999</v>
      </c>
      <c r="K133" s="86">
        <f>VLOOKUP($A133,'Data shares'!$C:$FA,94)</f>
        <v>5737200</v>
      </c>
      <c r="L133" s="86">
        <f>VLOOKUP($A133,'Data shares'!$C:$FA,96)</f>
        <v>687600</v>
      </c>
      <c r="M133" s="87">
        <f>VLOOKUP($A133,'Data shares'!$C:$FA,97)</f>
        <v>0.13619999999999999</v>
      </c>
      <c r="N133" s="86">
        <f>VLOOKUP($A133,'Data shares'!$C:$FA,78)</f>
        <v>20151600</v>
      </c>
      <c r="O133" s="87">
        <f>VLOOKUP($A133,'Data shares'!$C:$FA,81)</f>
        <v>-5.57E-2</v>
      </c>
    </row>
    <row r="134" spans="1:15" x14ac:dyDescent="0.25">
      <c r="A134" s="100" t="str">
        <f>'Data Vlaue (Cr)'!C129</f>
        <v>MARUTI</v>
      </c>
      <c r="B134" s="82">
        <f>VLOOKUP(A134,'Data shares'!$C$2:$CV$216,98,0)</f>
        <v>6195150</v>
      </c>
      <c r="C134" s="82">
        <f>VLOOKUP(A134,'Data shares'!$C$2:$CX$216,100,0)</f>
        <v>-106400</v>
      </c>
      <c r="D134" s="141">
        <f>VLOOKUP(A134,'Data shares'!$C$2:$CY$539,101,0)</f>
        <v>-1.6899999999999998E-2</v>
      </c>
      <c r="E134" s="86">
        <f>VLOOKUP($A134,'Data shares'!$C:$FA,74)</f>
        <v>3150600</v>
      </c>
      <c r="F134" s="86">
        <f>VLOOKUP($A134,'Data shares'!$C:$FA,76)</f>
        <v>32300</v>
      </c>
      <c r="G134" s="87">
        <f>VLOOKUP(A134,'Data shares'!$C$2:$CA$216,77,0)</f>
        <v>1.04E-2</v>
      </c>
      <c r="H134" s="86">
        <f>VLOOKUP($A134,'Data shares'!$C:$FA,90)</f>
        <v>2050450</v>
      </c>
      <c r="I134" s="86">
        <f>VLOOKUP($A134,'Data shares'!$C:$FA,92)</f>
        <v>-216950</v>
      </c>
      <c r="J134" s="87">
        <f>VLOOKUP($A134,'Data shares'!$C:$FA,93)</f>
        <v>-9.5699999999999993E-2</v>
      </c>
      <c r="K134" s="86">
        <f>VLOOKUP($A134,'Data shares'!$C:$FA,94)</f>
        <v>994100</v>
      </c>
      <c r="L134" s="86">
        <f>VLOOKUP($A134,'Data shares'!$C:$FA,96)</f>
        <v>78250</v>
      </c>
      <c r="M134" s="87">
        <f>VLOOKUP($A134,'Data shares'!$C:$FA,97)</f>
        <v>8.5400000000000004E-2</v>
      </c>
      <c r="N134" s="86">
        <f>VLOOKUP($A134,'Data shares'!$C:$FA,78)</f>
        <v>2527000</v>
      </c>
      <c r="O134" s="87">
        <f>VLOOKUP($A134,'Data shares'!$C:$FA,81)</f>
        <v>1.1599999999999999E-2</v>
      </c>
    </row>
    <row r="135" spans="1:15" x14ac:dyDescent="0.25">
      <c r="A135" s="100" t="str">
        <f>'Data Vlaue (Cr)'!C130</f>
        <v>MAXHEALTH</v>
      </c>
      <c r="B135" s="82">
        <f>VLOOKUP(A135,'Data shares'!$C$2:$CV$216,98,0)</f>
        <v>17104500</v>
      </c>
      <c r="C135" s="82">
        <f>VLOOKUP(A135,'Data shares'!$C$2:$CX$216,100,0)</f>
        <v>163275</v>
      </c>
      <c r="D135" s="141">
        <f>VLOOKUP(A135,'Data shares'!$C$2:$CY$539,101,0)</f>
        <v>9.5999999999999992E-3</v>
      </c>
      <c r="E135" s="86">
        <f>VLOOKUP($A135,'Data shares'!$C:$FA,74)</f>
        <v>13322400</v>
      </c>
      <c r="F135" s="86">
        <f>VLOOKUP($A135,'Data shares'!$C:$FA,76)</f>
        <v>-67200</v>
      </c>
      <c r="G135" s="87">
        <f>VLOOKUP(A135,'Data shares'!$C$2:$CA$216,77,0)</f>
        <v>-5.0000000000000001E-3</v>
      </c>
      <c r="H135" s="86">
        <f>VLOOKUP($A135,'Data shares'!$C:$FA,90)</f>
        <v>2504775</v>
      </c>
      <c r="I135" s="86">
        <f>VLOOKUP($A135,'Data shares'!$C:$FA,92)</f>
        <v>265125</v>
      </c>
      <c r="J135" s="87">
        <f>VLOOKUP($A135,'Data shares'!$C:$FA,93)</f>
        <v>0.11840000000000001</v>
      </c>
      <c r="K135" s="86">
        <f>VLOOKUP($A135,'Data shares'!$C:$FA,94)</f>
        <v>1277325</v>
      </c>
      <c r="L135" s="86">
        <f>VLOOKUP($A135,'Data shares'!$C:$FA,96)</f>
        <v>-34650</v>
      </c>
      <c r="M135" s="87">
        <f>VLOOKUP($A135,'Data shares'!$C:$FA,97)</f>
        <v>-2.64E-2</v>
      </c>
      <c r="N135" s="86">
        <f>VLOOKUP($A135,'Data shares'!$C:$FA,78)</f>
        <v>12048750</v>
      </c>
      <c r="O135" s="87">
        <f>VLOOKUP($A135,'Data shares'!$C:$FA,81)</f>
        <v>-7.9000000000000008E-3</v>
      </c>
    </row>
    <row r="136" spans="1:15" x14ac:dyDescent="0.25">
      <c r="A136" s="100" t="str">
        <f>'Data Vlaue (Cr)'!C131</f>
        <v>MAZDOCK</v>
      </c>
      <c r="B136" s="82">
        <f>VLOOKUP(A136,'Data shares'!$C$2:$CV$216,98,0)</f>
        <v>11143375</v>
      </c>
      <c r="C136" s="82">
        <f>VLOOKUP(A136,'Data shares'!$C$2:$CX$216,100,0)</f>
        <v>36400</v>
      </c>
      <c r="D136" s="141">
        <f>VLOOKUP(A136,'Data shares'!$C$2:$CY$539,101,0)</f>
        <v>3.3E-3</v>
      </c>
      <c r="E136" s="86">
        <f>VLOOKUP($A136,'Data shares'!$C:$FA,74)</f>
        <v>4864175</v>
      </c>
      <c r="F136" s="86">
        <f>VLOOKUP($A136,'Data shares'!$C:$FA,76)</f>
        <v>5400</v>
      </c>
      <c r="G136" s="87">
        <f>VLOOKUP(A136,'Data shares'!$C$2:$CA$216,77,0)</f>
        <v>1.1000000000000001E-3</v>
      </c>
      <c r="H136" s="86">
        <f>VLOOKUP($A136,'Data shares'!$C:$FA,90)</f>
        <v>4426000</v>
      </c>
      <c r="I136" s="86">
        <f>VLOOKUP($A136,'Data shares'!$C:$FA,92)</f>
        <v>10000</v>
      </c>
      <c r="J136" s="87">
        <f>VLOOKUP($A136,'Data shares'!$C:$FA,93)</f>
        <v>2.3E-3</v>
      </c>
      <c r="K136" s="86">
        <f>VLOOKUP($A136,'Data shares'!$C:$FA,94)</f>
        <v>1853200</v>
      </c>
      <c r="L136" s="86">
        <f>VLOOKUP($A136,'Data shares'!$C:$FA,96)</f>
        <v>21000</v>
      </c>
      <c r="M136" s="87">
        <f>VLOOKUP($A136,'Data shares'!$C:$FA,97)</f>
        <v>1.15E-2</v>
      </c>
      <c r="N136" s="86">
        <f>VLOOKUP($A136,'Data shares'!$C:$FA,78)</f>
        <v>4625400</v>
      </c>
      <c r="O136" s="87">
        <f>VLOOKUP($A136,'Data shares'!$C:$FA,81)</f>
        <v>1.9E-3</v>
      </c>
    </row>
    <row r="137" spans="1:15" x14ac:dyDescent="0.25">
      <c r="A137" s="100" t="str">
        <f>'Data Vlaue (Cr)'!C132</f>
        <v>MCX</v>
      </c>
      <c r="B137" s="82">
        <f>VLOOKUP(A137,'Data shares'!$C$2:$CV$216,98,0)</f>
        <v>21226825</v>
      </c>
      <c r="C137" s="82">
        <f>VLOOKUP(A137,'Data shares'!$C$2:$CX$216,100,0)</f>
        <v>-50825</v>
      </c>
      <c r="D137" s="141">
        <f>VLOOKUP(A137,'Data shares'!$C$2:$CY$539,101,0)</f>
        <v>-2.3999999999999998E-3</v>
      </c>
      <c r="E137" s="86">
        <f>VLOOKUP($A137,'Data shares'!$C:$FA,74)</f>
        <v>12676200</v>
      </c>
      <c r="F137" s="86">
        <f>VLOOKUP($A137,'Data shares'!$C:$FA,76)</f>
        <v>-295200</v>
      </c>
      <c r="G137" s="87">
        <f>VLOOKUP(A137,'Data shares'!$C$2:$CA$216,77,0)</f>
        <v>-2.2800000000000001E-2</v>
      </c>
      <c r="H137" s="86">
        <f>VLOOKUP($A137,'Data shares'!$C:$FA,90)</f>
        <v>4812500</v>
      </c>
      <c r="I137" s="86">
        <f>VLOOKUP($A137,'Data shares'!$C:$FA,92)</f>
        <v>-106875</v>
      </c>
      <c r="J137" s="87">
        <f>VLOOKUP($A137,'Data shares'!$C:$FA,93)</f>
        <v>-2.1700000000000001E-2</v>
      </c>
      <c r="K137" s="86">
        <f>VLOOKUP($A137,'Data shares'!$C:$FA,94)</f>
        <v>3738125</v>
      </c>
      <c r="L137" s="86">
        <f>VLOOKUP($A137,'Data shares'!$C:$FA,96)</f>
        <v>351250</v>
      </c>
      <c r="M137" s="87">
        <f>VLOOKUP($A137,'Data shares'!$C:$FA,97)</f>
        <v>0.1037</v>
      </c>
      <c r="N137" s="86">
        <f>VLOOKUP($A137,'Data shares'!$C:$FA,78)</f>
        <v>12197500</v>
      </c>
      <c r="O137" s="87">
        <f>VLOOKUP($A137,'Data shares'!$C:$FA,81)</f>
        <v>-2.2200000000000001E-2</v>
      </c>
    </row>
    <row r="138" spans="1:15" x14ac:dyDescent="0.25">
      <c r="A138" s="100" t="str">
        <f>'Data Vlaue (Cr)'!C133</f>
        <v>MFSL</v>
      </c>
      <c r="B138" s="82">
        <f>VLOOKUP(A138,'Data shares'!$C$2:$CV$216,98,0)</f>
        <v>10576800</v>
      </c>
      <c r="C138" s="82">
        <f>VLOOKUP(A138,'Data shares'!$C$2:$CX$216,100,0)</f>
        <v>458400</v>
      </c>
      <c r="D138" s="141">
        <f>VLOOKUP(A138,'Data shares'!$C$2:$CY$539,101,0)</f>
        <v>4.53E-2</v>
      </c>
      <c r="E138" s="86">
        <f>VLOOKUP($A138,'Data shares'!$C:$FA,74)</f>
        <v>9425200</v>
      </c>
      <c r="F138" s="86">
        <f>VLOOKUP($A138,'Data shares'!$C:$FA,76)</f>
        <v>115600</v>
      </c>
      <c r="G138" s="87">
        <f>VLOOKUP(A138,'Data shares'!$C$2:$CA$216,77,0)</f>
        <v>1.24E-2</v>
      </c>
      <c r="H138" s="86">
        <f>VLOOKUP($A138,'Data shares'!$C:$FA,90)</f>
        <v>762000</v>
      </c>
      <c r="I138" s="86">
        <f>VLOOKUP($A138,'Data shares'!$C:$FA,92)</f>
        <v>277200</v>
      </c>
      <c r="J138" s="87">
        <f>VLOOKUP($A138,'Data shares'!$C:$FA,93)</f>
        <v>0.57179999999999997</v>
      </c>
      <c r="K138" s="86">
        <f>VLOOKUP($A138,'Data shares'!$C:$FA,94)</f>
        <v>389600</v>
      </c>
      <c r="L138" s="86">
        <f>VLOOKUP($A138,'Data shares'!$C:$FA,96)</f>
        <v>65600</v>
      </c>
      <c r="M138" s="87">
        <f>VLOOKUP($A138,'Data shares'!$C:$FA,97)</f>
        <v>0.20250000000000001</v>
      </c>
      <c r="N138" s="86">
        <f>VLOOKUP($A138,'Data shares'!$C:$FA,78)</f>
        <v>9393600</v>
      </c>
      <c r="O138" s="87">
        <f>VLOOKUP($A138,'Data shares'!$C:$FA,81)</f>
        <v>1.2200000000000001E-2</v>
      </c>
    </row>
    <row r="139" spans="1:15" x14ac:dyDescent="0.25">
      <c r="A139" s="100" t="str">
        <f>'Data Vlaue (Cr)'!C134</f>
        <v>MIDCPNIFTY</v>
      </c>
      <c r="B139" s="82">
        <f>VLOOKUP(A139,'Data shares'!$C$2:$CV$216,98,0)</f>
        <v>11962920</v>
      </c>
      <c r="C139" s="82">
        <f>VLOOKUP(A139,'Data shares'!$C$2:$CX$216,100,0)</f>
        <v>1900440</v>
      </c>
      <c r="D139" s="141">
        <f>VLOOKUP(A139,'Data shares'!$C$2:$CY$539,101,0)</f>
        <v>0.18890000000000001</v>
      </c>
      <c r="E139" s="86">
        <f>VLOOKUP($A139,'Data shares'!$C:$FA,74)</f>
        <v>2351760</v>
      </c>
      <c r="F139" s="86">
        <f>VLOOKUP($A139,'Data shares'!$C:$FA,76)</f>
        <v>97080</v>
      </c>
      <c r="G139" s="87">
        <f>VLOOKUP(A139,'Data shares'!$C$2:$CA$216,77,0)</f>
        <v>4.3099999999999999E-2</v>
      </c>
      <c r="H139" s="86">
        <f>VLOOKUP($A139,'Data shares'!$C:$FA,90)</f>
        <v>4194000</v>
      </c>
      <c r="I139" s="86">
        <f>VLOOKUP($A139,'Data shares'!$C:$FA,92)</f>
        <v>551160</v>
      </c>
      <c r="J139" s="87">
        <f>VLOOKUP($A139,'Data shares'!$C:$FA,93)</f>
        <v>0.15129999999999999</v>
      </c>
      <c r="K139" s="86">
        <f>VLOOKUP($A139,'Data shares'!$C:$FA,94)</f>
        <v>5417160</v>
      </c>
      <c r="L139" s="86">
        <f>VLOOKUP($A139,'Data shares'!$C:$FA,96)</f>
        <v>1252200</v>
      </c>
      <c r="M139" s="87">
        <f>VLOOKUP($A139,'Data shares'!$C:$FA,97)</f>
        <v>0.30070000000000002</v>
      </c>
      <c r="N139" s="86">
        <f>VLOOKUP($A139,'Data shares'!$C:$FA,78)</f>
        <v>2288040</v>
      </c>
      <c r="O139" s="87">
        <f>VLOOKUP($A139,'Data shares'!$C:$FA,81)</f>
        <v>3.85E-2</v>
      </c>
    </row>
    <row r="140" spans="1:15" x14ac:dyDescent="0.25">
      <c r="A140" s="100" t="str">
        <f>'Data Vlaue (Cr)'!C135</f>
        <v>MOTHERSON</v>
      </c>
      <c r="B140" s="82">
        <f>VLOOKUP(A140,'Data shares'!$C$2:$CV$216,98,0)</f>
        <v>189616800</v>
      </c>
      <c r="C140" s="82">
        <f>VLOOKUP(A140,'Data shares'!$C$2:$CX$216,100,0)</f>
        <v>5565750</v>
      </c>
      <c r="D140" s="141">
        <f>VLOOKUP(A140,'Data shares'!$C$2:$CY$539,101,0)</f>
        <v>3.0200000000000001E-2</v>
      </c>
      <c r="E140" s="86">
        <f>VLOOKUP($A140,'Data shares'!$C:$FA,74)</f>
        <v>139635750</v>
      </c>
      <c r="F140" s="86">
        <f>VLOOKUP($A140,'Data shares'!$C:$FA,76)</f>
        <v>4200450</v>
      </c>
      <c r="G140" s="87">
        <f>VLOOKUP(A140,'Data shares'!$C$2:$CA$216,77,0)</f>
        <v>3.1E-2</v>
      </c>
      <c r="H140" s="86">
        <f>VLOOKUP($A140,'Data shares'!$C:$FA,90)</f>
        <v>27945600</v>
      </c>
      <c r="I140" s="86">
        <f>VLOOKUP($A140,'Data shares'!$C:$FA,92)</f>
        <v>-295200</v>
      </c>
      <c r="J140" s="87">
        <f>VLOOKUP($A140,'Data shares'!$C:$FA,93)</f>
        <v>-1.0500000000000001E-2</v>
      </c>
      <c r="K140" s="86">
        <f>VLOOKUP($A140,'Data shares'!$C:$FA,94)</f>
        <v>22035450</v>
      </c>
      <c r="L140" s="86">
        <f>VLOOKUP($A140,'Data shares'!$C:$FA,96)</f>
        <v>1660500</v>
      </c>
      <c r="M140" s="87">
        <f>VLOOKUP($A140,'Data shares'!$C:$FA,97)</f>
        <v>8.1500000000000003E-2</v>
      </c>
      <c r="N140" s="86">
        <f>VLOOKUP($A140,'Data shares'!$C:$FA,78)</f>
        <v>129076200</v>
      </c>
      <c r="O140" s="87">
        <f>VLOOKUP($A140,'Data shares'!$C:$FA,81)</f>
        <v>3.2199999999999999E-2</v>
      </c>
    </row>
    <row r="141" spans="1:15" x14ac:dyDescent="0.25">
      <c r="A141" s="100" t="str">
        <f>'Data Vlaue (Cr)'!C136</f>
        <v>MOTILALOFS</v>
      </c>
      <c r="B141" s="82">
        <f>VLOOKUP(A141,'Data shares'!$C$2:$CV$216,98,0)</f>
        <v>6412350</v>
      </c>
      <c r="C141" s="82">
        <f>VLOOKUP(A141,'Data shares'!$C$2:$CX$216,100,0)</f>
        <v>-385950</v>
      </c>
      <c r="D141" s="141">
        <f>VLOOKUP(A141,'Data shares'!$C$2:$CY$539,101,0)</f>
        <v>-5.6800000000000003E-2</v>
      </c>
      <c r="E141" s="86">
        <f>VLOOKUP($A141,'Data shares'!$C:$FA,74)</f>
        <v>2946550</v>
      </c>
      <c r="F141" s="86">
        <f>VLOOKUP($A141,'Data shares'!$C:$FA,76)</f>
        <v>-168950</v>
      </c>
      <c r="G141" s="87">
        <f>VLOOKUP(A141,'Data shares'!$C$2:$CA$216,77,0)</f>
        <v>-5.4199999999999998E-2</v>
      </c>
      <c r="H141" s="86">
        <f>VLOOKUP($A141,'Data shares'!$C:$FA,90)</f>
        <v>2108000</v>
      </c>
      <c r="I141" s="86">
        <f>VLOOKUP($A141,'Data shares'!$C:$FA,92)</f>
        <v>-122450</v>
      </c>
      <c r="J141" s="87">
        <f>VLOOKUP($A141,'Data shares'!$C:$FA,93)</f>
        <v>-5.4899999999999997E-2</v>
      </c>
      <c r="K141" s="86">
        <f>VLOOKUP($A141,'Data shares'!$C:$FA,94)</f>
        <v>1357800</v>
      </c>
      <c r="L141" s="86">
        <f>VLOOKUP($A141,'Data shares'!$C:$FA,96)</f>
        <v>-94550</v>
      </c>
      <c r="M141" s="87">
        <f>VLOOKUP($A141,'Data shares'!$C:$FA,97)</f>
        <v>-6.5100000000000005E-2</v>
      </c>
      <c r="N141" s="86">
        <f>VLOOKUP($A141,'Data shares'!$C:$FA,78)</f>
        <v>2878350</v>
      </c>
      <c r="O141" s="87">
        <f>VLOOKUP($A141,'Data shares'!$C:$FA,81)</f>
        <v>-5.74E-2</v>
      </c>
    </row>
    <row r="142" spans="1:15" x14ac:dyDescent="0.25">
      <c r="A142" s="100" t="str">
        <f>'Data Vlaue (Cr)'!C137</f>
        <v>MPHASIS</v>
      </c>
      <c r="B142" s="82">
        <f>VLOOKUP(A142,'Data shares'!$C$2:$CV$216,98,0)</f>
        <v>7304550</v>
      </c>
      <c r="C142" s="82">
        <f>VLOOKUP(A142,'Data shares'!$C$2:$CX$216,100,0)</f>
        <v>83050</v>
      </c>
      <c r="D142" s="141">
        <f>VLOOKUP(A142,'Data shares'!$C$2:$CY$539,101,0)</f>
        <v>1.15E-2</v>
      </c>
      <c r="E142" s="86">
        <f>VLOOKUP($A142,'Data shares'!$C:$FA,74)</f>
        <v>4768775</v>
      </c>
      <c r="F142" s="86">
        <f>VLOOKUP($A142,'Data shares'!$C:$FA,76)</f>
        <v>99000</v>
      </c>
      <c r="G142" s="87">
        <f>VLOOKUP(A142,'Data shares'!$C$2:$CA$216,77,0)</f>
        <v>2.12E-2</v>
      </c>
      <c r="H142" s="86">
        <f>VLOOKUP($A142,'Data shares'!$C:$FA,90)</f>
        <v>1588400</v>
      </c>
      <c r="I142" s="86">
        <f>VLOOKUP($A142,'Data shares'!$C:$FA,92)</f>
        <v>-10725</v>
      </c>
      <c r="J142" s="87">
        <f>VLOOKUP($A142,'Data shares'!$C:$FA,93)</f>
        <v>-6.7000000000000002E-3</v>
      </c>
      <c r="K142" s="86">
        <f>VLOOKUP($A142,'Data shares'!$C:$FA,94)</f>
        <v>947375</v>
      </c>
      <c r="L142" s="86">
        <f>VLOOKUP($A142,'Data shares'!$C:$FA,96)</f>
        <v>-5225</v>
      </c>
      <c r="M142" s="87">
        <f>VLOOKUP($A142,'Data shares'!$C:$FA,97)</f>
        <v>-5.4999999999999997E-3</v>
      </c>
      <c r="N142" s="86">
        <f>VLOOKUP($A142,'Data shares'!$C:$FA,78)</f>
        <v>4716800</v>
      </c>
      <c r="O142" s="87">
        <f>VLOOKUP($A142,'Data shares'!$C:$FA,81)</f>
        <v>1.9E-2</v>
      </c>
    </row>
    <row r="143" spans="1:15" x14ac:dyDescent="0.25">
      <c r="A143" s="100" t="str">
        <f>'Data Vlaue (Cr)'!C138</f>
        <v>MUTHOOTFIN</v>
      </c>
      <c r="B143" s="82">
        <f>VLOOKUP(A143,'Data shares'!$C$2:$CV$216,98,0)</f>
        <v>5899850</v>
      </c>
      <c r="C143" s="82">
        <f>VLOOKUP(A143,'Data shares'!$C$2:$CX$216,100,0)</f>
        <v>286550</v>
      </c>
      <c r="D143" s="141">
        <f>VLOOKUP(A143,'Data shares'!$C$2:$CY$539,101,0)</f>
        <v>5.0999999999999997E-2</v>
      </c>
      <c r="E143" s="86">
        <f>VLOOKUP($A143,'Data shares'!$C:$FA,74)</f>
        <v>3777950</v>
      </c>
      <c r="F143" s="86">
        <f>VLOOKUP($A143,'Data shares'!$C:$FA,76)</f>
        <v>1100</v>
      </c>
      <c r="G143" s="87">
        <f>VLOOKUP(A143,'Data shares'!$C$2:$CA$216,77,0)</f>
        <v>2.9999999999999997E-4</v>
      </c>
      <c r="H143" s="86">
        <f>VLOOKUP($A143,'Data shares'!$C:$FA,90)</f>
        <v>1275725</v>
      </c>
      <c r="I143" s="86">
        <f>VLOOKUP($A143,'Data shares'!$C:$FA,92)</f>
        <v>198275</v>
      </c>
      <c r="J143" s="87">
        <f>VLOOKUP($A143,'Data shares'!$C:$FA,93)</f>
        <v>0.184</v>
      </c>
      <c r="K143" s="86">
        <f>VLOOKUP($A143,'Data shares'!$C:$FA,94)</f>
        <v>846175</v>
      </c>
      <c r="L143" s="86">
        <f>VLOOKUP($A143,'Data shares'!$C:$FA,96)</f>
        <v>87175</v>
      </c>
      <c r="M143" s="87">
        <f>VLOOKUP($A143,'Data shares'!$C:$FA,97)</f>
        <v>0.1149</v>
      </c>
      <c r="N143" s="86">
        <f>VLOOKUP($A143,'Data shares'!$C:$FA,78)</f>
        <v>3714700</v>
      </c>
      <c r="O143" s="87">
        <f>VLOOKUP($A143,'Data shares'!$C:$FA,81)</f>
        <v>1.6000000000000001E-3</v>
      </c>
    </row>
    <row r="144" spans="1:15" x14ac:dyDescent="0.25">
      <c r="A144" s="100" t="str">
        <f>'Data Vlaue (Cr)'!C139</f>
        <v>NAM-INDIA</v>
      </c>
      <c r="B144" s="82">
        <f>VLOOKUP(A144,'Data shares'!$C$2:$CV$216,98,0)</f>
        <v>5672500</v>
      </c>
      <c r="C144" s="82">
        <f>VLOOKUP(A144,'Data shares'!$C$2:$CX$216,100,0)</f>
        <v>304375</v>
      </c>
      <c r="D144" s="141">
        <f>VLOOKUP(A144,'Data shares'!$C$2:$CY$539,101,0)</f>
        <v>5.67E-2</v>
      </c>
      <c r="E144" s="86">
        <f>VLOOKUP($A144,'Data shares'!$C:$FA,74)</f>
        <v>3794375</v>
      </c>
      <c r="F144" s="86">
        <f>VLOOKUP($A144,'Data shares'!$C:$FA,76)</f>
        <v>390625</v>
      </c>
      <c r="G144" s="87">
        <f>VLOOKUP(A144,'Data shares'!$C$2:$CA$216,77,0)</f>
        <v>0.1148</v>
      </c>
      <c r="H144" s="86">
        <f>VLOOKUP($A144,'Data shares'!$C:$FA,90)</f>
        <v>1342500</v>
      </c>
      <c r="I144" s="86">
        <f>VLOOKUP($A144,'Data shares'!$C:$FA,92)</f>
        <v>-71250</v>
      </c>
      <c r="J144" s="87">
        <f>VLOOKUP($A144,'Data shares'!$C:$FA,93)</f>
        <v>-5.04E-2</v>
      </c>
      <c r="K144" s="86">
        <f>VLOOKUP($A144,'Data shares'!$C:$FA,94)</f>
        <v>535625</v>
      </c>
      <c r="L144" s="86">
        <f>VLOOKUP($A144,'Data shares'!$C:$FA,96)</f>
        <v>-15000</v>
      </c>
      <c r="M144" s="87">
        <f>VLOOKUP($A144,'Data shares'!$C:$FA,97)</f>
        <v>-2.7199999999999998E-2</v>
      </c>
      <c r="N144" s="86">
        <f>VLOOKUP($A144,'Data shares'!$C:$FA,78)</f>
        <v>3685000</v>
      </c>
      <c r="O144" s="87">
        <f>VLOOKUP($A144,'Data shares'!$C:$FA,81)</f>
        <v>0.1021</v>
      </c>
    </row>
    <row r="145" spans="1:15" x14ac:dyDescent="0.25">
      <c r="A145" s="100" t="str">
        <f>'Data Vlaue (Cr)'!C140</f>
        <v>NATIONALUM</v>
      </c>
      <c r="B145" s="82">
        <f>VLOOKUP(A145,'Data shares'!$C$2:$CV$216,98,0)</f>
        <v>98649375</v>
      </c>
      <c r="C145" s="82">
        <f>VLOOKUP(A145,'Data shares'!$C$2:$CX$216,100,0)</f>
        <v>2107500</v>
      </c>
      <c r="D145" s="141">
        <f>VLOOKUP(A145,'Data shares'!$C$2:$CY$539,101,0)</f>
        <v>2.18E-2</v>
      </c>
      <c r="E145" s="86">
        <f>VLOOKUP($A145,'Data shares'!$C:$FA,74)</f>
        <v>53060625</v>
      </c>
      <c r="F145" s="86">
        <f>VLOOKUP($A145,'Data shares'!$C:$FA,76)</f>
        <v>720000</v>
      </c>
      <c r="G145" s="87">
        <f>VLOOKUP(A145,'Data shares'!$C$2:$CA$216,77,0)</f>
        <v>1.38E-2</v>
      </c>
      <c r="H145" s="86">
        <f>VLOOKUP($A145,'Data shares'!$C:$FA,90)</f>
        <v>29827500</v>
      </c>
      <c r="I145" s="86">
        <f>VLOOKUP($A145,'Data shares'!$C:$FA,92)</f>
        <v>1207500</v>
      </c>
      <c r="J145" s="87">
        <f>VLOOKUP($A145,'Data shares'!$C:$FA,93)</f>
        <v>4.2200000000000001E-2</v>
      </c>
      <c r="K145" s="86">
        <f>VLOOKUP($A145,'Data shares'!$C:$FA,94)</f>
        <v>15761250</v>
      </c>
      <c r="L145" s="86">
        <f>VLOOKUP($A145,'Data shares'!$C:$FA,96)</f>
        <v>180000</v>
      </c>
      <c r="M145" s="87">
        <f>VLOOKUP($A145,'Data shares'!$C:$FA,97)</f>
        <v>1.1599999999999999E-2</v>
      </c>
      <c r="N145" s="86">
        <f>VLOOKUP($A145,'Data shares'!$C:$FA,78)</f>
        <v>51603750</v>
      </c>
      <c r="O145" s="87">
        <f>VLOOKUP($A145,'Data shares'!$C:$FA,81)</f>
        <v>1.0800000000000001E-2</v>
      </c>
    </row>
    <row r="146" spans="1:15" x14ac:dyDescent="0.25">
      <c r="A146" s="100" t="str">
        <f>'Data Vlaue (Cr)'!C141</f>
        <v>NAUKRI</v>
      </c>
      <c r="B146" s="82">
        <f>VLOOKUP(A146,'Data shares'!$C$2:$CV$216,98,0)</f>
        <v>14903875</v>
      </c>
      <c r="C146" s="82">
        <f>VLOOKUP(A146,'Data shares'!$C$2:$CX$216,100,0)</f>
        <v>720275</v>
      </c>
      <c r="D146" s="141">
        <f>VLOOKUP(A146,'Data shares'!$C$2:$CY$539,101,0)</f>
        <v>5.0799999999999998E-2</v>
      </c>
      <c r="E146" s="86">
        <f>VLOOKUP($A146,'Data shares'!$C:$FA,74)</f>
        <v>11075500</v>
      </c>
      <c r="F146" s="86">
        <f>VLOOKUP($A146,'Data shares'!$C:$FA,76)</f>
        <v>506900</v>
      </c>
      <c r="G146" s="87">
        <f>VLOOKUP(A146,'Data shares'!$C$2:$CA$216,77,0)</f>
        <v>4.8000000000000001E-2</v>
      </c>
      <c r="H146" s="86">
        <f>VLOOKUP($A146,'Data shares'!$C:$FA,90)</f>
        <v>2840250</v>
      </c>
      <c r="I146" s="86">
        <f>VLOOKUP($A146,'Data shares'!$C:$FA,92)</f>
        <v>228375</v>
      </c>
      <c r="J146" s="87">
        <f>VLOOKUP($A146,'Data shares'!$C:$FA,93)</f>
        <v>8.7400000000000005E-2</v>
      </c>
      <c r="K146" s="86">
        <f>VLOOKUP($A146,'Data shares'!$C:$FA,94)</f>
        <v>988125</v>
      </c>
      <c r="L146" s="86">
        <f>VLOOKUP($A146,'Data shares'!$C:$FA,96)</f>
        <v>-15000</v>
      </c>
      <c r="M146" s="87">
        <f>VLOOKUP($A146,'Data shares'!$C:$FA,97)</f>
        <v>-1.4999999999999999E-2</v>
      </c>
      <c r="N146" s="86">
        <f>VLOOKUP($A146,'Data shares'!$C:$FA,78)</f>
        <v>10918875</v>
      </c>
      <c r="O146" s="87">
        <f>VLOOKUP($A146,'Data shares'!$C:$FA,81)</f>
        <v>4.6699999999999998E-2</v>
      </c>
    </row>
    <row r="147" spans="1:15" x14ac:dyDescent="0.25">
      <c r="A147" s="100" t="str">
        <f>'Data Vlaue (Cr)'!C142</f>
        <v>NBCC</v>
      </c>
      <c r="B147" s="82">
        <f>VLOOKUP(A147,'Data shares'!$C$2:$CV$216,98,0)</f>
        <v>105807000</v>
      </c>
      <c r="C147" s="82">
        <f>VLOOKUP(A147,'Data shares'!$C$2:$CX$216,100,0)</f>
        <v>5817500</v>
      </c>
      <c r="D147" s="141">
        <f>VLOOKUP(A147,'Data shares'!$C$2:$CY$539,101,0)</f>
        <v>5.8200000000000002E-2</v>
      </c>
      <c r="E147" s="86">
        <f>VLOOKUP($A147,'Data shares'!$C:$FA,74)</f>
        <v>76414000</v>
      </c>
      <c r="F147" s="86">
        <f>VLOOKUP($A147,'Data shares'!$C:$FA,76)</f>
        <v>2782000</v>
      </c>
      <c r="G147" s="87">
        <f>VLOOKUP(A147,'Data shares'!$C$2:$CA$216,77,0)</f>
        <v>3.78E-2</v>
      </c>
      <c r="H147" s="86">
        <f>VLOOKUP($A147,'Data shares'!$C:$FA,90)</f>
        <v>16451500</v>
      </c>
      <c r="I147" s="86">
        <f>VLOOKUP($A147,'Data shares'!$C:$FA,92)</f>
        <v>1228500</v>
      </c>
      <c r="J147" s="87">
        <f>VLOOKUP($A147,'Data shares'!$C:$FA,93)</f>
        <v>8.0699999999999994E-2</v>
      </c>
      <c r="K147" s="86">
        <f>VLOOKUP($A147,'Data shares'!$C:$FA,94)</f>
        <v>12941500</v>
      </c>
      <c r="L147" s="86">
        <f>VLOOKUP($A147,'Data shares'!$C:$FA,96)</f>
        <v>1807000</v>
      </c>
      <c r="M147" s="87">
        <f>VLOOKUP($A147,'Data shares'!$C:$FA,97)</f>
        <v>0.1623</v>
      </c>
      <c r="N147" s="86">
        <f>VLOOKUP($A147,'Data shares'!$C:$FA,78)</f>
        <v>74490000</v>
      </c>
      <c r="O147" s="87">
        <f>VLOOKUP($A147,'Data shares'!$C:$FA,81)</f>
        <v>3.6400000000000002E-2</v>
      </c>
    </row>
    <row r="148" spans="1:15" x14ac:dyDescent="0.25">
      <c r="A148" s="100" t="str">
        <f>'Data Vlaue (Cr)'!C143</f>
        <v>NESTLEIND</v>
      </c>
      <c r="B148" s="82">
        <f>VLOOKUP(A148,'Data shares'!$C$2:$CV$216,98,0)</f>
        <v>23236000</v>
      </c>
      <c r="C148" s="82">
        <f>VLOOKUP(A148,'Data shares'!$C$2:$CX$216,100,0)</f>
        <v>1079000</v>
      </c>
      <c r="D148" s="141">
        <f>VLOOKUP(A148,'Data shares'!$C$2:$CY$539,101,0)</f>
        <v>4.87E-2</v>
      </c>
      <c r="E148" s="86">
        <f>VLOOKUP($A148,'Data shares'!$C:$FA,74)</f>
        <v>14470000</v>
      </c>
      <c r="F148" s="86">
        <f>VLOOKUP($A148,'Data shares'!$C:$FA,76)</f>
        <v>66000</v>
      </c>
      <c r="G148" s="87">
        <f>VLOOKUP(A148,'Data shares'!$C$2:$CA$216,77,0)</f>
        <v>4.5999999999999999E-3</v>
      </c>
      <c r="H148" s="86">
        <f>VLOOKUP($A148,'Data shares'!$C:$FA,90)</f>
        <v>4218000</v>
      </c>
      <c r="I148" s="86">
        <f>VLOOKUP($A148,'Data shares'!$C:$FA,92)</f>
        <v>205000</v>
      </c>
      <c r="J148" s="87">
        <f>VLOOKUP($A148,'Data shares'!$C:$FA,93)</f>
        <v>5.11E-2</v>
      </c>
      <c r="K148" s="86">
        <f>VLOOKUP($A148,'Data shares'!$C:$FA,94)</f>
        <v>4548000</v>
      </c>
      <c r="L148" s="86">
        <f>VLOOKUP($A148,'Data shares'!$C:$FA,96)</f>
        <v>808000</v>
      </c>
      <c r="M148" s="87">
        <f>VLOOKUP($A148,'Data shares'!$C:$FA,97)</f>
        <v>0.216</v>
      </c>
      <c r="N148" s="86">
        <f>VLOOKUP($A148,'Data shares'!$C:$FA,78)</f>
        <v>13296500</v>
      </c>
      <c r="O148" s="87">
        <f>VLOOKUP($A148,'Data shares'!$C:$FA,81)</f>
        <v>-1.5E-3</v>
      </c>
    </row>
    <row r="149" spans="1:15" x14ac:dyDescent="0.25">
      <c r="A149" s="100" t="str">
        <f>'Data Vlaue (Cr)'!C144</f>
        <v>NHPC</v>
      </c>
      <c r="B149" s="82">
        <f>VLOOKUP(A149,'Data shares'!$C$2:$CV$216,98,0)</f>
        <v>168492000</v>
      </c>
      <c r="C149" s="82">
        <f>VLOOKUP(A149,'Data shares'!$C$2:$CX$216,100,0)</f>
        <v>5815800</v>
      </c>
      <c r="D149" s="141">
        <f>VLOOKUP(A149,'Data shares'!$C$2:$CY$539,101,0)</f>
        <v>3.5799999999999998E-2</v>
      </c>
      <c r="E149" s="86">
        <f>VLOOKUP($A149,'Data shares'!$C:$FA,74)</f>
        <v>103244000</v>
      </c>
      <c r="F149" s="86">
        <f>VLOOKUP($A149,'Data shares'!$C:$FA,76)</f>
        <v>2564600</v>
      </c>
      <c r="G149" s="87">
        <f>VLOOKUP(A149,'Data shares'!$C$2:$CA$216,77,0)</f>
        <v>2.5499999999999998E-2</v>
      </c>
      <c r="H149" s="86">
        <f>VLOOKUP($A149,'Data shares'!$C:$FA,90)</f>
        <v>41305600</v>
      </c>
      <c r="I149" s="86">
        <f>VLOOKUP($A149,'Data shares'!$C:$FA,92)</f>
        <v>1792000</v>
      </c>
      <c r="J149" s="87">
        <f>VLOOKUP($A149,'Data shares'!$C:$FA,93)</f>
        <v>4.5400000000000003E-2</v>
      </c>
      <c r="K149" s="86">
        <f>VLOOKUP($A149,'Data shares'!$C:$FA,94)</f>
        <v>23942400</v>
      </c>
      <c r="L149" s="86">
        <f>VLOOKUP($A149,'Data shares'!$C:$FA,96)</f>
        <v>1459200</v>
      </c>
      <c r="M149" s="87">
        <f>VLOOKUP($A149,'Data shares'!$C:$FA,97)</f>
        <v>6.4899999999999999E-2</v>
      </c>
      <c r="N149" s="86">
        <f>VLOOKUP($A149,'Data shares'!$C:$FA,78)</f>
        <v>98745600</v>
      </c>
      <c r="O149" s="87">
        <f>VLOOKUP($A149,'Data shares'!$C:$FA,81)</f>
        <v>2.1600000000000001E-2</v>
      </c>
    </row>
    <row r="150" spans="1:15" x14ac:dyDescent="0.25">
      <c r="A150" s="100" t="str">
        <f>'Data Vlaue (Cr)'!C145</f>
        <v>NIFTY</v>
      </c>
      <c r="B150" s="82">
        <f>VLOOKUP(A150,'Data shares'!$C$2:$CV$216,98,0)</f>
        <v>410215605</v>
      </c>
      <c r="C150" s="82">
        <f>VLOOKUP(A150,'Data shares'!$C$2:$CX$216,100,0)</f>
        <v>-289739585</v>
      </c>
      <c r="D150" s="141">
        <f>VLOOKUP(A150,'Data shares'!$C$2:$CY$539,101,0)</f>
        <v>-0.41389999999999999</v>
      </c>
      <c r="E150" s="86">
        <f>VLOOKUP($A150,'Data shares'!$C:$FA,74)</f>
        <v>18340855</v>
      </c>
      <c r="F150" s="86">
        <f>VLOOKUP($A150,'Data shares'!$C:$FA,76)</f>
        <v>484770</v>
      </c>
      <c r="G150" s="87">
        <f>VLOOKUP(A150,'Data shares'!$C$2:$CA$216,77,0)</f>
        <v>2.7099999999999999E-2</v>
      </c>
      <c r="H150" s="86">
        <f>VLOOKUP($A150,'Data shares'!$C:$FA,90)</f>
        <v>179240005</v>
      </c>
      <c r="I150" s="86">
        <f>VLOOKUP($A150,'Data shares'!$C:$FA,92)</f>
        <v>31988245</v>
      </c>
      <c r="J150" s="87">
        <f>VLOOKUP($A150,'Data shares'!$C:$FA,93)</f>
        <v>0.2172</v>
      </c>
      <c r="K150" s="86">
        <f>VLOOKUP($A150,'Data shares'!$C:$FA,94)</f>
        <v>212634745</v>
      </c>
      <c r="L150" s="86">
        <f>VLOOKUP($A150,'Data shares'!$C:$FA,96)</f>
        <v>53791275</v>
      </c>
      <c r="M150" s="87">
        <f>VLOOKUP($A150,'Data shares'!$C:$FA,97)</f>
        <v>0.33860000000000001</v>
      </c>
      <c r="N150" s="86">
        <f>VLOOKUP($A150,'Data shares'!$C:$FA,78)</f>
        <v>16343340</v>
      </c>
      <c r="O150" s="87">
        <f>VLOOKUP($A150,'Data shares'!$C:$FA,81)</f>
        <v>1.83E-2</v>
      </c>
    </row>
    <row r="151" spans="1:15" x14ac:dyDescent="0.25">
      <c r="A151" s="100" t="str">
        <f>'Data Vlaue (Cr)'!C146</f>
        <v>NIFTYNXT50</v>
      </c>
      <c r="B151" s="82">
        <f>VLOOKUP(A151,'Data shares'!$C$2:$CV$216,98,0)</f>
        <v>23550</v>
      </c>
      <c r="C151" s="82">
        <f>VLOOKUP(A151,'Data shares'!$C$2:$CX$216,100,0)</f>
        <v>1925</v>
      </c>
      <c r="D151" s="141">
        <f>VLOOKUP(A151,'Data shares'!$C$2:$CY$539,101,0)</f>
        <v>8.8999999999999996E-2</v>
      </c>
      <c r="E151" s="86">
        <f>VLOOKUP($A151,'Data shares'!$C:$FA,74)</f>
        <v>19525</v>
      </c>
      <c r="F151" s="86">
        <f>VLOOKUP($A151,'Data shares'!$C:$FA,76)</f>
        <v>175</v>
      </c>
      <c r="G151" s="87">
        <f>VLOOKUP(A151,'Data shares'!$C$2:$CA$216,77,0)</f>
        <v>8.9999999999999993E-3</v>
      </c>
      <c r="H151" s="86">
        <f>VLOOKUP($A151,'Data shares'!$C:$FA,90)</f>
        <v>3625</v>
      </c>
      <c r="I151" s="86">
        <f>VLOOKUP($A151,'Data shares'!$C:$FA,92)</f>
        <v>1550</v>
      </c>
      <c r="J151" s="87">
        <f>VLOOKUP($A151,'Data shares'!$C:$FA,93)</f>
        <v>0.747</v>
      </c>
      <c r="K151" s="86">
        <f>VLOOKUP($A151,'Data shares'!$C:$FA,94)</f>
        <v>400</v>
      </c>
      <c r="L151" s="86">
        <f>VLOOKUP($A151,'Data shares'!$C:$FA,96)</f>
        <v>200</v>
      </c>
      <c r="M151" s="87">
        <f>VLOOKUP($A151,'Data shares'!$C:$FA,97)</f>
        <v>1</v>
      </c>
      <c r="N151" s="86">
        <f>VLOOKUP($A151,'Data shares'!$C:$FA,78)</f>
        <v>18775</v>
      </c>
      <c r="O151" s="87">
        <f>VLOOKUP($A151,'Data shares'!$C:$FA,81)</f>
        <v>1.49E-2</v>
      </c>
    </row>
    <row r="152" spans="1:15" x14ac:dyDescent="0.25">
      <c r="A152" s="100" t="str">
        <f>'Data Vlaue (Cr)'!C147</f>
        <v>NMDC</v>
      </c>
      <c r="B152" s="82">
        <f>VLOOKUP(A152,'Data shares'!$C$2:$CV$216,98,0)</f>
        <v>435111750</v>
      </c>
      <c r="C152" s="82">
        <f>VLOOKUP(A152,'Data shares'!$C$2:$CX$216,100,0)</f>
        <v>6986250</v>
      </c>
      <c r="D152" s="141">
        <f>VLOOKUP(A152,'Data shares'!$C$2:$CY$539,101,0)</f>
        <v>1.6299999999999999E-2</v>
      </c>
      <c r="E152" s="86">
        <f>VLOOKUP($A152,'Data shares'!$C:$FA,74)</f>
        <v>327125250</v>
      </c>
      <c r="F152" s="86">
        <f>VLOOKUP($A152,'Data shares'!$C:$FA,76)</f>
        <v>3260250</v>
      </c>
      <c r="G152" s="87">
        <f>VLOOKUP(A152,'Data shares'!$C$2:$CA$216,77,0)</f>
        <v>1.01E-2</v>
      </c>
      <c r="H152" s="86">
        <f>VLOOKUP($A152,'Data shares'!$C:$FA,90)</f>
        <v>72123750</v>
      </c>
      <c r="I152" s="86">
        <f>VLOOKUP($A152,'Data shares'!$C:$FA,92)</f>
        <v>1842750</v>
      </c>
      <c r="J152" s="87">
        <f>VLOOKUP($A152,'Data shares'!$C:$FA,93)</f>
        <v>2.6200000000000001E-2</v>
      </c>
      <c r="K152" s="86">
        <f>VLOOKUP($A152,'Data shares'!$C:$FA,94)</f>
        <v>35862750</v>
      </c>
      <c r="L152" s="86">
        <f>VLOOKUP($A152,'Data shares'!$C:$FA,96)</f>
        <v>1883250</v>
      </c>
      <c r="M152" s="87">
        <f>VLOOKUP($A152,'Data shares'!$C:$FA,97)</f>
        <v>5.5399999999999998E-2</v>
      </c>
      <c r="N152" s="86">
        <f>VLOOKUP($A152,'Data shares'!$C:$FA,78)</f>
        <v>318316500</v>
      </c>
      <c r="O152" s="87">
        <f>VLOOKUP($A152,'Data shares'!$C:$FA,81)</f>
        <v>9.5999999999999992E-3</v>
      </c>
    </row>
    <row r="153" spans="1:15" x14ac:dyDescent="0.25">
      <c r="A153" s="100" t="str">
        <f>'Data Vlaue (Cr)'!C148</f>
        <v>NTPC</v>
      </c>
      <c r="B153" s="82">
        <f>VLOOKUP(A153,'Data shares'!$C$2:$CV$216,98,0)</f>
        <v>169789500</v>
      </c>
      <c r="C153" s="82">
        <f>VLOOKUP(A153,'Data shares'!$C$2:$CX$216,100,0)</f>
        <v>4236000</v>
      </c>
      <c r="D153" s="141">
        <f>VLOOKUP(A153,'Data shares'!$C$2:$CY$539,101,0)</f>
        <v>2.5600000000000001E-2</v>
      </c>
      <c r="E153" s="86">
        <f>VLOOKUP($A153,'Data shares'!$C:$FA,74)</f>
        <v>111912000</v>
      </c>
      <c r="F153" s="86">
        <f>VLOOKUP($A153,'Data shares'!$C:$FA,76)</f>
        <v>-19500</v>
      </c>
      <c r="G153" s="87">
        <f>VLOOKUP(A153,'Data shares'!$C$2:$CA$216,77,0)</f>
        <v>-2.0000000000000001E-4</v>
      </c>
      <c r="H153" s="86">
        <f>VLOOKUP($A153,'Data shares'!$C:$FA,90)</f>
        <v>42199500</v>
      </c>
      <c r="I153" s="86">
        <f>VLOOKUP($A153,'Data shares'!$C:$FA,92)</f>
        <v>3379500</v>
      </c>
      <c r="J153" s="87">
        <f>VLOOKUP($A153,'Data shares'!$C:$FA,93)</f>
        <v>8.7099999999999997E-2</v>
      </c>
      <c r="K153" s="86">
        <f>VLOOKUP($A153,'Data shares'!$C:$FA,94)</f>
        <v>15678000</v>
      </c>
      <c r="L153" s="86">
        <f>VLOOKUP($A153,'Data shares'!$C:$FA,96)</f>
        <v>876000</v>
      </c>
      <c r="M153" s="87">
        <f>VLOOKUP($A153,'Data shares'!$C:$FA,97)</f>
        <v>5.9200000000000003E-2</v>
      </c>
      <c r="N153" s="86">
        <f>VLOOKUP($A153,'Data shares'!$C:$FA,78)</f>
        <v>100503000</v>
      </c>
      <c r="O153" s="87">
        <f>VLOOKUP($A153,'Data shares'!$C:$FA,81)</f>
        <v>-7.1000000000000004E-3</v>
      </c>
    </row>
    <row r="154" spans="1:15" x14ac:dyDescent="0.25">
      <c r="A154" s="100" t="str">
        <f>'Data Vlaue (Cr)'!C149</f>
        <v>NUVAMA</v>
      </c>
      <c r="B154" s="82">
        <f>VLOOKUP(A154,'Data shares'!$C$2:$CV$216,98,0)</f>
        <v>2647000</v>
      </c>
      <c r="C154" s="82">
        <f>VLOOKUP(A154,'Data shares'!$C$2:$CX$216,100,0)</f>
        <v>260000</v>
      </c>
      <c r="D154" s="141">
        <f>VLOOKUP(A154,'Data shares'!$C$2:$CY$539,101,0)</f>
        <v>0.1089</v>
      </c>
      <c r="E154" s="86">
        <f>VLOOKUP($A154,'Data shares'!$C:$FA,74)</f>
        <v>1330000</v>
      </c>
      <c r="F154" s="86">
        <f>VLOOKUP($A154,'Data shares'!$C:$FA,76)</f>
        <v>-10500</v>
      </c>
      <c r="G154" s="87">
        <f>VLOOKUP(A154,'Data shares'!$C$2:$CA$216,77,0)</f>
        <v>-7.7999999999999996E-3</v>
      </c>
      <c r="H154" s="86">
        <f>VLOOKUP($A154,'Data shares'!$C:$FA,90)</f>
        <v>810500</v>
      </c>
      <c r="I154" s="86">
        <f>VLOOKUP($A154,'Data shares'!$C:$FA,92)</f>
        <v>114500</v>
      </c>
      <c r="J154" s="87">
        <f>VLOOKUP($A154,'Data shares'!$C:$FA,93)</f>
        <v>0.16450000000000001</v>
      </c>
      <c r="K154" s="86">
        <f>VLOOKUP($A154,'Data shares'!$C:$FA,94)</f>
        <v>506500</v>
      </c>
      <c r="L154" s="86">
        <f>VLOOKUP($A154,'Data shares'!$C:$FA,96)</f>
        <v>156000</v>
      </c>
      <c r="M154" s="87">
        <f>VLOOKUP($A154,'Data shares'!$C:$FA,97)</f>
        <v>0.4451</v>
      </c>
      <c r="N154" s="86">
        <f>VLOOKUP($A154,'Data shares'!$C:$FA,78)</f>
        <v>1243000</v>
      </c>
      <c r="O154" s="87">
        <f>VLOOKUP($A154,'Data shares'!$C:$FA,81)</f>
        <v>-1.6199999999999999E-2</v>
      </c>
    </row>
    <row r="155" spans="1:15" x14ac:dyDescent="0.25">
      <c r="A155" s="100" t="str">
        <f>'Data Vlaue (Cr)'!C150</f>
        <v>NYKAA</v>
      </c>
      <c r="B155" s="82">
        <f>VLOOKUP(A155,'Data shares'!$C$2:$CV$216,98,0)</f>
        <v>57384375</v>
      </c>
      <c r="C155" s="82">
        <f>VLOOKUP(A155,'Data shares'!$C$2:$CX$216,100,0)</f>
        <v>1500000</v>
      </c>
      <c r="D155" s="141">
        <f>VLOOKUP(A155,'Data shares'!$C$2:$CY$539,101,0)</f>
        <v>2.6800000000000001E-2</v>
      </c>
      <c r="E155" s="86">
        <f>VLOOKUP($A155,'Data shares'!$C:$FA,74)</f>
        <v>46890625</v>
      </c>
      <c r="F155" s="86">
        <f>VLOOKUP($A155,'Data shares'!$C:$FA,76)</f>
        <v>-225000</v>
      </c>
      <c r="G155" s="87">
        <f>VLOOKUP(A155,'Data shares'!$C$2:$CA$216,77,0)</f>
        <v>-4.7999999999999996E-3</v>
      </c>
      <c r="H155" s="86">
        <f>VLOOKUP($A155,'Data shares'!$C:$FA,90)</f>
        <v>6940625</v>
      </c>
      <c r="I155" s="86">
        <f>VLOOKUP($A155,'Data shares'!$C:$FA,92)</f>
        <v>1268750</v>
      </c>
      <c r="J155" s="87">
        <f>VLOOKUP($A155,'Data shares'!$C:$FA,93)</f>
        <v>0.22370000000000001</v>
      </c>
      <c r="K155" s="86">
        <f>VLOOKUP($A155,'Data shares'!$C:$FA,94)</f>
        <v>3553125</v>
      </c>
      <c r="L155" s="86">
        <f>VLOOKUP($A155,'Data shares'!$C:$FA,96)</f>
        <v>456250</v>
      </c>
      <c r="M155" s="87">
        <f>VLOOKUP($A155,'Data shares'!$C:$FA,97)</f>
        <v>0.14729999999999999</v>
      </c>
      <c r="N155" s="86">
        <f>VLOOKUP($A155,'Data shares'!$C:$FA,78)</f>
        <v>46662500</v>
      </c>
      <c r="O155" s="87">
        <f>VLOOKUP($A155,'Data shares'!$C:$FA,81)</f>
        <v>-5.8999999999999999E-3</v>
      </c>
    </row>
    <row r="156" spans="1:15" x14ac:dyDescent="0.25">
      <c r="A156" s="100" t="str">
        <f>'Data Vlaue (Cr)'!C151</f>
        <v>OBEROIRLTY</v>
      </c>
      <c r="B156" s="82">
        <f>VLOOKUP(A156,'Data shares'!$C$2:$CV$216,98,0)</f>
        <v>8488900</v>
      </c>
      <c r="C156" s="82">
        <f>VLOOKUP(A156,'Data shares'!$C$2:$CX$216,100,0)</f>
        <v>130900</v>
      </c>
      <c r="D156" s="141">
        <f>VLOOKUP(A156,'Data shares'!$C$2:$CY$539,101,0)</f>
        <v>1.5699999999999999E-2</v>
      </c>
      <c r="E156" s="86">
        <f>VLOOKUP($A156,'Data shares'!$C:$FA,74)</f>
        <v>6983900</v>
      </c>
      <c r="F156" s="86">
        <f>VLOOKUP($A156,'Data shares'!$C:$FA,76)</f>
        <v>-700</v>
      </c>
      <c r="G156" s="87">
        <f>VLOOKUP(A156,'Data shares'!$C$2:$CA$216,77,0)</f>
        <v>-1E-4</v>
      </c>
      <c r="H156" s="86">
        <f>VLOOKUP($A156,'Data shares'!$C:$FA,90)</f>
        <v>1107750</v>
      </c>
      <c r="I156" s="86">
        <f>VLOOKUP($A156,'Data shares'!$C:$FA,92)</f>
        <v>95200</v>
      </c>
      <c r="J156" s="87">
        <f>VLOOKUP($A156,'Data shares'!$C:$FA,93)</f>
        <v>9.4E-2</v>
      </c>
      <c r="K156" s="86">
        <f>VLOOKUP($A156,'Data shares'!$C:$FA,94)</f>
        <v>397250</v>
      </c>
      <c r="L156" s="86">
        <f>VLOOKUP($A156,'Data shares'!$C:$FA,96)</f>
        <v>36400</v>
      </c>
      <c r="M156" s="87">
        <f>VLOOKUP($A156,'Data shares'!$C:$FA,97)</f>
        <v>0.1009</v>
      </c>
      <c r="N156" s="86">
        <f>VLOOKUP($A156,'Data shares'!$C:$FA,78)</f>
        <v>6887650</v>
      </c>
      <c r="O156" s="87">
        <f>VLOOKUP($A156,'Data shares'!$C:$FA,81)</f>
        <v>-2.5000000000000001E-3</v>
      </c>
    </row>
    <row r="157" spans="1:15" x14ac:dyDescent="0.25">
      <c r="A157" s="100" t="str">
        <f>'Data Vlaue (Cr)'!C152</f>
        <v>OFSS</v>
      </c>
      <c r="B157" s="82">
        <f>VLOOKUP(A157,'Data shares'!$C$2:$CV$216,98,0)</f>
        <v>2605050</v>
      </c>
      <c r="C157" s="82">
        <f>VLOOKUP(A157,'Data shares'!$C$2:$CX$216,100,0)</f>
        <v>43900</v>
      </c>
      <c r="D157" s="141">
        <f>VLOOKUP(A157,'Data shares'!$C$2:$CY$539,101,0)</f>
        <v>1.7100000000000001E-2</v>
      </c>
      <c r="E157" s="86">
        <f>VLOOKUP($A157,'Data shares'!$C:$FA,74)</f>
        <v>1269225</v>
      </c>
      <c r="F157" s="86">
        <f>VLOOKUP($A157,'Data shares'!$C:$FA,76)</f>
        <v>-5300</v>
      </c>
      <c r="G157" s="87">
        <f>VLOOKUP(A157,'Data shares'!$C$2:$CA$216,77,0)</f>
        <v>-4.1999999999999997E-3</v>
      </c>
      <c r="H157" s="86">
        <f>VLOOKUP($A157,'Data shares'!$C:$FA,90)</f>
        <v>637350</v>
      </c>
      <c r="I157" s="86">
        <f>VLOOKUP($A157,'Data shares'!$C:$FA,92)</f>
        <v>3075</v>
      </c>
      <c r="J157" s="87">
        <f>VLOOKUP($A157,'Data shares'!$C:$FA,93)</f>
        <v>4.7999999999999996E-3</v>
      </c>
      <c r="K157" s="86">
        <f>VLOOKUP($A157,'Data shares'!$C:$FA,94)</f>
        <v>698475</v>
      </c>
      <c r="L157" s="86">
        <f>VLOOKUP($A157,'Data shares'!$C:$FA,96)</f>
        <v>46125</v>
      </c>
      <c r="M157" s="87">
        <f>VLOOKUP($A157,'Data shares'!$C:$FA,97)</f>
        <v>7.0699999999999999E-2</v>
      </c>
      <c r="N157" s="86">
        <f>VLOOKUP($A157,'Data shares'!$C:$FA,78)</f>
        <v>1241100</v>
      </c>
      <c r="O157" s="87">
        <f>VLOOKUP($A157,'Data shares'!$C:$FA,81)</f>
        <v>-6.1000000000000004E-3</v>
      </c>
    </row>
    <row r="158" spans="1:15" x14ac:dyDescent="0.25">
      <c r="A158" s="100" t="str">
        <f>'Data Vlaue (Cr)'!C153</f>
        <v>OIL</v>
      </c>
      <c r="B158" s="82">
        <f>VLOOKUP(A158,'Data shares'!$C$2:$CV$216,98,0)</f>
        <v>36440600</v>
      </c>
      <c r="C158" s="82">
        <f>VLOOKUP(A158,'Data shares'!$C$2:$CX$216,100,0)</f>
        <v>3077200</v>
      </c>
      <c r="D158" s="141">
        <f>VLOOKUP(A158,'Data shares'!$C$2:$CY$539,101,0)</f>
        <v>9.2200000000000004E-2</v>
      </c>
      <c r="E158" s="86">
        <f>VLOOKUP($A158,'Data shares'!$C:$FA,74)</f>
        <v>19245800</v>
      </c>
      <c r="F158" s="86">
        <f>VLOOKUP($A158,'Data shares'!$C:$FA,76)</f>
        <v>77000</v>
      </c>
      <c r="G158" s="87">
        <f>VLOOKUP(A158,'Data shares'!$C$2:$CA$216,77,0)</f>
        <v>4.0000000000000001E-3</v>
      </c>
      <c r="H158" s="86">
        <f>VLOOKUP($A158,'Data shares'!$C:$FA,90)</f>
        <v>11859400</v>
      </c>
      <c r="I158" s="86">
        <f>VLOOKUP($A158,'Data shares'!$C:$FA,92)</f>
        <v>2549400</v>
      </c>
      <c r="J158" s="87">
        <f>VLOOKUP($A158,'Data shares'!$C:$FA,93)</f>
        <v>0.27379999999999999</v>
      </c>
      <c r="K158" s="86">
        <f>VLOOKUP($A158,'Data shares'!$C:$FA,94)</f>
        <v>5335400</v>
      </c>
      <c r="L158" s="86">
        <f>VLOOKUP($A158,'Data shares'!$C:$FA,96)</f>
        <v>450800</v>
      </c>
      <c r="M158" s="87">
        <f>VLOOKUP($A158,'Data shares'!$C:$FA,97)</f>
        <v>9.2299999999999993E-2</v>
      </c>
      <c r="N158" s="86">
        <f>VLOOKUP($A158,'Data shares'!$C:$FA,78)</f>
        <v>18342800</v>
      </c>
      <c r="O158" s="87">
        <f>VLOOKUP($A158,'Data shares'!$C:$FA,81)</f>
        <v>-7.7999999999999996E-3</v>
      </c>
    </row>
    <row r="159" spans="1:15" x14ac:dyDescent="0.25">
      <c r="A159" s="100" t="str">
        <f>'Data Vlaue (Cr)'!C154</f>
        <v>ONGC</v>
      </c>
      <c r="B159" s="82">
        <f>VLOOKUP(A159,'Data shares'!$C$2:$CV$216,98,0)</f>
        <v>179212500</v>
      </c>
      <c r="C159" s="82">
        <f>VLOOKUP(A159,'Data shares'!$C$2:$CX$216,100,0)</f>
        <v>13349250</v>
      </c>
      <c r="D159" s="141">
        <f>VLOOKUP(A159,'Data shares'!$C$2:$CY$539,101,0)</f>
        <v>8.0500000000000002E-2</v>
      </c>
      <c r="E159" s="86">
        <f>VLOOKUP($A159,'Data shares'!$C:$FA,74)</f>
        <v>103207500</v>
      </c>
      <c r="F159" s="86">
        <f>VLOOKUP($A159,'Data shares'!$C:$FA,76)</f>
        <v>1588500</v>
      </c>
      <c r="G159" s="87">
        <f>VLOOKUP(A159,'Data shares'!$C$2:$CA$216,77,0)</f>
        <v>1.5599999999999999E-2</v>
      </c>
      <c r="H159" s="86">
        <f>VLOOKUP($A159,'Data shares'!$C:$FA,90)</f>
        <v>57163500</v>
      </c>
      <c r="I159" s="86">
        <f>VLOOKUP($A159,'Data shares'!$C:$FA,92)</f>
        <v>10140750</v>
      </c>
      <c r="J159" s="87">
        <f>VLOOKUP($A159,'Data shares'!$C:$FA,93)</f>
        <v>0.2157</v>
      </c>
      <c r="K159" s="86">
        <f>VLOOKUP($A159,'Data shares'!$C:$FA,94)</f>
        <v>18841500</v>
      </c>
      <c r="L159" s="86">
        <f>VLOOKUP($A159,'Data shares'!$C:$FA,96)</f>
        <v>1620000</v>
      </c>
      <c r="M159" s="87">
        <f>VLOOKUP($A159,'Data shares'!$C:$FA,97)</f>
        <v>9.4100000000000003E-2</v>
      </c>
      <c r="N159" s="86">
        <f>VLOOKUP($A159,'Data shares'!$C:$FA,78)</f>
        <v>83974500</v>
      </c>
      <c r="O159" s="87">
        <f>VLOOKUP($A159,'Data shares'!$C:$FA,81)</f>
        <v>1.23E-2</v>
      </c>
    </row>
    <row r="160" spans="1:15" x14ac:dyDescent="0.25">
      <c r="A160" s="100" t="str">
        <f>'Data Vlaue (Cr)'!C155</f>
        <v>PAGEIND</v>
      </c>
      <c r="B160" s="82">
        <f>VLOOKUP(A160,'Data shares'!$C$2:$CV$216,98,0)</f>
        <v>341295</v>
      </c>
      <c r="C160" s="82">
        <f>VLOOKUP(A160,'Data shares'!$C$2:$CX$216,100,0)</f>
        <v>-720</v>
      </c>
      <c r="D160" s="141">
        <f>VLOOKUP(A160,'Data shares'!$C$2:$CY$539,101,0)</f>
        <v>-2.0999999999999999E-3</v>
      </c>
      <c r="E160" s="86">
        <f>VLOOKUP($A160,'Data shares'!$C:$FA,74)</f>
        <v>303990</v>
      </c>
      <c r="F160" s="86">
        <f>VLOOKUP($A160,'Data shares'!$C:$FA,76)</f>
        <v>-1395</v>
      </c>
      <c r="G160" s="87">
        <f>VLOOKUP(A160,'Data shares'!$C$2:$CA$216,77,0)</f>
        <v>-4.5999999999999999E-3</v>
      </c>
      <c r="H160" s="86">
        <f>VLOOKUP($A160,'Data shares'!$C:$FA,90)</f>
        <v>20400</v>
      </c>
      <c r="I160" s="86">
        <f>VLOOKUP($A160,'Data shares'!$C:$FA,92)</f>
        <v>-345</v>
      </c>
      <c r="J160" s="87">
        <f>VLOOKUP($A160,'Data shares'!$C:$FA,93)</f>
        <v>-1.66E-2</v>
      </c>
      <c r="K160" s="86">
        <f>VLOOKUP($A160,'Data shares'!$C:$FA,94)</f>
        <v>16905</v>
      </c>
      <c r="L160" s="86">
        <f>VLOOKUP($A160,'Data shares'!$C:$FA,96)</f>
        <v>1020</v>
      </c>
      <c r="M160" s="87">
        <f>VLOOKUP($A160,'Data shares'!$C:$FA,97)</f>
        <v>6.4199999999999993E-2</v>
      </c>
      <c r="N160" s="86">
        <f>VLOOKUP($A160,'Data shares'!$C:$FA,78)</f>
        <v>300255</v>
      </c>
      <c r="O160" s="87">
        <f>VLOOKUP($A160,'Data shares'!$C:$FA,81)</f>
        <v>-5.3E-3</v>
      </c>
    </row>
    <row r="161" spans="1:15" x14ac:dyDescent="0.25">
      <c r="A161" s="100" t="str">
        <f>'Data Vlaue (Cr)'!C156</f>
        <v>PATANJALI</v>
      </c>
      <c r="B161" s="82">
        <f>VLOOKUP(A161,'Data shares'!$C$2:$CV$216,98,0)</f>
        <v>41359750</v>
      </c>
      <c r="C161" s="82">
        <f>VLOOKUP(A161,'Data shares'!$C$2:$CX$216,100,0)</f>
        <v>-135600</v>
      </c>
      <c r="D161" s="141">
        <f>VLOOKUP(A161,'Data shares'!$C$2:$CY$539,101,0)</f>
        <v>-3.3E-3</v>
      </c>
      <c r="E161" s="86">
        <f>VLOOKUP($A161,'Data shares'!$C:$FA,74)</f>
        <v>33816850</v>
      </c>
      <c r="F161" s="86">
        <f>VLOOKUP($A161,'Data shares'!$C:$FA,76)</f>
        <v>-178800</v>
      </c>
      <c r="G161" s="87">
        <f>VLOOKUP(A161,'Data shares'!$C$2:$CA$216,77,0)</f>
        <v>-5.3E-3</v>
      </c>
      <c r="H161" s="86">
        <f>VLOOKUP($A161,'Data shares'!$C:$FA,90)</f>
        <v>4652100</v>
      </c>
      <c r="I161" s="86">
        <f>VLOOKUP($A161,'Data shares'!$C:$FA,92)</f>
        <v>-38700</v>
      </c>
      <c r="J161" s="87">
        <f>VLOOKUP($A161,'Data shares'!$C:$FA,93)</f>
        <v>-8.3000000000000001E-3</v>
      </c>
      <c r="K161" s="86">
        <f>VLOOKUP($A161,'Data shares'!$C:$FA,94)</f>
        <v>2890800</v>
      </c>
      <c r="L161" s="86">
        <f>VLOOKUP($A161,'Data shares'!$C:$FA,96)</f>
        <v>81900</v>
      </c>
      <c r="M161" s="87">
        <f>VLOOKUP($A161,'Data shares'!$C:$FA,97)</f>
        <v>2.92E-2</v>
      </c>
      <c r="N161" s="86">
        <f>VLOOKUP($A161,'Data shares'!$C:$FA,78)</f>
        <v>33500700</v>
      </c>
      <c r="O161" s="87">
        <f>VLOOKUP($A161,'Data shares'!$C:$FA,81)</f>
        <v>-6.1999999999999998E-3</v>
      </c>
    </row>
    <row r="162" spans="1:15" x14ac:dyDescent="0.25">
      <c r="A162" s="100" t="str">
        <f>'Data Vlaue (Cr)'!C157</f>
        <v>PAYTM</v>
      </c>
      <c r="B162" s="82">
        <f>VLOOKUP(A162,'Data shares'!$C$2:$CV$216,98,0)</f>
        <v>26951875</v>
      </c>
      <c r="C162" s="82">
        <f>VLOOKUP(A162,'Data shares'!$C$2:$CX$216,100,0)</f>
        <v>1725500</v>
      </c>
      <c r="D162" s="141">
        <f>VLOOKUP(A162,'Data shares'!$C$2:$CY$539,101,0)</f>
        <v>6.8400000000000002E-2</v>
      </c>
      <c r="E162" s="86">
        <f>VLOOKUP($A162,'Data shares'!$C:$FA,74)</f>
        <v>14336875</v>
      </c>
      <c r="F162" s="86">
        <f>VLOOKUP($A162,'Data shares'!$C:$FA,76)</f>
        <v>218225</v>
      </c>
      <c r="G162" s="87">
        <f>VLOOKUP(A162,'Data shares'!$C$2:$CA$216,77,0)</f>
        <v>1.55E-2</v>
      </c>
      <c r="H162" s="86">
        <f>VLOOKUP($A162,'Data shares'!$C:$FA,90)</f>
        <v>6801225</v>
      </c>
      <c r="I162" s="86">
        <f>VLOOKUP($A162,'Data shares'!$C:$FA,92)</f>
        <v>1078075</v>
      </c>
      <c r="J162" s="87">
        <f>VLOOKUP($A162,'Data shares'!$C:$FA,93)</f>
        <v>0.18840000000000001</v>
      </c>
      <c r="K162" s="86">
        <f>VLOOKUP($A162,'Data shares'!$C:$FA,94)</f>
        <v>5813775</v>
      </c>
      <c r="L162" s="86">
        <f>VLOOKUP($A162,'Data shares'!$C:$FA,96)</f>
        <v>429200</v>
      </c>
      <c r="M162" s="87">
        <f>VLOOKUP($A162,'Data shares'!$C:$FA,97)</f>
        <v>7.9699999999999993E-2</v>
      </c>
      <c r="N162" s="86">
        <f>VLOOKUP($A162,'Data shares'!$C:$FA,78)</f>
        <v>14007725</v>
      </c>
      <c r="O162" s="87">
        <f>VLOOKUP($A162,'Data shares'!$C:$FA,81)</f>
        <v>1.37E-2</v>
      </c>
    </row>
    <row r="163" spans="1:15" x14ac:dyDescent="0.25">
      <c r="A163" s="100" t="str">
        <f>'Data Vlaue (Cr)'!C158</f>
        <v>PERSISTENT</v>
      </c>
      <c r="B163" s="82">
        <f>VLOOKUP(A163,'Data shares'!$C$2:$CV$216,98,0)</f>
        <v>6260650</v>
      </c>
      <c r="C163" s="82">
        <f>VLOOKUP(A163,'Data shares'!$C$2:$CX$216,100,0)</f>
        <v>-282150</v>
      </c>
      <c r="D163" s="141">
        <f>VLOOKUP(A163,'Data shares'!$C$2:$CY$539,101,0)</f>
        <v>-4.3099999999999999E-2</v>
      </c>
      <c r="E163" s="86">
        <f>VLOOKUP($A163,'Data shares'!$C:$FA,74)</f>
        <v>3926350</v>
      </c>
      <c r="F163" s="86">
        <f>VLOOKUP($A163,'Data shares'!$C:$FA,76)</f>
        <v>-157850</v>
      </c>
      <c r="G163" s="87">
        <f>VLOOKUP(A163,'Data shares'!$C$2:$CA$216,77,0)</f>
        <v>-3.8600000000000002E-2</v>
      </c>
      <c r="H163" s="86">
        <f>VLOOKUP($A163,'Data shares'!$C:$FA,90)</f>
        <v>1414700</v>
      </c>
      <c r="I163" s="86">
        <f>VLOOKUP($A163,'Data shares'!$C:$FA,92)</f>
        <v>-126100</v>
      </c>
      <c r="J163" s="87">
        <f>VLOOKUP($A163,'Data shares'!$C:$FA,93)</f>
        <v>-8.1799999999999998E-2</v>
      </c>
      <c r="K163" s="86">
        <f>VLOOKUP($A163,'Data shares'!$C:$FA,94)</f>
        <v>919600</v>
      </c>
      <c r="L163" s="86">
        <f>VLOOKUP($A163,'Data shares'!$C:$FA,96)</f>
        <v>1800</v>
      </c>
      <c r="M163" s="87">
        <f>VLOOKUP($A163,'Data shares'!$C:$FA,97)</f>
        <v>2E-3</v>
      </c>
      <c r="N163" s="86">
        <f>VLOOKUP($A163,'Data shares'!$C:$FA,78)</f>
        <v>3804400</v>
      </c>
      <c r="O163" s="87">
        <f>VLOOKUP($A163,'Data shares'!$C:$FA,81)</f>
        <v>-4.0300000000000002E-2</v>
      </c>
    </row>
    <row r="164" spans="1:15" x14ac:dyDescent="0.25">
      <c r="A164" s="100" t="str">
        <f>'Data Vlaue (Cr)'!C159</f>
        <v>PETRONET</v>
      </c>
      <c r="B164" s="82">
        <f>VLOOKUP(A164,'Data shares'!$C$2:$CV$216,98,0)</f>
        <v>56734000</v>
      </c>
      <c r="C164" s="82">
        <f>VLOOKUP(A164,'Data shares'!$C$2:$CX$216,100,0)</f>
        <v>2916500</v>
      </c>
      <c r="D164" s="141">
        <f>VLOOKUP(A164,'Data shares'!$C$2:$CY$539,101,0)</f>
        <v>5.4199999999999998E-2</v>
      </c>
      <c r="E164" s="86">
        <f>VLOOKUP($A164,'Data shares'!$C:$FA,74)</f>
        <v>33455200</v>
      </c>
      <c r="F164" s="86">
        <f>VLOOKUP($A164,'Data shares'!$C:$FA,76)</f>
        <v>475000</v>
      </c>
      <c r="G164" s="87">
        <f>VLOOKUP(A164,'Data shares'!$C$2:$CA$216,77,0)</f>
        <v>1.44E-2</v>
      </c>
      <c r="H164" s="86">
        <f>VLOOKUP($A164,'Data shares'!$C:$FA,90)</f>
        <v>12557100</v>
      </c>
      <c r="I164" s="86">
        <f>VLOOKUP($A164,'Data shares'!$C:$FA,92)</f>
        <v>1748000</v>
      </c>
      <c r="J164" s="87">
        <f>VLOOKUP($A164,'Data shares'!$C:$FA,93)</f>
        <v>0.16170000000000001</v>
      </c>
      <c r="K164" s="86">
        <f>VLOOKUP($A164,'Data shares'!$C:$FA,94)</f>
        <v>10721700</v>
      </c>
      <c r="L164" s="86">
        <f>VLOOKUP($A164,'Data shares'!$C:$FA,96)</f>
        <v>693500</v>
      </c>
      <c r="M164" s="87">
        <f>VLOOKUP($A164,'Data shares'!$C:$FA,97)</f>
        <v>6.9199999999999998E-2</v>
      </c>
      <c r="N164" s="86">
        <f>VLOOKUP($A164,'Data shares'!$C:$FA,78)</f>
        <v>32902300</v>
      </c>
      <c r="O164" s="87">
        <f>VLOOKUP($A164,'Data shares'!$C:$FA,81)</f>
        <v>1.2200000000000001E-2</v>
      </c>
    </row>
    <row r="165" spans="1:15" x14ac:dyDescent="0.25">
      <c r="A165" s="100" t="str">
        <f>'Data Vlaue (Cr)'!C160</f>
        <v>PFC</v>
      </c>
      <c r="B165" s="82">
        <f>VLOOKUP(A165,'Data shares'!$C$2:$CV$216,98,0)</f>
        <v>90342200</v>
      </c>
      <c r="C165" s="82">
        <f>VLOOKUP(A165,'Data shares'!$C$2:$CX$216,100,0)</f>
        <v>1241500</v>
      </c>
      <c r="D165" s="141">
        <f>VLOOKUP(A165,'Data shares'!$C$2:$CY$539,101,0)</f>
        <v>1.3899999999999999E-2</v>
      </c>
      <c r="E165" s="86">
        <f>VLOOKUP($A165,'Data shares'!$C:$FA,74)</f>
        <v>58133400</v>
      </c>
      <c r="F165" s="86">
        <f>VLOOKUP($A165,'Data shares'!$C:$FA,76)</f>
        <v>434200</v>
      </c>
      <c r="G165" s="87">
        <f>VLOOKUP(A165,'Data shares'!$C$2:$CA$216,77,0)</f>
        <v>7.4999999999999997E-3</v>
      </c>
      <c r="H165" s="86">
        <f>VLOOKUP($A165,'Data shares'!$C:$FA,90)</f>
        <v>20449000</v>
      </c>
      <c r="I165" s="86">
        <f>VLOOKUP($A165,'Data shares'!$C:$FA,92)</f>
        <v>625300</v>
      </c>
      <c r="J165" s="87">
        <f>VLOOKUP($A165,'Data shares'!$C:$FA,93)</f>
        <v>3.15E-2</v>
      </c>
      <c r="K165" s="86">
        <f>VLOOKUP($A165,'Data shares'!$C:$FA,94)</f>
        <v>11759800</v>
      </c>
      <c r="L165" s="86">
        <f>VLOOKUP($A165,'Data shares'!$C:$FA,96)</f>
        <v>182000</v>
      </c>
      <c r="M165" s="87">
        <f>VLOOKUP($A165,'Data shares'!$C:$FA,97)</f>
        <v>1.5699999999999999E-2</v>
      </c>
      <c r="N165" s="86">
        <f>VLOOKUP($A165,'Data shares'!$C:$FA,78)</f>
        <v>56517500</v>
      </c>
      <c r="O165" s="87">
        <f>VLOOKUP($A165,'Data shares'!$C:$FA,81)</f>
        <v>6.6E-3</v>
      </c>
    </row>
    <row r="166" spans="1:15" x14ac:dyDescent="0.25">
      <c r="A166" s="100" t="str">
        <f>'Data Vlaue (Cr)'!C161</f>
        <v>PGEL</v>
      </c>
      <c r="B166" s="82">
        <f>VLOOKUP(A166,'Data shares'!$C$2:$CV$216,98,0)</f>
        <v>19631750</v>
      </c>
      <c r="C166" s="82">
        <f>VLOOKUP(A166,'Data shares'!$C$2:$CX$216,100,0)</f>
        <v>306850</v>
      </c>
      <c r="D166" s="141">
        <f>VLOOKUP(A166,'Data shares'!$C$2:$CY$539,101,0)</f>
        <v>1.5900000000000001E-2</v>
      </c>
      <c r="E166" s="86">
        <f>VLOOKUP($A166,'Data shares'!$C:$FA,74)</f>
        <v>11446550</v>
      </c>
      <c r="F166" s="86">
        <f>VLOOKUP($A166,'Data shares'!$C:$FA,76)</f>
        <v>32300</v>
      </c>
      <c r="G166" s="87">
        <f>VLOOKUP(A166,'Data shares'!$C$2:$CA$216,77,0)</f>
        <v>2.8E-3</v>
      </c>
      <c r="H166" s="86">
        <f>VLOOKUP($A166,'Data shares'!$C:$FA,90)</f>
        <v>4479250</v>
      </c>
      <c r="I166" s="86">
        <f>VLOOKUP($A166,'Data shares'!$C:$FA,92)</f>
        <v>241300</v>
      </c>
      <c r="J166" s="87">
        <f>VLOOKUP($A166,'Data shares'!$C:$FA,93)</f>
        <v>5.6899999999999999E-2</v>
      </c>
      <c r="K166" s="86">
        <f>VLOOKUP($A166,'Data shares'!$C:$FA,94)</f>
        <v>3705950</v>
      </c>
      <c r="L166" s="86">
        <f>VLOOKUP($A166,'Data shares'!$C:$FA,96)</f>
        <v>33250</v>
      </c>
      <c r="M166" s="87">
        <f>VLOOKUP($A166,'Data shares'!$C:$FA,97)</f>
        <v>9.1000000000000004E-3</v>
      </c>
      <c r="N166" s="86">
        <f>VLOOKUP($A166,'Data shares'!$C:$FA,78)</f>
        <v>10488950</v>
      </c>
      <c r="O166" s="87">
        <f>VLOOKUP($A166,'Data shares'!$C:$FA,81)</f>
        <v>2.7000000000000001E-3</v>
      </c>
    </row>
    <row r="167" spans="1:15" x14ac:dyDescent="0.25">
      <c r="A167" s="100" t="str">
        <f>'Data Vlaue (Cr)'!C162</f>
        <v>PHOENIXLTD</v>
      </c>
      <c r="B167" s="82">
        <f>VLOOKUP(A167,'Data shares'!$C$2:$CV$216,98,0)</f>
        <v>5835200</v>
      </c>
      <c r="C167" s="82">
        <f>VLOOKUP(A167,'Data shares'!$C$2:$CX$216,100,0)</f>
        <v>50750</v>
      </c>
      <c r="D167" s="141">
        <f>VLOOKUP(A167,'Data shares'!$C$2:$CY$539,101,0)</f>
        <v>8.8000000000000005E-3</v>
      </c>
      <c r="E167" s="86">
        <f>VLOOKUP($A167,'Data shares'!$C:$FA,74)</f>
        <v>4112150</v>
      </c>
      <c r="F167" s="86">
        <f>VLOOKUP($A167,'Data shares'!$C:$FA,76)</f>
        <v>42000</v>
      </c>
      <c r="G167" s="87">
        <f>VLOOKUP(A167,'Data shares'!$C$2:$CA$216,77,0)</f>
        <v>1.03E-2</v>
      </c>
      <c r="H167" s="86">
        <f>VLOOKUP($A167,'Data shares'!$C:$FA,90)</f>
        <v>1066800</v>
      </c>
      <c r="I167" s="86">
        <f>VLOOKUP($A167,'Data shares'!$C:$FA,92)</f>
        <v>40250</v>
      </c>
      <c r="J167" s="87">
        <f>VLOOKUP($A167,'Data shares'!$C:$FA,93)</f>
        <v>3.9199999999999999E-2</v>
      </c>
      <c r="K167" s="86">
        <f>VLOOKUP($A167,'Data shares'!$C:$FA,94)</f>
        <v>656250</v>
      </c>
      <c r="L167" s="86">
        <f>VLOOKUP($A167,'Data shares'!$C:$FA,96)</f>
        <v>-31500</v>
      </c>
      <c r="M167" s="87">
        <f>VLOOKUP($A167,'Data shares'!$C:$FA,97)</f>
        <v>-4.58E-2</v>
      </c>
      <c r="N167" s="86">
        <f>VLOOKUP($A167,'Data shares'!$C:$FA,78)</f>
        <v>3742200</v>
      </c>
      <c r="O167" s="87">
        <f>VLOOKUP($A167,'Data shares'!$C:$FA,81)</f>
        <v>9.7999999999999997E-3</v>
      </c>
    </row>
    <row r="168" spans="1:15" x14ac:dyDescent="0.25">
      <c r="A168" s="100" t="str">
        <f>'Data Vlaue (Cr)'!C163</f>
        <v>PIDILITIND</v>
      </c>
      <c r="B168" s="82">
        <f>VLOOKUP(A168,'Data shares'!$C$2:$CV$216,98,0)</f>
        <v>10320000</v>
      </c>
      <c r="C168" s="82">
        <f>VLOOKUP(A168,'Data shares'!$C$2:$CX$216,100,0)</f>
        <v>1187000</v>
      </c>
      <c r="D168" s="141">
        <f>VLOOKUP(A168,'Data shares'!$C$2:$CY$539,101,0)</f>
        <v>0.13</v>
      </c>
      <c r="E168" s="86">
        <f>VLOOKUP($A168,'Data shares'!$C:$FA,74)</f>
        <v>7711500</v>
      </c>
      <c r="F168" s="86">
        <f>VLOOKUP($A168,'Data shares'!$C:$FA,76)</f>
        <v>600000</v>
      </c>
      <c r="G168" s="87">
        <f>VLOOKUP(A168,'Data shares'!$C$2:$CA$216,77,0)</f>
        <v>8.4400000000000003E-2</v>
      </c>
      <c r="H168" s="86">
        <f>VLOOKUP($A168,'Data shares'!$C:$FA,90)</f>
        <v>1664000</v>
      </c>
      <c r="I168" s="86">
        <f>VLOOKUP($A168,'Data shares'!$C:$FA,92)</f>
        <v>404500</v>
      </c>
      <c r="J168" s="87">
        <f>VLOOKUP($A168,'Data shares'!$C:$FA,93)</f>
        <v>0.32119999999999999</v>
      </c>
      <c r="K168" s="86">
        <f>VLOOKUP($A168,'Data shares'!$C:$FA,94)</f>
        <v>944500</v>
      </c>
      <c r="L168" s="86">
        <f>VLOOKUP($A168,'Data shares'!$C:$FA,96)</f>
        <v>182500</v>
      </c>
      <c r="M168" s="87">
        <f>VLOOKUP($A168,'Data shares'!$C:$FA,97)</f>
        <v>0.23949999999999999</v>
      </c>
      <c r="N168" s="86">
        <f>VLOOKUP($A168,'Data shares'!$C:$FA,78)</f>
        <v>7625000</v>
      </c>
      <c r="O168" s="87">
        <f>VLOOKUP($A168,'Data shares'!$C:$FA,81)</f>
        <v>8.5099999999999995E-2</v>
      </c>
    </row>
    <row r="169" spans="1:15" x14ac:dyDescent="0.25">
      <c r="A169" s="100" t="str">
        <f>'Data Vlaue (Cr)'!C164</f>
        <v>PIIND</v>
      </c>
      <c r="B169" s="82">
        <f>VLOOKUP(A169,'Data shares'!$C$2:$CV$216,98,0)</f>
        <v>4275425</v>
      </c>
      <c r="C169" s="82">
        <f>VLOOKUP(A169,'Data shares'!$C$2:$CX$216,100,0)</f>
        <v>37450</v>
      </c>
      <c r="D169" s="141">
        <f>VLOOKUP(A169,'Data shares'!$C$2:$CY$539,101,0)</f>
        <v>8.8000000000000005E-3</v>
      </c>
      <c r="E169" s="86">
        <f>VLOOKUP($A169,'Data shares'!$C:$FA,74)</f>
        <v>2767800</v>
      </c>
      <c r="F169" s="86">
        <f>VLOOKUP($A169,'Data shares'!$C:$FA,76)</f>
        <v>42875</v>
      </c>
      <c r="G169" s="87">
        <f>VLOOKUP(A169,'Data shares'!$C$2:$CA$216,77,0)</f>
        <v>1.5699999999999999E-2</v>
      </c>
      <c r="H169" s="86">
        <f>VLOOKUP($A169,'Data shares'!$C:$FA,90)</f>
        <v>994350</v>
      </c>
      <c r="I169" s="86">
        <f>VLOOKUP($A169,'Data shares'!$C:$FA,92)</f>
        <v>10150</v>
      </c>
      <c r="J169" s="87">
        <f>VLOOKUP($A169,'Data shares'!$C:$FA,93)</f>
        <v>1.03E-2</v>
      </c>
      <c r="K169" s="86">
        <f>VLOOKUP($A169,'Data shares'!$C:$FA,94)</f>
        <v>513275</v>
      </c>
      <c r="L169" s="86">
        <f>VLOOKUP($A169,'Data shares'!$C:$FA,96)</f>
        <v>-15575</v>
      </c>
      <c r="M169" s="87">
        <f>VLOOKUP($A169,'Data shares'!$C:$FA,97)</f>
        <v>-2.9499999999999998E-2</v>
      </c>
      <c r="N169" s="86">
        <f>VLOOKUP($A169,'Data shares'!$C:$FA,78)</f>
        <v>2695525</v>
      </c>
      <c r="O169" s="87">
        <f>VLOOKUP($A169,'Data shares'!$C:$FA,81)</f>
        <v>1.1299999999999999E-2</v>
      </c>
    </row>
    <row r="170" spans="1:15" x14ac:dyDescent="0.25">
      <c r="A170" s="100" t="str">
        <f>'Data Vlaue (Cr)'!C165</f>
        <v>PNB</v>
      </c>
      <c r="B170" s="82">
        <f>VLOOKUP(A170,'Data shares'!$C$2:$CV$216,98,0)</f>
        <v>474496000</v>
      </c>
      <c r="C170" s="82">
        <f>VLOOKUP(A170,'Data shares'!$C$2:$CX$216,100,0)</f>
        <v>13392000</v>
      </c>
      <c r="D170" s="141">
        <f>VLOOKUP(A170,'Data shares'!$C$2:$CY$539,101,0)</f>
        <v>2.9000000000000001E-2</v>
      </c>
      <c r="E170" s="86">
        <f>VLOOKUP($A170,'Data shares'!$C:$FA,74)</f>
        <v>296080000</v>
      </c>
      <c r="F170" s="86">
        <f>VLOOKUP($A170,'Data shares'!$C:$FA,76)</f>
        <v>5416000</v>
      </c>
      <c r="G170" s="87">
        <f>VLOOKUP(A170,'Data shares'!$C$2:$CA$216,77,0)</f>
        <v>1.8599999999999998E-2</v>
      </c>
      <c r="H170" s="86">
        <f>VLOOKUP($A170,'Data shares'!$C:$FA,90)</f>
        <v>105928000</v>
      </c>
      <c r="I170" s="86">
        <f>VLOOKUP($A170,'Data shares'!$C:$FA,92)</f>
        <v>4064000</v>
      </c>
      <c r="J170" s="87">
        <f>VLOOKUP($A170,'Data shares'!$C:$FA,93)</f>
        <v>3.9899999999999998E-2</v>
      </c>
      <c r="K170" s="86">
        <f>VLOOKUP($A170,'Data shares'!$C:$FA,94)</f>
        <v>72488000</v>
      </c>
      <c r="L170" s="86">
        <f>VLOOKUP($A170,'Data shares'!$C:$FA,96)</f>
        <v>3912000</v>
      </c>
      <c r="M170" s="87">
        <f>VLOOKUP($A170,'Data shares'!$C:$FA,97)</f>
        <v>5.7000000000000002E-2</v>
      </c>
      <c r="N170" s="86">
        <f>VLOOKUP($A170,'Data shares'!$C:$FA,78)</f>
        <v>271944000</v>
      </c>
      <c r="O170" s="87">
        <f>VLOOKUP($A170,'Data shares'!$C:$FA,81)</f>
        <v>1.4500000000000001E-2</v>
      </c>
    </row>
    <row r="171" spans="1:15" x14ac:dyDescent="0.25">
      <c r="A171" s="100" t="str">
        <f>'Data Vlaue (Cr)'!C166</f>
        <v>PNBHOUSING</v>
      </c>
      <c r="B171" s="82">
        <f>VLOOKUP(A171,'Data shares'!$C$2:$CV$216,98,0)</f>
        <v>14454050</v>
      </c>
      <c r="C171" s="82">
        <f>VLOOKUP(A171,'Data shares'!$C$2:$CX$216,100,0)</f>
        <v>550550</v>
      </c>
      <c r="D171" s="141">
        <f>VLOOKUP(A171,'Data shares'!$C$2:$CY$539,101,0)</f>
        <v>3.9600000000000003E-2</v>
      </c>
      <c r="E171" s="86">
        <f>VLOOKUP($A171,'Data shares'!$C:$FA,74)</f>
        <v>10893350</v>
      </c>
      <c r="F171" s="86">
        <f>VLOOKUP($A171,'Data shares'!$C:$FA,76)</f>
        <v>278850</v>
      </c>
      <c r="G171" s="87">
        <f>VLOOKUP(A171,'Data shares'!$C$2:$CA$216,77,0)</f>
        <v>2.63E-2</v>
      </c>
      <c r="H171" s="86">
        <f>VLOOKUP($A171,'Data shares'!$C:$FA,90)</f>
        <v>2245750</v>
      </c>
      <c r="I171" s="86">
        <f>VLOOKUP($A171,'Data shares'!$C:$FA,92)</f>
        <v>243100</v>
      </c>
      <c r="J171" s="87">
        <f>VLOOKUP($A171,'Data shares'!$C:$FA,93)</f>
        <v>0.12139999999999999</v>
      </c>
      <c r="K171" s="86">
        <f>VLOOKUP($A171,'Data shares'!$C:$FA,94)</f>
        <v>1314950</v>
      </c>
      <c r="L171" s="86">
        <f>VLOOKUP($A171,'Data shares'!$C:$FA,96)</f>
        <v>28600</v>
      </c>
      <c r="M171" s="87">
        <f>VLOOKUP($A171,'Data shares'!$C:$FA,97)</f>
        <v>2.2200000000000001E-2</v>
      </c>
      <c r="N171" s="86">
        <f>VLOOKUP($A171,'Data shares'!$C:$FA,78)</f>
        <v>10827050</v>
      </c>
      <c r="O171" s="87">
        <f>VLOOKUP($A171,'Data shares'!$C:$FA,81)</f>
        <v>2.5399999999999999E-2</v>
      </c>
    </row>
    <row r="172" spans="1:15" x14ac:dyDescent="0.25">
      <c r="A172" s="100" t="str">
        <f>'Data Vlaue (Cr)'!C167</f>
        <v>POLICYBZR</v>
      </c>
      <c r="B172" s="82">
        <f>VLOOKUP(A172,'Data shares'!$C$2:$CV$216,98,0)</f>
        <v>11719750</v>
      </c>
      <c r="C172" s="82">
        <f>VLOOKUP(A172,'Data shares'!$C$2:$CX$216,100,0)</f>
        <v>1378300</v>
      </c>
      <c r="D172" s="141">
        <f>VLOOKUP(A172,'Data shares'!$C$2:$CY$539,101,0)</f>
        <v>0.1333</v>
      </c>
      <c r="E172" s="86">
        <f>VLOOKUP($A172,'Data shares'!$C:$FA,74)</f>
        <v>8973650</v>
      </c>
      <c r="F172" s="86">
        <f>VLOOKUP($A172,'Data shares'!$C:$FA,76)</f>
        <v>577500</v>
      </c>
      <c r="G172" s="87">
        <f>VLOOKUP(A172,'Data shares'!$C$2:$CA$216,77,0)</f>
        <v>6.88E-2</v>
      </c>
      <c r="H172" s="86">
        <f>VLOOKUP($A172,'Data shares'!$C:$FA,90)</f>
        <v>1681400</v>
      </c>
      <c r="I172" s="86">
        <f>VLOOKUP($A172,'Data shares'!$C:$FA,92)</f>
        <v>457450</v>
      </c>
      <c r="J172" s="87">
        <f>VLOOKUP($A172,'Data shares'!$C:$FA,93)</f>
        <v>0.37369999999999998</v>
      </c>
      <c r="K172" s="86">
        <f>VLOOKUP($A172,'Data shares'!$C:$FA,94)</f>
        <v>1064700</v>
      </c>
      <c r="L172" s="86">
        <f>VLOOKUP($A172,'Data shares'!$C:$FA,96)</f>
        <v>343350</v>
      </c>
      <c r="M172" s="87">
        <f>VLOOKUP($A172,'Data shares'!$C:$FA,97)</f>
        <v>0.47599999999999998</v>
      </c>
      <c r="N172" s="86">
        <f>VLOOKUP($A172,'Data shares'!$C:$FA,78)</f>
        <v>8793750</v>
      </c>
      <c r="O172" s="87">
        <f>VLOOKUP($A172,'Data shares'!$C:$FA,81)</f>
        <v>6.9400000000000003E-2</v>
      </c>
    </row>
    <row r="173" spans="1:15" x14ac:dyDescent="0.25">
      <c r="A173" s="100" t="str">
        <f>'Data Vlaue (Cr)'!C168</f>
        <v>POLYCAB</v>
      </c>
      <c r="B173" s="82">
        <f>VLOOKUP(A173,'Data shares'!$C$2:$CV$216,98,0)</f>
        <v>4677625</v>
      </c>
      <c r="C173" s="82">
        <f>VLOOKUP(A173,'Data shares'!$C$2:$CX$216,100,0)</f>
        <v>604000</v>
      </c>
      <c r="D173" s="141">
        <f>VLOOKUP(A173,'Data shares'!$C$2:$CY$539,101,0)</f>
        <v>0.14829999999999999</v>
      </c>
      <c r="E173" s="86">
        <f>VLOOKUP($A173,'Data shares'!$C:$FA,74)</f>
        <v>2063875</v>
      </c>
      <c r="F173" s="86">
        <f>VLOOKUP($A173,'Data shares'!$C:$FA,76)</f>
        <v>81500</v>
      </c>
      <c r="G173" s="87">
        <f>VLOOKUP(A173,'Data shares'!$C$2:$CA$216,77,0)</f>
        <v>4.1099999999999998E-2</v>
      </c>
      <c r="H173" s="86">
        <f>VLOOKUP($A173,'Data shares'!$C:$FA,90)</f>
        <v>1250875</v>
      </c>
      <c r="I173" s="86">
        <f>VLOOKUP($A173,'Data shares'!$C:$FA,92)</f>
        <v>354875</v>
      </c>
      <c r="J173" s="87">
        <f>VLOOKUP($A173,'Data shares'!$C:$FA,93)</f>
        <v>0.39610000000000001</v>
      </c>
      <c r="K173" s="86">
        <f>VLOOKUP($A173,'Data shares'!$C:$FA,94)</f>
        <v>1362875</v>
      </c>
      <c r="L173" s="86">
        <f>VLOOKUP($A173,'Data shares'!$C:$FA,96)</f>
        <v>167625</v>
      </c>
      <c r="M173" s="87">
        <f>VLOOKUP($A173,'Data shares'!$C:$FA,97)</f>
        <v>0.14019999999999999</v>
      </c>
      <c r="N173" s="86">
        <f>VLOOKUP($A173,'Data shares'!$C:$FA,78)</f>
        <v>2023125</v>
      </c>
      <c r="O173" s="87">
        <f>VLOOKUP($A173,'Data shares'!$C:$FA,81)</f>
        <v>3.7199999999999997E-2</v>
      </c>
    </row>
    <row r="174" spans="1:15" x14ac:dyDescent="0.25">
      <c r="A174" s="100" t="str">
        <f>'Data Vlaue (Cr)'!C169</f>
        <v>POWERGRID</v>
      </c>
      <c r="B174" s="82">
        <f>VLOOKUP(A174,'Data shares'!$C$2:$CV$216,98,0)</f>
        <v>118305400</v>
      </c>
      <c r="C174" s="82">
        <f>VLOOKUP(A174,'Data shares'!$C$2:$CX$216,100,0)</f>
        <v>2616300</v>
      </c>
      <c r="D174" s="141">
        <f>VLOOKUP(A174,'Data shares'!$C$2:$CY$539,101,0)</f>
        <v>2.2599999999999999E-2</v>
      </c>
      <c r="E174" s="86">
        <f>VLOOKUP($A174,'Data shares'!$C:$FA,74)</f>
        <v>82070500</v>
      </c>
      <c r="F174" s="86">
        <f>VLOOKUP($A174,'Data shares'!$C:$FA,76)</f>
        <v>1179900</v>
      </c>
      <c r="G174" s="87">
        <f>VLOOKUP(A174,'Data shares'!$C$2:$CA$216,77,0)</f>
        <v>1.46E-2</v>
      </c>
      <c r="H174" s="86">
        <f>VLOOKUP($A174,'Data shares'!$C:$FA,90)</f>
        <v>24183200</v>
      </c>
      <c r="I174" s="86">
        <f>VLOOKUP($A174,'Data shares'!$C:$FA,92)</f>
        <v>1430700</v>
      </c>
      <c r="J174" s="87">
        <f>VLOOKUP($A174,'Data shares'!$C:$FA,93)</f>
        <v>6.2899999999999998E-2</v>
      </c>
      <c r="K174" s="86">
        <f>VLOOKUP($A174,'Data shares'!$C:$FA,94)</f>
        <v>12051700</v>
      </c>
      <c r="L174" s="86">
        <f>VLOOKUP($A174,'Data shares'!$C:$FA,96)</f>
        <v>5700</v>
      </c>
      <c r="M174" s="87">
        <f>VLOOKUP($A174,'Data shares'!$C:$FA,97)</f>
        <v>5.0000000000000001E-4</v>
      </c>
      <c r="N174" s="86">
        <f>VLOOKUP($A174,'Data shares'!$C:$FA,78)</f>
        <v>69342400</v>
      </c>
      <c r="O174" s="87">
        <f>VLOOKUP($A174,'Data shares'!$C:$FA,81)</f>
        <v>1.21E-2</v>
      </c>
    </row>
    <row r="175" spans="1:15" x14ac:dyDescent="0.25">
      <c r="A175" s="100" t="str">
        <f>'Data Vlaue (Cr)'!C170</f>
        <v>POWERINDIA</v>
      </c>
      <c r="B175" s="82">
        <f>VLOOKUP(A175,'Data shares'!$C$2:$CV$216,98,0)</f>
        <v>842300</v>
      </c>
      <c r="C175" s="82">
        <f>VLOOKUP(A175,'Data shares'!$C$2:$CX$216,100,0)</f>
        <v>1025</v>
      </c>
      <c r="D175" s="141">
        <f>VLOOKUP(A175,'Data shares'!$C$2:$CY$539,101,0)</f>
        <v>1.1999999999999999E-3</v>
      </c>
      <c r="E175" s="86">
        <f>VLOOKUP($A175,'Data shares'!$C:$FA,74)</f>
        <v>385850</v>
      </c>
      <c r="F175" s="86">
        <f>VLOOKUP($A175,'Data shares'!$C:$FA,76)</f>
        <v>-10625</v>
      </c>
      <c r="G175" s="87">
        <f>VLOOKUP(A175,'Data shares'!$C$2:$CA$216,77,0)</f>
        <v>-2.6800000000000001E-2</v>
      </c>
      <c r="H175" s="86">
        <f>VLOOKUP($A175,'Data shares'!$C:$FA,90)</f>
        <v>244750</v>
      </c>
      <c r="I175" s="86">
        <f>VLOOKUP($A175,'Data shares'!$C:$FA,92)</f>
        <v>17850</v>
      </c>
      <c r="J175" s="87">
        <f>VLOOKUP($A175,'Data shares'!$C:$FA,93)</f>
        <v>7.8700000000000006E-2</v>
      </c>
      <c r="K175" s="86">
        <f>VLOOKUP($A175,'Data shares'!$C:$FA,94)</f>
        <v>211700</v>
      </c>
      <c r="L175" s="86">
        <f>VLOOKUP($A175,'Data shares'!$C:$FA,96)</f>
        <v>-6200</v>
      </c>
      <c r="M175" s="87">
        <f>VLOOKUP($A175,'Data shares'!$C:$FA,97)</f>
        <v>-2.8500000000000001E-2</v>
      </c>
      <c r="N175" s="86">
        <f>VLOOKUP($A175,'Data shares'!$C:$FA,78)</f>
        <v>374750</v>
      </c>
      <c r="O175" s="87">
        <f>VLOOKUP($A175,'Data shares'!$C:$FA,81)</f>
        <v>-2.69E-2</v>
      </c>
    </row>
    <row r="176" spans="1:15" x14ac:dyDescent="0.25">
      <c r="A176" s="100" t="str">
        <f>'Data Vlaue (Cr)'!C171</f>
        <v>PREMIERENE</v>
      </c>
      <c r="B176" s="82">
        <f>VLOOKUP(A176,'Data shares'!$C$2:$CV$216,98,0)</f>
        <v>15211275</v>
      </c>
      <c r="C176" s="82">
        <f>VLOOKUP(A176,'Data shares'!$C$2:$CX$216,100,0)</f>
        <v>554300</v>
      </c>
      <c r="D176" s="141">
        <f>VLOOKUP(A176,'Data shares'!$C$2:$CY$539,101,0)</f>
        <v>3.78E-2</v>
      </c>
      <c r="E176" s="86">
        <f>VLOOKUP($A176,'Data shares'!$C:$FA,74)</f>
        <v>10898775</v>
      </c>
      <c r="F176" s="86">
        <f>VLOOKUP($A176,'Data shares'!$C:$FA,76)</f>
        <v>186300</v>
      </c>
      <c r="G176" s="87">
        <f>VLOOKUP(A176,'Data shares'!$C$2:$CA$216,77,0)</f>
        <v>1.7399999999999999E-2</v>
      </c>
      <c r="H176" s="86">
        <f>VLOOKUP($A176,'Data shares'!$C:$FA,90)</f>
        <v>2275850</v>
      </c>
      <c r="I176" s="86">
        <f>VLOOKUP($A176,'Data shares'!$C:$FA,92)</f>
        <v>263350</v>
      </c>
      <c r="J176" s="87">
        <f>VLOOKUP($A176,'Data shares'!$C:$FA,93)</f>
        <v>0.13089999999999999</v>
      </c>
      <c r="K176" s="86">
        <f>VLOOKUP($A176,'Data shares'!$C:$FA,94)</f>
        <v>2036650</v>
      </c>
      <c r="L176" s="86">
        <f>VLOOKUP($A176,'Data shares'!$C:$FA,96)</f>
        <v>104650</v>
      </c>
      <c r="M176" s="87">
        <f>VLOOKUP($A176,'Data shares'!$C:$FA,97)</f>
        <v>5.4199999999999998E-2</v>
      </c>
      <c r="N176" s="86">
        <f>VLOOKUP($A176,'Data shares'!$C:$FA,78)</f>
        <v>10299400</v>
      </c>
      <c r="O176" s="87">
        <f>VLOOKUP($A176,'Data shares'!$C:$FA,81)</f>
        <v>8.0000000000000002E-3</v>
      </c>
    </row>
    <row r="177" spans="1:15" x14ac:dyDescent="0.25">
      <c r="A177" s="100" t="str">
        <f>'Data Vlaue (Cr)'!C172</f>
        <v>PRESTIGE</v>
      </c>
      <c r="B177" s="82">
        <f>VLOOKUP(A177,'Data shares'!$C$2:$CV$216,98,0)</f>
        <v>7766550</v>
      </c>
      <c r="C177" s="82">
        <f>VLOOKUP(A177,'Data shares'!$C$2:$CX$216,100,0)</f>
        <v>64350</v>
      </c>
      <c r="D177" s="141">
        <f>VLOOKUP(A177,'Data shares'!$C$2:$CY$539,101,0)</f>
        <v>8.3999999999999995E-3</v>
      </c>
      <c r="E177" s="86">
        <f>VLOOKUP($A177,'Data shares'!$C:$FA,74)</f>
        <v>5914800</v>
      </c>
      <c r="F177" s="86">
        <f>VLOOKUP($A177,'Data shares'!$C:$FA,76)</f>
        <v>20250</v>
      </c>
      <c r="G177" s="87">
        <f>VLOOKUP(A177,'Data shares'!$C$2:$CA$216,77,0)</f>
        <v>3.3999999999999998E-3</v>
      </c>
      <c r="H177" s="86">
        <f>VLOOKUP($A177,'Data shares'!$C:$FA,90)</f>
        <v>1062000</v>
      </c>
      <c r="I177" s="86">
        <f>VLOOKUP($A177,'Data shares'!$C:$FA,92)</f>
        <v>63900</v>
      </c>
      <c r="J177" s="87">
        <f>VLOOKUP($A177,'Data shares'!$C:$FA,93)</f>
        <v>6.4000000000000001E-2</v>
      </c>
      <c r="K177" s="86">
        <f>VLOOKUP($A177,'Data shares'!$C:$FA,94)</f>
        <v>789750</v>
      </c>
      <c r="L177" s="86">
        <f>VLOOKUP($A177,'Data shares'!$C:$FA,96)</f>
        <v>-19800</v>
      </c>
      <c r="M177" s="87">
        <f>VLOOKUP($A177,'Data shares'!$C:$FA,97)</f>
        <v>-2.4500000000000001E-2</v>
      </c>
      <c r="N177" s="86">
        <f>VLOOKUP($A177,'Data shares'!$C:$FA,78)</f>
        <v>5669100</v>
      </c>
      <c r="O177" s="87">
        <f>VLOOKUP($A177,'Data shares'!$C:$FA,81)</f>
        <v>3.7000000000000002E-3</v>
      </c>
    </row>
    <row r="178" spans="1:15" x14ac:dyDescent="0.25">
      <c r="A178" s="100" t="str">
        <f>'Data Vlaue (Cr)'!C173</f>
        <v>RBLBANK</v>
      </c>
      <c r="B178" s="82">
        <f>VLOOKUP(A178,'Data shares'!$C$2:$CV$216,98,0)</f>
        <v>101831775</v>
      </c>
      <c r="C178" s="82">
        <f>VLOOKUP(A178,'Data shares'!$C$2:$CX$216,100,0)</f>
        <v>1819275</v>
      </c>
      <c r="D178" s="141">
        <f>VLOOKUP(A178,'Data shares'!$C$2:$CY$539,101,0)</f>
        <v>1.8200000000000001E-2</v>
      </c>
      <c r="E178" s="86">
        <f>VLOOKUP($A178,'Data shares'!$C:$FA,74)</f>
        <v>66817875</v>
      </c>
      <c r="F178" s="86">
        <f>VLOOKUP($A178,'Data shares'!$C:$FA,76)</f>
        <v>857250</v>
      </c>
      <c r="G178" s="87">
        <f>VLOOKUP(A178,'Data shares'!$C$2:$CA$216,77,0)</f>
        <v>1.2999999999999999E-2</v>
      </c>
      <c r="H178" s="86">
        <f>VLOOKUP($A178,'Data shares'!$C:$FA,90)</f>
        <v>19926300</v>
      </c>
      <c r="I178" s="86">
        <f>VLOOKUP($A178,'Data shares'!$C:$FA,92)</f>
        <v>292100</v>
      </c>
      <c r="J178" s="87">
        <f>VLOOKUP($A178,'Data shares'!$C:$FA,93)</f>
        <v>1.49E-2</v>
      </c>
      <c r="K178" s="86">
        <f>VLOOKUP($A178,'Data shares'!$C:$FA,94)</f>
        <v>15087600</v>
      </c>
      <c r="L178" s="86">
        <f>VLOOKUP($A178,'Data shares'!$C:$FA,96)</f>
        <v>669925</v>
      </c>
      <c r="M178" s="87">
        <f>VLOOKUP($A178,'Data shares'!$C:$FA,97)</f>
        <v>4.65E-2</v>
      </c>
      <c r="N178" s="86">
        <f>VLOOKUP($A178,'Data shares'!$C:$FA,78)</f>
        <v>66268600</v>
      </c>
      <c r="O178" s="87">
        <f>VLOOKUP($A178,'Data shares'!$C:$FA,81)</f>
        <v>1.2999999999999999E-2</v>
      </c>
    </row>
    <row r="179" spans="1:15" x14ac:dyDescent="0.25">
      <c r="A179" s="100" t="str">
        <f>'Data Vlaue (Cr)'!C174</f>
        <v>RECLTD</v>
      </c>
      <c r="B179" s="82">
        <f>VLOOKUP(A179,'Data shares'!$C$2:$CV$216,98,0)</f>
        <v>113958775</v>
      </c>
      <c r="C179" s="82">
        <f>VLOOKUP(A179,'Data shares'!$C$2:$CX$216,100,0)</f>
        <v>1934275</v>
      </c>
      <c r="D179" s="141">
        <f>VLOOKUP(A179,'Data shares'!$C$2:$CY$539,101,0)</f>
        <v>1.7299999999999999E-2</v>
      </c>
      <c r="E179" s="86">
        <f>VLOOKUP($A179,'Data shares'!$C:$FA,74)</f>
        <v>67975600</v>
      </c>
      <c r="F179" s="86">
        <f>VLOOKUP($A179,'Data shares'!$C:$FA,76)</f>
        <v>924700</v>
      </c>
      <c r="G179" s="87">
        <f>VLOOKUP(A179,'Data shares'!$C$2:$CA$216,77,0)</f>
        <v>1.38E-2</v>
      </c>
      <c r="H179" s="86">
        <f>VLOOKUP($A179,'Data shares'!$C:$FA,90)</f>
        <v>28649600</v>
      </c>
      <c r="I179" s="86">
        <f>VLOOKUP($A179,'Data shares'!$C:$FA,92)</f>
        <v>464800</v>
      </c>
      <c r="J179" s="87">
        <f>VLOOKUP($A179,'Data shares'!$C:$FA,93)</f>
        <v>1.6500000000000001E-2</v>
      </c>
      <c r="K179" s="86">
        <f>VLOOKUP($A179,'Data shares'!$C:$FA,94)</f>
        <v>17333575</v>
      </c>
      <c r="L179" s="86">
        <f>VLOOKUP($A179,'Data shares'!$C:$FA,96)</f>
        <v>544775</v>
      </c>
      <c r="M179" s="87">
        <f>VLOOKUP($A179,'Data shares'!$C:$FA,97)</f>
        <v>3.2399999999999998E-2</v>
      </c>
      <c r="N179" s="86">
        <f>VLOOKUP($A179,'Data shares'!$C:$FA,78)</f>
        <v>63786800</v>
      </c>
      <c r="O179" s="87">
        <f>VLOOKUP($A179,'Data shares'!$C:$FA,81)</f>
        <v>0.01</v>
      </c>
    </row>
    <row r="180" spans="1:15" x14ac:dyDescent="0.25">
      <c r="A180" s="100" t="str">
        <f>'Data Vlaue (Cr)'!C175</f>
        <v>RELIANCE</v>
      </c>
      <c r="B180" s="82">
        <f>VLOOKUP(A180,'Data shares'!$C$2:$CV$216,98,0)</f>
        <v>180792000</v>
      </c>
      <c r="C180" s="82">
        <f>VLOOKUP(A180,'Data shares'!$C$2:$CX$216,100,0)</f>
        <v>7815000</v>
      </c>
      <c r="D180" s="141">
        <f>VLOOKUP(A180,'Data shares'!$C$2:$CY$539,101,0)</f>
        <v>4.5199999999999997E-2</v>
      </c>
      <c r="E180" s="86">
        <f>VLOOKUP($A180,'Data shares'!$C:$FA,74)</f>
        <v>97085500</v>
      </c>
      <c r="F180" s="86">
        <f>VLOOKUP($A180,'Data shares'!$C:$FA,76)</f>
        <v>1278000</v>
      </c>
      <c r="G180" s="87">
        <f>VLOOKUP(A180,'Data shares'!$C$2:$CA$216,77,0)</f>
        <v>1.3299999999999999E-2</v>
      </c>
      <c r="H180" s="86">
        <f>VLOOKUP($A180,'Data shares'!$C:$FA,90)</f>
        <v>48645000</v>
      </c>
      <c r="I180" s="86">
        <f>VLOOKUP($A180,'Data shares'!$C:$FA,92)</f>
        <v>8559000</v>
      </c>
      <c r="J180" s="87">
        <f>VLOOKUP($A180,'Data shares'!$C:$FA,93)</f>
        <v>0.2135</v>
      </c>
      <c r="K180" s="86">
        <f>VLOOKUP($A180,'Data shares'!$C:$FA,94)</f>
        <v>35061500</v>
      </c>
      <c r="L180" s="86">
        <f>VLOOKUP($A180,'Data shares'!$C:$FA,96)</f>
        <v>-2022000</v>
      </c>
      <c r="M180" s="87">
        <f>VLOOKUP($A180,'Data shares'!$C:$FA,97)</f>
        <v>-5.45E-2</v>
      </c>
      <c r="N180" s="86">
        <f>VLOOKUP($A180,'Data shares'!$C:$FA,78)</f>
        <v>76972000</v>
      </c>
      <c r="O180" s="87">
        <f>VLOOKUP($A180,'Data shares'!$C:$FA,81)</f>
        <v>8.3999999999999995E-3</v>
      </c>
    </row>
    <row r="181" spans="1:15" x14ac:dyDescent="0.25">
      <c r="A181" s="100" t="str">
        <f>'Data Vlaue (Cr)'!C176</f>
        <v>RVNL</v>
      </c>
      <c r="B181" s="82">
        <f>VLOOKUP(A181,'Data shares'!$C$2:$CV$216,98,0)</f>
        <v>78899675</v>
      </c>
      <c r="C181" s="82">
        <f>VLOOKUP(A181,'Data shares'!$C$2:$CX$216,100,0)</f>
        <v>473200</v>
      </c>
      <c r="D181" s="141">
        <f>VLOOKUP(A181,'Data shares'!$C$2:$CY$539,101,0)</f>
        <v>6.0000000000000001E-3</v>
      </c>
      <c r="E181" s="86">
        <f>VLOOKUP($A181,'Data shares'!$C:$FA,74)</f>
        <v>55984100</v>
      </c>
      <c r="F181" s="86">
        <f>VLOOKUP($A181,'Data shares'!$C:$FA,76)</f>
        <v>917725</v>
      </c>
      <c r="G181" s="87">
        <f>VLOOKUP(A181,'Data shares'!$C$2:$CA$216,77,0)</f>
        <v>1.67E-2</v>
      </c>
      <c r="H181" s="86">
        <f>VLOOKUP($A181,'Data shares'!$C:$FA,90)</f>
        <v>14223675</v>
      </c>
      <c r="I181" s="86">
        <f>VLOOKUP($A181,'Data shares'!$C:$FA,92)</f>
        <v>-611525</v>
      </c>
      <c r="J181" s="87">
        <f>VLOOKUP($A181,'Data shares'!$C:$FA,93)</f>
        <v>-4.1200000000000001E-2</v>
      </c>
      <c r="K181" s="86">
        <f>VLOOKUP($A181,'Data shares'!$C:$FA,94)</f>
        <v>8691900</v>
      </c>
      <c r="L181" s="86">
        <f>VLOOKUP($A181,'Data shares'!$C:$FA,96)</f>
        <v>167000</v>
      </c>
      <c r="M181" s="87">
        <f>VLOOKUP($A181,'Data shares'!$C:$FA,97)</f>
        <v>1.9599999999999999E-2</v>
      </c>
      <c r="N181" s="86">
        <f>VLOOKUP($A181,'Data shares'!$C:$FA,78)</f>
        <v>48061900</v>
      </c>
      <c r="O181" s="87">
        <f>VLOOKUP($A181,'Data shares'!$C:$FA,81)</f>
        <v>-7.7999999999999996E-3</v>
      </c>
    </row>
    <row r="182" spans="1:15" x14ac:dyDescent="0.25">
      <c r="A182" s="100" t="str">
        <f>'Data Vlaue (Cr)'!C177</f>
        <v>SAIL</v>
      </c>
      <c r="B182" s="82">
        <f>VLOOKUP(A182,'Data shares'!$C$2:$CV$216,98,0)</f>
        <v>213065100</v>
      </c>
      <c r="C182" s="82">
        <f>VLOOKUP(A182,'Data shares'!$C$2:$CX$216,100,0)</f>
        <v>3308800</v>
      </c>
      <c r="D182" s="141">
        <f>VLOOKUP(A182,'Data shares'!$C$2:$CY$539,101,0)</f>
        <v>1.5800000000000002E-2</v>
      </c>
      <c r="E182" s="86">
        <f>VLOOKUP($A182,'Data shares'!$C:$FA,74)</f>
        <v>199867500</v>
      </c>
      <c r="F182" s="86">
        <f>VLOOKUP($A182,'Data shares'!$C:$FA,76)</f>
        <v>3073800</v>
      </c>
      <c r="G182" s="87">
        <f>VLOOKUP(A182,'Data shares'!$C$2:$CA$216,77,0)</f>
        <v>1.5599999999999999E-2</v>
      </c>
      <c r="H182" s="86">
        <f>VLOOKUP($A182,'Data shares'!$C:$FA,90)</f>
        <v>7792600</v>
      </c>
      <c r="I182" s="86">
        <f>VLOOKUP($A182,'Data shares'!$C:$FA,92)</f>
        <v>225600</v>
      </c>
      <c r="J182" s="87">
        <f>VLOOKUP($A182,'Data shares'!$C:$FA,93)</f>
        <v>2.98E-2</v>
      </c>
      <c r="K182" s="86">
        <f>VLOOKUP($A182,'Data shares'!$C:$FA,94)</f>
        <v>5405000</v>
      </c>
      <c r="L182" s="86">
        <f>VLOOKUP($A182,'Data shares'!$C:$FA,96)</f>
        <v>9400</v>
      </c>
      <c r="M182" s="87">
        <f>VLOOKUP($A182,'Data shares'!$C:$FA,97)</f>
        <v>1.6999999999999999E-3</v>
      </c>
      <c r="N182" s="86">
        <f>VLOOKUP($A182,'Data shares'!$C:$FA,78)</f>
        <v>196605700</v>
      </c>
      <c r="O182" s="87">
        <f>VLOOKUP($A182,'Data shares'!$C:$FA,81)</f>
        <v>1.2800000000000001E-2</v>
      </c>
    </row>
    <row r="183" spans="1:15" x14ac:dyDescent="0.25">
      <c r="A183" s="100" t="str">
        <f>'Data Vlaue (Cr)'!C178</f>
        <v>SAMMAANCAP</v>
      </c>
      <c r="B183" s="82">
        <f>VLOOKUP(A183,'Data shares'!$C$2:$CV$216,98,0)</f>
        <v>140003700</v>
      </c>
      <c r="C183" s="82">
        <f>VLOOKUP(A183,'Data shares'!$C$2:$CX$216,100,0)</f>
        <v>-2752000</v>
      </c>
      <c r="D183" s="141">
        <f>VLOOKUP(A183,'Data shares'!$C$2:$CY$539,101,0)</f>
        <v>-1.9300000000000001E-2</v>
      </c>
      <c r="E183" s="86">
        <f>VLOOKUP($A183,'Data shares'!$C:$FA,74)</f>
        <v>105156500</v>
      </c>
      <c r="F183" s="86">
        <f>VLOOKUP($A183,'Data shares'!$C:$FA,76)</f>
        <v>-2868100</v>
      </c>
      <c r="G183" s="87">
        <f>VLOOKUP(A183,'Data shares'!$C$2:$CA$216,77,0)</f>
        <v>-2.6599999999999999E-2</v>
      </c>
      <c r="H183" s="86">
        <f>VLOOKUP($A183,'Data shares'!$C:$FA,90)</f>
        <v>21590300</v>
      </c>
      <c r="I183" s="86">
        <f>VLOOKUP($A183,'Data shares'!$C:$FA,92)</f>
        <v>288100</v>
      </c>
      <c r="J183" s="87">
        <f>VLOOKUP($A183,'Data shares'!$C:$FA,93)</f>
        <v>1.35E-2</v>
      </c>
      <c r="K183" s="86">
        <f>VLOOKUP($A183,'Data shares'!$C:$FA,94)</f>
        <v>13256900</v>
      </c>
      <c r="L183" s="86">
        <f>VLOOKUP($A183,'Data shares'!$C:$FA,96)</f>
        <v>-172000</v>
      </c>
      <c r="M183" s="87">
        <f>VLOOKUP($A183,'Data shares'!$C:$FA,97)</f>
        <v>-1.2800000000000001E-2</v>
      </c>
      <c r="N183" s="86">
        <f>VLOOKUP($A183,'Data shares'!$C:$FA,78)</f>
        <v>100297500</v>
      </c>
      <c r="O183" s="87">
        <f>VLOOKUP($A183,'Data shares'!$C:$FA,81)</f>
        <v>-2.8899999999999999E-2</v>
      </c>
    </row>
    <row r="184" spans="1:15" x14ac:dyDescent="0.25">
      <c r="A184" s="100" t="str">
        <f>'Data Vlaue (Cr)'!C179</f>
        <v>SBICARD</v>
      </c>
      <c r="B184" s="82">
        <f>VLOOKUP(A184,'Data shares'!$C$2:$CV$216,98,0)</f>
        <v>40416000</v>
      </c>
      <c r="C184" s="82">
        <f>VLOOKUP(A184,'Data shares'!$C$2:$CX$216,100,0)</f>
        <v>500800</v>
      </c>
      <c r="D184" s="141">
        <f>VLOOKUP(A184,'Data shares'!$C$2:$CY$539,101,0)</f>
        <v>1.2500000000000001E-2</v>
      </c>
      <c r="E184" s="86">
        <f>VLOOKUP($A184,'Data shares'!$C:$FA,74)</f>
        <v>25891200</v>
      </c>
      <c r="F184" s="86">
        <f>VLOOKUP($A184,'Data shares'!$C:$FA,76)</f>
        <v>228800</v>
      </c>
      <c r="G184" s="87">
        <f>VLOOKUP(A184,'Data shares'!$C$2:$CA$216,77,0)</f>
        <v>8.8999999999999999E-3</v>
      </c>
      <c r="H184" s="86">
        <f>VLOOKUP($A184,'Data shares'!$C:$FA,90)</f>
        <v>8828000</v>
      </c>
      <c r="I184" s="86">
        <f>VLOOKUP($A184,'Data shares'!$C:$FA,92)</f>
        <v>-126400</v>
      </c>
      <c r="J184" s="87">
        <f>VLOOKUP($A184,'Data shares'!$C:$FA,93)</f>
        <v>-1.41E-2</v>
      </c>
      <c r="K184" s="86">
        <f>VLOOKUP($A184,'Data shares'!$C:$FA,94)</f>
        <v>5696800</v>
      </c>
      <c r="L184" s="86">
        <f>VLOOKUP($A184,'Data shares'!$C:$FA,96)</f>
        <v>398400</v>
      </c>
      <c r="M184" s="87">
        <f>VLOOKUP($A184,'Data shares'!$C:$FA,97)</f>
        <v>7.5200000000000003E-2</v>
      </c>
      <c r="N184" s="86">
        <f>VLOOKUP($A184,'Data shares'!$C:$FA,78)</f>
        <v>22954400</v>
      </c>
      <c r="O184" s="87">
        <f>VLOOKUP($A184,'Data shares'!$C:$FA,81)</f>
        <v>1.4E-3</v>
      </c>
    </row>
    <row r="185" spans="1:15" x14ac:dyDescent="0.25">
      <c r="A185" s="100" t="str">
        <f>'Data Vlaue (Cr)'!C180</f>
        <v>SBILIFE</v>
      </c>
      <c r="B185" s="82">
        <f>VLOOKUP(A185,'Data shares'!$C$2:$CV$216,98,0)</f>
        <v>16586625</v>
      </c>
      <c r="C185" s="82">
        <f>VLOOKUP(A185,'Data shares'!$C$2:$CX$216,100,0)</f>
        <v>-152250</v>
      </c>
      <c r="D185" s="141">
        <f>VLOOKUP(A185,'Data shares'!$C$2:$CY$539,101,0)</f>
        <v>-9.1000000000000004E-3</v>
      </c>
      <c r="E185" s="86">
        <f>VLOOKUP($A185,'Data shares'!$C:$FA,74)</f>
        <v>10459500</v>
      </c>
      <c r="F185" s="86">
        <f>VLOOKUP($A185,'Data shares'!$C:$FA,76)</f>
        <v>-63000</v>
      </c>
      <c r="G185" s="87">
        <f>VLOOKUP(A185,'Data shares'!$C$2:$CA$216,77,0)</f>
        <v>-6.0000000000000001E-3</v>
      </c>
      <c r="H185" s="86">
        <f>VLOOKUP($A185,'Data shares'!$C:$FA,90)</f>
        <v>4016625</v>
      </c>
      <c r="I185" s="86">
        <f>VLOOKUP($A185,'Data shares'!$C:$FA,92)</f>
        <v>-231000</v>
      </c>
      <c r="J185" s="87">
        <f>VLOOKUP($A185,'Data shares'!$C:$FA,93)</f>
        <v>-5.4399999999999997E-2</v>
      </c>
      <c r="K185" s="86">
        <f>VLOOKUP($A185,'Data shares'!$C:$FA,94)</f>
        <v>2110500</v>
      </c>
      <c r="L185" s="86">
        <f>VLOOKUP($A185,'Data shares'!$C:$FA,96)</f>
        <v>141750</v>
      </c>
      <c r="M185" s="87">
        <f>VLOOKUP($A185,'Data shares'!$C:$FA,97)</f>
        <v>7.1999999999999995E-2</v>
      </c>
      <c r="N185" s="86">
        <f>VLOOKUP($A185,'Data shares'!$C:$FA,78)</f>
        <v>9121500</v>
      </c>
      <c r="O185" s="87">
        <f>VLOOKUP($A185,'Data shares'!$C:$FA,81)</f>
        <v>-8.6999999999999994E-3</v>
      </c>
    </row>
    <row r="186" spans="1:15" x14ac:dyDescent="0.25">
      <c r="A186" s="100" t="str">
        <f>'Data Vlaue (Cr)'!C181</f>
        <v>SBIN</v>
      </c>
      <c r="B186" s="82">
        <f>VLOOKUP(A186,'Data shares'!$C$2:$CV$216,98,0)</f>
        <v>158479500</v>
      </c>
      <c r="C186" s="82">
        <f>VLOOKUP(A186,'Data shares'!$C$2:$CX$216,100,0)</f>
        <v>3160500</v>
      </c>
      <c r="D186" s="141">
        <f>VLOOKUP(A186,'Data shares'!$C$2:$CY$539,101,0)</f>
        <v>2.0299999999999999E-2</v>
      </c>
      <c r="E186" s="86">
        <f>VLOOKUP($A186,'Data shares'!$C:$FA,74)</f>
        <v>100336500</v>
      </c>
      <c r="F186" s="86">
        <f>VLOOKUP($A186,'Data shares'!$C:$FA,76)</f>
        <v>3789000</v>
      </c>
      <c r="G186" s="87">
        <f>VLOOKUP(A186,'Data shares'!$C$2:$CA$216,77,0)</f>
        <v>3.9199999999999999E-2</v>
      </c>
      <c r="H186" s="86">
        <f>VLOOKUP($A186,'Data shares'!$C:$FA,90)</f>
        <v>33020250</v>
      </c>
      <c r="I186" s="86">
        <f>VLOOKUP($A186,'Data shares'!$C:$FA,92)</f>
        <v>-1868250</v>
      </c>
      <c r="J186" s="87">
        <f>VLOOKUP($A186,'Data shares'!$C:$FA,93)</f>
        <v>-5.3499999999999999E-2</v>
      </c>
      <c r="K186" s="86">
        <f>VLOOKUP($A186,'Data shares'!$C:$FA,94)</f>
        <v>25122750</v>
      </c>
      <c r="L186" s="86">
        <f>VLOOKUP($A186,'Data shares'!$C:$FA,96)</f>
        <v>1239750</v>
      </c>
      <c r="M186" s="87">
        <f>VLOOKUP($A186,'Data shares'!$C:$FA,97)</f>
        <v>5.1900000000000002E-2</v>
      </c>
      <c r="N186" s="86">
        <f>VLOOKUP($A186,'Data shares'!$C:$FA,78)</f>
        <v>78623250</v>
      </c>
      <c r="O186" s="87">
        <f>VLOOKUP($A186,'Data shares'!$C:$FA,81)</f>
        <v>4.4400000000000002E-2</v>
      </c>
    </row>
    <row r="187" spans="1:15" x14ac:dyDescent="0.25">
      <c r="A187" s="100" t="str">
        <f>'Data Vlaue (Cr)'!C182</f>
        <v>SHREECEM</v>
      </c>
      <c r="B187" s="82">
        <f>VLOOKUP(A187,'Data shares'!$C$2:$CV$216,98,0)</f>
        <v>557575</v>
      </c>
      <c r="C187" s="82">
        <f>VLOOKUP(A187,'Data shares'!$C$2:$CX$216,100,0)</f>
        <v>55075</v>
      </c>
      <c r="D187" s="141">
        <f>VLOOKUP(A187,'Data shares'!$C$2:$CY$539,101,0)</f>
        <v>0.1096</v>
      </c>
      <c r="E187" s="86">
        <f>VLOOKUP($A187,'Data shares'!$C:$FA,74)</f>
        <v>450750</v>
      </c>
      <c r="F187" s="86">
        <f>VLOOKUP($A187,'Data shares'!$C:$FA,76)</f>
        <v>24275</v>
      </c>
      <c r="G187" s="87">
        <f>VLOOKUP(A187,'Data shares'!$C$2:$CA$216,77,0)</f>
        <v>5.6899999999999999E-2</v>
      </c>
      <c r="H187" s="86">
        <f>VLOOKUP($A187,'Data shares'!$C:$FA,90)</f>
        <v>57275</v>
      </c>
      <c r="I187" s="86">
        <f>VLOOKUP($A187,'Data shares'!$C:$FA,92)</f>
        <v>16900</v>
      </c>
      <c r="J187" s="87">
        <f>VLOOKUP($A187,'Data shares'!$C:$FA,93)</f>
        <v>0.41860000000000003</v>
      </c>
      <c r="K187" s="86">
        <f>VLOOKUP($A187,'Data shares'!$C:$FA,94)</f>
        <v>49550</v>
      </c>
      <c r="L187" s="86">
        <f>VLOOKUP($A187,'Data shares'!$C:$FA,96)</f>
        <v>13900</v>
      </c>
      <c r="M187" s="87">
        <f>VLOOKUP($A187,'Data shares'!$C:$FA,97)</f>
        <v>0.38990000000000002</v>
      </c>
      <c r="N187" s="86">
        <f>VLOOKUP($A187,'Data shares'!$C:$FA,78)</f>
        <v>440600</v>
      </c>
      <c r="O187" s="87">
        <f>VLOOKUP($A187,'Data shares'!$C:$FA,81)</f>
        <v>5.3999999999999999E-2</v>
      </c>
    </row>
    <row r="188" spans="1:15" x14ac:dyDescent="0.25">
      <c r="A188" s="100" t="str">
        <f>'Data Vlaue (Cr)'!C183</f>
        <v>SHRIRAMFIN</v>
      </c>
      <c r="B188" s="82">
        <f>VLOOKUP(A188,'Data shares'!$C$2:$CV$216,98,0)</f>
        <v>69510375</v>
      </c>
      <c r="C188" s="82">
        <f>VLOOKUP(A188,'Data shares'!$C$2:$CX$216,100,0)</f>
        <v>-3261225</v>
      </c>
      <c r="D188" s="141">
        <f>VLOOKUP(A188,'Data shares'!$C$2:$CY$539,101,0)</f>
        <v>-4.48E-2</v>
      </c>
      <c r="E188" s="86">
        <f>VLOOKUP($A188,'Data shares'!$C:$FA,74)</f>
        <v>44075625</v>
      </c>
      <c r="F188" s="86">
        <f>VLOOKUP($A188,'Data shares'!$C:$FA,76)</f>
        <v>-895950</v>
      </c>
      <c r="G188" s="87">
        <f>VLOOKUP(A188,'Data shares'!$C$2:$CA$216,77,0)</f>
        <v>-1.9900000000000001E-2</v>
      </c>
      <c r="H188" s="86">
        <f>VLOOKUP($A188,'Data shares'!$C:$FA,90)</f>
        <v>16006650</v>
      </c>
      <c r="I188" s="86">
        <f>VLOOKUP($A188,'Data shares'!$C:$FA,92)</f>
        <v>-2696100</v>
      </c>
      <c r="J188" s="87">
        <f>VLOOKUP($A188,'Data shares'!$C:$FA,93)</f>
        <v>-0.14419999999999999</v>
      </c>
      <c r="K188" s="86">
        <f>VLOOKUP($A188,'Data shares'!$C:$FA,94)</f>
        <v>9428100</v>
      </c>
      <c r="L188" s="86">
        <f>VLOOKUP($A188,'Data shares'!$C:$FA,96)</f>
        <v>330825</v>
      </c>
      <c r="M188" s="87">
        <f>VLOOKUP($A188,'Data shares'!$C:$FA,97)</f>
        <v>3.6400000000000002E-2</v>
      </c>
      <c r="N188" s="86">
        <f>VLOOKUP($A188,'Data shares'!$C:$FA,78)</f>
        <v>38063025</v>
      </c>
      <c r="O188" s="87">
        <f>VLOOKUP($A188,'Data shares'!$C:$FA,81)</f>
        <v>-2.5700000000000001E-2</v>
      </c>
    </row>
    <row r="189" spans="1:15" x14ac:dyDescent="0.25">
      <c r="A189" s="100" t="str">
        <f>'Data Vlaue (Cr)'!C184</f>
        <v>SIEMENS</v>
      </c>
      <c r="B189" s="82">
        <f>VLOOKUP(A189,'Data shares'!$C$2:$CV$216,98,0)</f>
        <v>4599175</v>
      </c>
      <c r="C189" s="82">
        <f>VLOOKUP(A189,'Data shares'!$C$2:$CX$216,100,0)</f>
        <v>18375</v>
      </c>
      <c r="D189" s="141">
        <f>VLOOKUP(A189,'Data shares'!$C$2:$CY$539,101,0)</f>
        <v>4.0000000000000001E-3</v>
      </c>
      <c r="E189" s="86">
        <f>VLOOKUP($A189,'Data shares'!$C:$FA,74)</f>
        <v>3023125</v>
      </c>
      <c r="F189" s="86">
        <f>VLOOKUP($A189,'Data shares'!$C:$FA,76)</f>
        <v>18025</v>
      </c>
      <c r="G189" s="87">
        <f>VLOOKUP(A189,'Data shares'!$C$2:$CA$216,77,0)</f>
        <v>6.0000000000000001E-3</v>
      </c>
      <c r="H189" s="86">
        <f>VLOOKUP($A189,'Data shares'!$C:$FA,90)</f>
        <v>1048600</v>
      </c>
      <c r="I189" s="86">
        <f>VLOOKUP($A189,'Data shares'!$C:$FA,92)</f>
        <v>14525</v>
      </c>
      <c r="J189" s="87">
        <f>VLOOKUP($A189,'Data shares'!$C:$FA,93)</f>
        <v>1.4E-2</v>
      </c>
      <c r="K189" s="86">
        <f>VLOOKUP($A189,'Data shares'!$C:$FA,94)</f>
        <v>527450</v>
      </c>
      <c r="L189" s="86">
        <f>VLOOKUP($A189,'Data shares'!$C:$FA,96)</f>
        <v>-14175</v>
      </c>
      <c r="M189" s="87">
        <f>VLOOKUP($A189,'Data shares'!$C:$FA,97)</f>
        <v>-2.6200000000000001E-2</v>
      </c>
      <c r="N189" s="86">
        <f>VLOOKUP($A189,'Data shares'!$C:$FA,78)</f>
        <v>2970975</v>
      </c>
      <c r="O189" s="87">
        <f>VLOOKUP($A189,'Data shares'!$C:$FA,81)</f>
        <v>3.0000000000000001E-3</v>
      </c>
    </row>
    <row r="190" spans="1:15" x14ac:dyDescent="0.25">
      <c r="A190" s="100" t="str">
        <f>'Data Vlaue (Cr)'!C185</f>
        <v>SOLARINDS</v>
      </c>
      <c r="B190" s="82">
        <f>VLOOKUP(A190,'Data shares'!$C$2:$CV$216,98,0)</f>
        <v>950050</v>
      </c>
      <c r="C190" s="82">
        <f>VLOOKUP(A190,'Data shares'!$C$2:$CX$216,100,0)</f>
        <v>-4450</v>
      </c>
      <c r="D190" s="141">
        <f>VLOOKUP(A190,'Data shares'!$C$2:$CY$539,101,0)</f>
        <v>-4.7000000000000002E-3</v>
      </c>
      <c r="E190" s="86">
        <f>VLOOKUP($A190,'Data shares'!$C:$FA,74)</f>
        <v>748600</v>
      </c>
      <c r="F190" s="86">
        <f>VLOOKUP($A190,'Data shares'!$C:$FA,76)</f>
        <v>-11400</v>
      </c>
      <c r="G190" s="87">
        <f>VLOOKUP(A190,'Data shares'!$C$2:$CA$216,77,0)</f>
        <v>-1.4999999999999999E-2</v>
      </c>
      <c r="H190" s="86">
        <f>VLOOKUP($A190,'Data shares'!$C:$FA,90)</f>
        <v>114300</v>
      </c>
      <c r="I190" s="86">
        <f>VLOOKUP($A190,'Data shares'!$C:$FA,92)</f>
        <v>6150</v>
      </c>
      <c r="J190" s="87">
        <f>VLOOKUP($A190,'Data shares'!$C:$FA,93)</f>
        <v>5.6899999999999999E-2</v>
      </c>
      <c r="K190" s="86">
        <f>VLOOKUP($A190,'Data shares'!$C:$FA,94)</f>
        <v>87150</v>
      </c>
      <c r="L190" s="86">
        <f>VLOOKUP($A190,'Data shares'!$C:$FA,96)</f>
        <v>800</v>
      </c>
      <c r="M190" s="87">
        <f>VLOOKUP($A190,'Data shares'!$C:$FA,97)</f>
        <v>9.2999999999999992E-3</v>
      </c>
      <c r="N190" s="86">
        <f>VLOOKUP($A190,'Data shares'!$C:$FA,78)</f>
        <v>693200</v>
      </c>
      <c r="O190" s="87">
        <f>VLOOKUP($A190,'Data shares'!$C:$FA,81)</f>
        <v>-1.7500000000000002E-2</v>
      </c>
    </row>
    <row r="191" spans="1:15" x14ac:dyDescent="0.25">
      <c r="A191" s="100" t="str">
        <f>'Data Vlaue (Cr)'!C186</f>
        <v>SONACOMS</v>
      </c>
      <c r="B191" s="82">
        <f>VLOOKUP(A191,'Data shares'!$C$2:$CV$216,98,0)</f>
        <v>23244375</v>
      </c>
      <c r="C191" s="82">
        <f>VLOOKUP(A191,'Data shares'!$C$2:$CX$216,100,0)</f>
        <v>-349125</v>
      </c>
      <c r="D191" s="141">
        <f>VLOOKUP(A191,'Data shares'!$C$2:$CY$539,101,0)</f>
        <v>-1.4800000000000001E-2</v>
      </c>
      <c r="E191" s="86">
        <f>VLOOKUP($A191,'Data shares'!$C:$FA,74)</f>
        <v>15812300</v>
      </c>
      <c r="F191" s="86">
        <f>VLOOKUP($A191,'Data shares'!$C:$FA,76)</f>
        <v>-269500</v>
      </c>
      <c r="G191" s="87">
        <f>VLOOKUP(A191,'Data shares'!$C$2:$CA$216,77,0)</f>
        <v>-1.6799999999999999E-2</v>
      </c>
      <c r="H191" s="86">
        <f>VLOOKUP($A191,'Data shares'!$C:$FA,90)</f>
        <v>4701550</v>
      </c>
      <c r="I191" s="86">
        <f>VLOOKUP($A191,'Data shares'!$C:$FA,92)</f>
        <v>-75950</v>
      </c>
      <c r="J191" s="87">
        <f>VLOOKUP($A191,'Data shares'!$C:$FA,93)</f>
        <v>-1.5900000000000001E-2</v>
      </c>
      <c r="K191" s="86">
        <f>VLOOKUP($A191,'Data shares'!$C:$FA,94)</f>
        <v>2730525</v>
      </c>
      <c r="L191" s="86">
        <f>VLOOKUP($A191,'Data shares'!$C:$FA,96)</f>
        <v>-3675</v>
      </c>
      <c r="M191" s="87">
        <f>VLOOKUP($A191,'Data shares'!$C:$FA,97)</f>
        <v>-1.2999999999999999E-3</v>
      </c>
      <c r="N191" s="86">
        <f>VLOOKUP($A191,'Data shares'!$C:$FA,78)</f>
        <v>15582000</v>
      </c>
      <c r="O191" s="87">
        <f>VLOOKUP($A191,'Data shares'!$C:$FA,81)</f>
        <v>-1.8700000000000001E-2</v>
      </c>
    </row>
    <row r="192" spans="1:15" x14ac:dyDescent="0.25">
      <c r="A192" s="100" t="str">
        <f>'Data Vlaue (Cr)'!C187</f>
        <v>SRF</v>
      </c>
      <c r="B192" s="82">
        <f>VLOOKUP(A192,'Data shares'!$C$2:$CV$216,98,0)</f>
        <v>7634400</v>
      </c>
      <c r="C192" s="82">
        <f>VLOOKUP(A192,'Data shares'!$C$2:$CX$216,100,0)</f>
        <v>1275800</v>
      </c>
      <c r="D192" s="141">
        <f>VLOOKUP(A192,'Data shares'!$C$2:$CY$539,101,0)</f>
        <v>0.2006</v>
      </c>
      <c r="E192" s="86">
        <f>VLOOKUP($A192,'Data shares'!$C:$FA,74)</f>
        <v>3813200</v>
      </c>
      <c r="F192" s="86">
        <f>VLOOKUP($A192,'Data shares'!$C:$FA,76)</f>
        <v>21600</v>
      </c>
      <c r="G192" s="87">
        <f>VLOOKUP(A192,'Data shares'!$C$2:$CA$216,77,0)</f>
        <v>5.7000000000000002E-3</v>
      </c>
      <c r="H192" s="86">
        <f>VLOOKUP($A192,'Data shares'!$C:$FA,90)</f>
        <v>1921000</v>
      </c>
      <c r="I192" s="86">
        <f>VLOOKUP($A192,'Data shares'!$C:$FA,92)</f>
        <v>463400</v>
      </c>
      <c r="J192" s="87">
        <f>VLOOKUP($A192,'Data shares'!$C:$FA,93)</f>
        <v>0.31790000000000002</v>
      </c>
      <c r="K192" s="86">
        <f>VLOOKUP($A192,'Data shares'!$C:$FA,94)</f>
        <v>1900200</v>
      </c>
      <c r="L192" s="86">
        <f>VLOOKUP($A192,'Data shares'!$C:$FA,96)</f>
        <v>790800</v>
      </c>
      <c r="M192" s="87">
        <f>VLOOKUP($A192,'Data shares'!$C:$FA,97)</f>
        <v>0.71279999999999999</v>
      </c>
      <c r="N192" s="86">
        <f>VLOOKUP($A192,'Data shares'!$C:$FA,78)</f>
        <v>3739000</v>
      </c>
      <c r="O192" s="87">
        <f>VLOOKUP($A192,'Data shares'!$C:$FA,81)</f>
        <v>3.2000000000000002E-3</v>
      </c>
    </row>
    <row r="193" spans="1:15" x14ac:dyDescent="0.25">
      <c r="A193" s="100" t="str">
        <f>'Data Vlaue (Cr)'!C188</f>
        <v>SUNPHARMA</v>
      </c>
      <c r="B193" s="82">
        <f>VLOOKUP(A193,'Data shares'!$C$2:$CV$216,98,0)</f>
        <v>45308200</v>
      </c>
      <c r="C193" s="82">
        <f>VLOOKUP(A193,'Data shares'!$C$2:$CX$216,100,0)</f>
        <v>767200</v>
      </c>
      <c r="D193" s="141">
        <f>VLOOKUP(A193,'Data shares'!$C$2:$CY$539,101,0)</f>
        <v>1.72E-2</v>
      </c>
      <c r="E193" s="86">
        <f>VLOOKUP($A193,'Data shares'!$C:$FA,74)</f>
        <v>28101850</v>
      </c>
      <c r="F193" s="86">
        <f>VLOOKUP($A193,'Data shares'!$C:$FA,76)</f>
        <v>72800</v>
      </c>
      <c r="G193" s="87">
        <f>VLOOKUP(A193,'Data shares'!$C$2:$CA$216,77,0)</f>
        <v>2.5999999999999999E-3</v>
      </c>
      <c r="H193" s="86">
        <f>VLOOKUP($A193,'Data shares'!$C:$FA,90)</f>
        <v>9716000</v>
      </c>
      <c r="I193" s="86">
        <f>VLOOKUP($A193,'Data shares'!$C:$FA,92)</f>
        <v>71400</v>
      </c>
      <c r="J193" s="87">
        <f>VLOOKUP($A193,'Data shares'!$C:$FA,93)</f>
        <v>7.4000000000000003E-3</v>
      </c>
      <c r="K193" s="86">
        <f>VLOOKUP($A193,'Data shares'!$C:$FA,94)</f>
        <v>7490350</v>
      </c>
      <c r="L193" s="86">
        <f>VLOOKUP($A193,'Data shares'!$C:$FA,96)</f>
        <v>623000</v>
      </c>
      <c r="M193" s="87">
        <f>VLOOKUP($A193,'Data shares'!$C:$FA,97)</f>
        <v>9.0700000000000003E-2</v>
      </c>
      <c r="N193" s="86">
        <f>VLOOKUP($A193,'Data shares'!$C:$FA,78)</f>
        <v>24359650</v>
      </c>
      <c r="O193" s="87">
        <f>VLOOKUP($A193,'Data shares'!$C:$FA,81)</f>
        <v>2.9999999999999997E-4</v>
      </c>
    </row>
    <row r="194" spans="1:15" x14ac:dyDescent="0.25">
      <c r="A194" s="100" t="str">
        <f>'Data Vlaue (Cr)'!C189</f>
        <v>SUPREMEIND</v>
      </c>
      <c r="B194" s="82">
        <f>VLOOKUP(A194,'Data shares'!$C$2:$CV$216,98,0)</f>
        <v>3511025</v>
      </c>
      <c r="C194" s="82">
        <f>VLOOKUP(A194,'Data shares'!$C$2:$CX$216,100,0)</f>
        <v>-60375</v>
      </c>
      <c r="D194" s="141">
        <f>VLOOKUP(A194,'Data shares'!$C$2:$CY$539,101,0)</f>
        <v>-1.6899999999999998E-2</v>
      </c>
      <c r="E194" s="86">
        <f>VLOOKUP($A194,'Data shares'!$C:$FA,74)</f>
        <v>2218825</v>
      </c>
      <c r="F194" s="86">
        <f>VLOOKUP($A194,'Data shares'!$C:$FA,76)</f>
        <v>-6650</v>
      </c>
      <c r="G194" s="87">
        <f>VLOOKUP(A194,'Data shares'!$C$2:$CA$216,77,0)</f>
        <v>-3.0000000000000001E-3</v>
      </c>
      <c r="H194" s="86">
        <f>VLOOKUP($A194,'Data shares'!$C:$FA,90)</f>
        <v>906500</v>
      </c>
      <c r="I194" s="86">
        <f>VLOOKUP($A194,'Data shares'!$C:$FA,92)</f>
        <v>-39900</v>
      </c>
      <c r="J194" s="87">
        <f>VLOOKUP($A194,'Data shares'!$C:$FA,93)</f>
        <v>-4.2200000000000001E-2</v>
      </c>
      <c r="K194" s="86">
        <f>VLOOKUP($A194,'Data shares'!$C:$FA,94)</f>
        <v>385700</v>
      </c>
      <c r="L194" s="86">
        <f>VLOOKUP($A194,'Data shares'!$C:$FA,96)</f>
        <v>-13825</v>
      </c>
      <c r="M194" s="87">
        <f>VLOOKUP($A194,'Data shares'!$C:$FA,97)</f>
        <v>-3.4599999999999999E-2</v>
      </c>
      <c r="N194" s="86">
        <f>VLOOKUP($A194,'Data shares'!$C:$FA,78)</f>
        <v>2182950</v>
      </c>
      <c r="O194" s="87">
        <f>VLOOKUP($A194,'Data shares'!$C:$FA,81)</f>
        <v>-4.1999999999999997E-3</v>
      </c>
    </row>
    <row r="195" spans="1:15" x14ac:dyDescent="0.25">
      <c r="A195" s="100" t="str">
        <f>'Data Vlaue (Cr)'!C190</f>
        <v>SUZLON</v>
      </c>
      <c r="B195" s="82">
        <f>VLOOKUP(A195,'Data shares'!$C$2:$CV$216,98,0)</f>
        <v>518198350</v>
      </c>
      <c r="C195" s="82">
        <f>VLOOKUP(A195,'Data shares'!$C$2:$CX$216,100,0)</f>
        <v>12053900</v>
      </c>
      <c r="D195" s="141">
        <f>VLOOKUP(A195,'Data shares'!$C$2:$CY$539,101,0)</f>
        <v>2.3800000000000002E-2</v>
      </c>
      <c r="E195" s="86">
        <f>VLOOKUP($A195,'Data shares'!$C:$FA,74)</f>
        <v>296336775</v>
      </c>
      <c r="F195" s="86">
        <f>VLOOKUP($A195,'Data shares'!$C:$FA,76)</f>
        <v>3290625</v>
      </c>
      <c r="G195" s="87">
        <f>VLOOKUP(A195,'Data shares'!$C$2:$CA$216,77,0)</f>
        <v>1.12E-2</v>
      </c>
      <c r="H195" s="86">
        <f>VLOOKUP($A195,'Data shares'!$C:$FA,90)</f>
        <v>160202775</v>
      </c>
      <c r="I195" s="86">
        <f>VLOOKUP($A195,'Data shares'!$C:$FA,92)</f>
        <v>7283175</v>
      </c>
      <c r="J195" s="87">
        <f>VLOOKUP($A195,'Data shares'!$C:$FA,93)</f>
        <v>4.7600000000000003E-2</v>
      </c>
      <c r="K195" s="86">
        <f>VLOOKUP($A195,'Data shares'!$C:$FA,94)</f>
        <v>61658800</v>
      </c>
      <c r="L195" s="86">
        <f>VLOOKUP($A195,'Data shares'!$C:$FA,96)</f>
        <v>1480100</v>
      </c>
      <c r="M195" s="87">
        <f>VLOOKUP($A195,'Data shares'!$C:$FA,97)</f>
        <v>2.46E-2</v>
      </c>
      <c r="N195" s="86">
        <f>VLOOKUP($A195,'Data shares'!$C:$FA,78)</f>
        <v>266255550</v>
      </c>
      <c r="O195" s="87">
        <f>VLOOKUP($A195,'Data shares'!$C:$FA,81)</f>
        <v>4.1999999999999997E-3</v>
      </c>
    </row>
    <row r="196" spans="1:15" x14ac:dyDescent="0.25">
      <c r="A196" s="100" t="str">
        <f>'Data Vlaue (Cr)'!C191</f>
        <v>SWIGGY</v>
      </c>
      <c r="B196" s="82">
        <f>VLOOKUP(A196,'Data shares'!$C$2:$CV$216,98,0)</f>
        <v>59397850</v>
      </c>
      <c r="C196" s="82">
        <f>VLOOKUP(A196,'Data shares'!$C$2:$CX$216,100,0)</f>
        <v>318075</v>
      </c>
      <c r="D196" s="141">
        <f>VLOOKUP(A196,'Data shares'!$C$2:$CY$539,101,0)</f>
        <v>5.4000000000000003E-3</v>
      </c>
      <c r="E196" s="86">
        <f>VLOOKUP($A196,'Data shares'!$C:$FA,74)</f>
        <v>42879000</v>
      </c>
      <c r="F196" s="86">
        <f>VLOOKUP($A196,'Data shares'!$C:$FA,76)</f>
        <v>35450</v>
      </c>
      <c r="G196" s="87">
        <f>VLOOKUP(A196,'Data shares'!$C$2:$CA$216,77,0)</f>
        <v>8.0000000000000004E-4</v>
      </c>
      <c r="H196" s="86">
        <f>VLOOKUP($A196,'Data shares'!$C:$FA,90)</f>
        <v>10360225</v>
      </c>
      <c r="I196" s="86">
        <f>VLOOKUP($A196,'Data shares'!$C:$FA,92)</f>
        <v>121425</v>
      </c>
      <c r="J196" s="87">
        <f>VLOOKUP($A196,'Data shares'!$C:$FA,93)</f>
        <v>1.1900000000000001E-2</v>
      </c>
      <c r="K196" s="86">
        <f>VLOOKUP($A196,'Data shares'!$C:$FA,94)</f>
        <v>6158625</v>
      </c>
      <c r="L196" s="86">
        <f>VLOOKUP($A196,'Data shares'!$C:$FA,96)</f>
        <v>161200</v>
      </c>
      <c r="M196" s="87">
        <f>VLOOKUP($A196,'Data shares'!$C:$FA,97)</f>
        <v>2.69E-2</v>
      </c>
      <c r="N196" s="86">
        <f>VLOOKUP($A196,'Data shares'!$C:$FA,78)</f>
        <v>41561000</v>
      </c>
      <c r="O196" s="87">
        <f>VLOOKUP($A196,'Data shares'!$C:$FA,81)</f>
        <v>4.0000000000000002E-4</v>
      </c>
    </row>
    <row r="197" spans="1:15" x14ac:dyDescent="0.25">
      <c r="A197" s="100" t="str">
        <f>'Data Vlaue (Cr)'!C192</f>
        <v>TATACONSUM</v>
      </c>
      <c r="B197" s="82">
        <f>VLOOKUP(A197,'Data shares'!$C$2:$CV$216,98,0)</f>
        <v>13996400</v>
      </c>
      <c r="C197" s="82">
        <f>VLOOKUP(A197,'Data shares'!$C$2:$CX$216,100,0)</f>
        <v>568150</v>
      </c>
      <c r="D197" s="141">
        <f>VLOOKUP(A197,'Data shares'!$C$2:$CY$539,101,0)</f>
        <v>4.2299999999999997E-2</v>
      </c>
      <c r="E197" s="86">
        <f>VLOOKUP($A197,'Data shares'!$C:$FA,74)</f>
        <v>9525450</v>
      </c>
      <c r="F197" s="86">
        <f>VLOOKUP($A197,'Data shares'!$C:$FA,76)</f>
        <v>37950</v>
      </c>
      <c r="G197" s="87">
        <f>VLOOKUP(A197,'Data shares'!$C$2:$CA$216,77,0)</f>
        <v>4.0000000000000001E-3</v>
      </c>
      <c r="H197" s="86">
        <f>VLOOKUP($A197,'Data shares'!$C:$FA,90)</f>
        <v>3045350</v>
      </c>
      <c r="I197" s="86">
        <f>VLOOKUP($A197,'Data shares'!$C:$FA,92)</f>
        <v>476300</v>
      </c>
      <c r="J197" s="87">
        <f>VLOOKUP($A197,'Data shares'!$C:$FA,93)</f>
        <v>0.18540000000000001</v>
      </c>
      <c r="K197" s="86">
        <f>VLOOKUP($A197,'Data shares'!$C:$FA,94)</f>
        <v>1425600</v>
      </c>
      <c r="L197" s="86">
        <f>VLOOKUP($A197,'Data shares'!$C:$FA,96)</f>
        <v>53900</v>
      </c>
      <c r="M197" s="87">
        <f>VLOOKUP($A197,'Data shares'!$C:$FA,97)</f>
        <v>3.9300000000000002E-2</v>
      </c>
      <c r="N197" s="86">
        <f>VLOOKUP($A197,'Data shares'!$C:$FA,78)</f>
        <v>8542050</v>
      </c>
      <c r="O197" s="87">
        <f>VLOOKUP($A197,'Data shares'!$C:$FA,81)</f>
        <v>2.8E-3</v>
      </c>
    </row>
    <row r="198" spans="1:15" x14ac:dyDescent="0.25">
      <c r="A198" s="100" t="str">
        <f>'Data Vlaue (Cr)'!C193</f>
        <v>TATAELXSI</v>
      </c>
      <c r="B198" s="82">
        <f>VLOOKUP(A198,'Data shares'!$C$2:$CV$216,98,0)</f>
        <v>4334725</v>
      </c>
      <c r="C198" s="82">
        <f>VLOOKUP(A198,'Data shares'!$C$2:$CX$216,100,0)</f>
        <v>-14400</v>
      </c>
      <c r="D198" s="141">
        <f>VLOOKUP(A198,'Data shares'!$C$2:$CY$539,101,0)</f>
        <v>-3.3E-3</v>
      </c>
      <c r="E198" s="86">
        <f>VLOOKUP($A198,'Data shares'!$C:$FA,74)</f>
        <v>2341825</v>
      </c>
      <c r="F198" s="86">
        <f>VLOOKUP($A198,'Data shares'!$C:$FA,76)</f>
        <v>-54475</v>
      </c>
      <c r="G198" s="87">
        <f>VLOOKUP(A198,'Data shares'!$C$2:$CA$216,77,0)</f>
        <v>-2.2700000000000001E-2</v>
      </c>
      <c r="H198" s="86">
        <f>VLOOKUP($A198,'Data shares'!$C:$FA,90)</f>
        <v>1374200</v>
      </c>
      <c r="I198" s="86">
        <f>VLOOKUP($A198,'Data shares'!$C:$FA,92)</f>
        <v>6600</v>
      </c>
      <c r="J198" s="87">
        <f>VLOOKUP($A198,'Data shares'!$C:$FA,93)</f>
        <v>4.7999999999999996E-3</v>
      </c>
      <c r="K198" s="86">
        <f>VLOOKUP($A198,'Data shares'!$C:$FA,94)</f>
        <v>618700</v>
      </c>
      <c r="L198" s="86">
        <f>VLOOKUP($A198,'Data shares'!$C:$FA,96)</f>
        <v>33475</v>
      </c>
      <c r="M198" s="87">
        <f>VLOOKUP($A198,'Data shares'!$C:$FA,97)</f>
        <v>5.7200000000000001E-2</v>
      </c>
      <c r="N198" s="86">
        <f>VLOOKUP($A198,'Data shares'!$C:$FA,78)</f>
        <v>2137200</v>
      </c>
      <c r="O198" s="87">
        <f>VLOOKUP($A198,'Data shares'!$C:$FA,81)</f>
        <v>-2.6599999999999999E-2</v>
      </c>
    </row>
    <row r="199" spans="1:15" x14ac:dyDescent="0.25">
      <c r="A199" s="100" t="str">
        <f>'Data Vlaue (Cr)'!C194</f>
        <v>TATAPOWER</v>
      </c>
      <c r="B199" s="82">
        <f>VLOOKUP(A199,'Data shares'!$C$2:$CV$216,98,0)</f>
        <v>96699050</v>
      </c>
      <c r="C199" s="82">
        <f>VLOOKUP(A199,'Data shares'!$C$2:$CX$216,100,0)</f>
        <v>501700</v>
      </c>
      <c r="D199" s="141">
        <f>VLOOKUP(A199,'Data shares'!$C$2:$CY$539,101,0)</f>
        <v>5.1999999999999998E-3</v>
      </c>
      <c r="E199" s="86">
        <f>VLOOKUP($A199,'Data shares'!$C:$FA,74)</f>
        <v>53651450</v>
      </c>
      <c r="F199" s="86">
        <f>VLOOKUP($A199,'Data shares'!$C:$FA,76)</f>
        <v>491550</v>
      </c>
      <c r="G199" s="87">
        <f>VLOOKUP(A199,'Data shares'!$C$2:$CA$216,77,0)</f>
        <v>9.1999999999999998E-3</v>
      </c>
      <c r="H199" s="86">
        <f>VLOOKUP($A199,'Data shares'!$C:$FA,90)</f>
        <v>26865600</v>
      </c>
      <c r="I199" s="86">
        <f>VLOOKUP($A199,'Data shares'!$C:$FA,92)</f>
        <v>536500</v>
      </c>
      <c r="J199" s="87">
        <f>VLOOKUP($A199,'Data shares'!$C:$FA,93)</f>
        <v>2.0400000000000001E-2</v>
      </c>
      <c r="K199" s="86">
        <f>VLOOKUP($A199,'Data shares'!$C:$FA,94)</f>
        <v>16182000</v>
      </c>
      <c r="L199" s="86">
        <f>VLOOKUP($A199,'Data shares'!$C:$FA,96)</f>
        <v>-526350</v>
      </c>
      <c r="M199" s="87">
        <f>VLOOKUP($A199,'Data shares'!$C:$FA,97)</f>
        <v>-3.15E-2</v>
      </c>
      <c r="N199" s="86">
        <f>VLOOKUP($A199,'Data shares'!$C:$FA,78)</f>
        <v>51943350</v>
      </c>
      <c r="O199" s="87">
        <f>VLOOKUP($A199,'Data shares'!$C:$FA,81)</f>
        <v>6.0000000000000001E-3</v>
      </c>
    </row>
    <row r="200" spans="1:15" x14ac:dyDescent="0.25">
      <c r="A200" s="100" t="str">
        <f>'Data Vlaue (Cr)'!C195</f>
        <v>TATASTEEL</v>
      </c>
      <c r="B200" s="82">
        <f>VLOOKUP(A200,'Data shares'!$C$2:$CV$216,98,0)</f>
        <v>324197500</v>
      </c>
      <c r="C200" s="82">
        <f>VLOOKUP(A200,'Data shares'!$C$2:$CX$216,100,0)</f>
        <v>1287000</v>
      </c>
      <c r="D200" s="141">
        <f>VLOOKUP(A200,'Data shares'!$C$2:$CY$539,101,0)</f>
        <v>4.0000000000000001E-3</v>
      </c>
      <c r="E200" s="86">
        <f>VLOOKUP($A200,'Data shares'!$C:$FA,74)</f>
        <v>186287750</v>
      </c>
      <c r="F200" s="86">
        <f>VLOOKUP($A200,'Data shares'!$C:$FA,76)</f>
        <v>517000</v>
      </c>
      <c r="G200" s="87">
        <f>VLOOKUP(A200,'Data shares'!$C$2:$CA$216,77,0)</f>
        <v>2.8E-3</v>
      </c>
      <c r="H200" s="86">
        <f>VLOOKUP($A200,'Data shares'!$C:$FA,90)</f>
        <v>80638250</v>
      </c>
      <c r="I200" s="86">
        <f>VLOOKUP($A200,'Data shares'!$C:$FA,92)</f>
        <v>-2667500</v>
      </c>
      <c r="J200" s="87">
        <f>VLOOKUP($A200,'Data shares'!$C:$FA,93)</f>
        <v>-3.2000000000000001E-2</v>
      </c>
      <c r="K200" s="86">
        <f>VLOOKUP($A200,'Data shares'!$C:$FA,94)</f>
        <v>57271500</v>
      </c>
      <c r="L200" s="86">
        <f>VLOOKUP($A200,'Data shares'!$C:$FA,96)</f>
        <v>3437500</v>
      </c>
      <c r="M200" s="87">
        <f>VLOOKUP($A200,'Data shares'!$C:$FA,97)</f>
        <v>6.3899999999999998E-2</v>
      </c>
      <c r="N200" s="86">
        <f>VLOOKUP($A200,'Data shares'!$C:$FA,78)</f>
        <v>171685250</v>
      </c>
      <c r="O200" s="87">
        <f>VLOOKUP($A200,'Data shares'!$C:$FA,81)</f>
        <v>8.9999999999999998E-4</v>
      </c>
    </row>
    <row r="201" spans="1:15" x14ac:dyDescent="0.25">
      <c r="A201" s="100" t="str">
        <f>'Data Vlaue (Cr)'!C196</f>
        <v>TCS</v>
      </c>
      <c r="B201" s="82">
        <f>VLOOKUP(A201,'Data shares'!$C$2:$CV$216,98,0)</f>
        <v>61245500</v>
      </c>
      <c r="C201" s="82">
        <f>VLOOKUP(A201,'Data shares'!$C$2:$CX$216,100,0)</f>
        <v>3312350</v>
      </c>
      <c r="D201" s="141">
        <f>VLOOKUP(A201,'Data shares'!$C$2:$CY$539,101,0)</f>
        <v>5.7200000000000001E-2</v>
      </c>
      <c r="E201" s="86">
        <f>VLOOKUP($A201,'Data shares'!$C:$FA,74)</f>
        <v>38816350</v>
      </c>
      <c r="F201" s="86">
        <f>VLOOKUP($A201,'Data shares'!$C:$FA,76)</f>
        <v>1297775</v>
      </c>
      <c r="G201" s="87">
        <f>VLOOKUP(A201,'Data shares'!$C$2:$CA$216,77,0)</f>
        <v>3.4599999999999999E-2</v>
      </c>
      <c r="H201" s="86">
        <f>VLOOKUP($A201,'Data shares'!$C:$FA,90)</f>
        <v>13320025</v>
      </c>
      <c r="I201" s="86">
        <f>VLOOKUP($A201,'Data shares'!$C:$FA,92)</f>
        <v>1392600</v>
      </c>
      <c r="J201" s="87">
        <f>VLOOKUP($A201,'Data shares'!$C:$FA,93)</f>
        <v>0.1168</v>
      </c>
      <c r="K201" s="86">
        <f>VLOOKUP($A201,'Data shares'!$C:$FA,94)</f>
        <v>9109125</v>
      </c>
      <c r="L201" s="86">
        <f>VLOOKUP($A201,'Data shares'!$C:$FA,96)</f>
        <v>621975</v>
      </c>
      <c r="M201" s="87">
        <f>VLOOKUP($A201,'Data shares'!$C:$FA,97)</f>
        <v>7.3300000000000004E-2</v>
      </c>
      <c r="N201" s="86">
        <f>VLOOKUP($A201,'Data shares'!$C:$FA,78)</f>
        <v>35633850</v>
      </c>
      <c r="O201" s="87">
        <f>VLOOKUP($A201,'Data shares'!$C:$FA,81)</f>
        <v>2.53E-2</v>
      </c>
    </row>
    <row r="202" spans="1:15" x14ac:dyDescent="0.25">
      <c r="A202" s="100" t="str">
        <f>'Data Vlaue (Cr)'!C197</f>
        <v>TECHM</v>
      </c>
      <c r="B202" s="82">
        <f>VLOOKUP(A202,'Data shares'!$C$2:$CV$216,98,0)</f>
        <v>30812400</v>
      </c>
      <c r="C202" s="82">
        <f>VLOOKUP(A202,'Data shares'!$C$2:$CX$216,100,0)</f>
        <v>97800</v>
      </c>
      <c r="D202" s="141">
        <f>VLOOKUP(A202,'Data shares'!$C$2:$CY$539,101,0)</f>
        <v>3.2000000000000002E-3</v>
      </c>
      <c r="E202" s="86">
        <f>VLOOKUP($A202,'Data shares'!$C:$FA,74)</f>
        <v>19644000</v>
      </c>
      <c r="F202" s="86">
        <f>VLOOKUP($A202,'Data shares'!$C:$FA,76)</f>
        <v>140400</v>
      </c>
      <c r="G202" s="87">
        <f>VLOOKUP(A202,'Data shares'!$C$2:$CA$216,77,0)</f>
        <v>7.1999999999999998E-3</v>
      </c>
      <c r="H202" s="86">
        <f>VLOOKUP($A202,'Data shares'!$C:$FA,90)</f>
        <v>6663600</v>
      </c>
      <c r="I202" s="86">
        <f>VLOOKUP($A202,'Data shares'!$C:$FA,92)</f>
        <v>85800</v>
      </c>
      <c r="J202" s="87">
        <f>VLOOKUP($A202,'Data shares'!$C:$FA,93)</f>
        <v>1.2999999999999999E-2</v>
      </c>
      <c r="K202" s="86">
        <f>VLOOKUP($A202,'Data shares'!$C:$FA,94)</f>
        <v>4504800</v>
      </c>
      <c r="L202" s="86">
        <f>VLOOKUP($A202,'Data shares'!$C:$FA,96)</f>
        <v>-128400</v>
      </c>
      <c r="M202" s="87">
        <f>VLOOKUP($A202,'Data shares'!$C:$FA,97)</f>
        <v>-2.7699999999999999E-2</v>
      </c>
      <c r="N202" s="86">
        <f>VLOOKUP($A202,'Data shares'!$C:$FA,78)</f>
        <v>19119000</v>
      </c>
      <c r="O202" s="87">
        <f>VLOOKUP($A202,'Data shares'!$C:$FA,81)</f>
        <v>6.0000000000000001E-3</v>
      </c>
    </row>
    <row r="203" spans="1:15" x14ac:dyDescent="0.25">
      <c r="A203" s="100" t="str">
        <f>'Data Vlaue (Cr)'!C198</f>
        <v>TIINDIA</v>
      </c>
      <c r="B203" s="82">
        <f>VLOOKUP(A203,'Data shares'!$C$2:$CV$216,98,0)</f>
        <v>3094800</v>
      </c>
      <c r="C203" s="82">
        <f>VLOOKUP(A203,'Data shares'!$C$2:$CX$216,100,0)</f>
        <v>90400</v>
      </c>
      <c r="D203" s="141">
        <f>VLOOKUP(A203,'Data shares'!$C$2:$CY$539,101,0)</f>
        <v>3.0099999999999998E-2</v>
      </c>
      <c r="E203" s="86">
        <f>VLOOKUP($A203,'Data shares'!$C:$FA,74)</f>
        <v>2424600</v>
      </c>
      <c r="F203" s="86">
        <f>VLOOKUP($A203,'Data shares'!$C:$FA,76)</f>
        <v>-18000</v>
      </c>
      <c r="G203" s="87">
        <f>VLOOKUP(A203,'Data shares'!$C$2:$CA$216,77,0)</f>
        <v>-7.4000000000000003E-3</v>
      </c>
      <c r="H203" s="86">
        <f>VLOOKUP($A203,'Data shares'!$C:$FA,90)</f>
        <v>431600</v>
      </c>
      <c r="I203" s="86">
        <f>VLOOKUP($A203,'Data shares'!$C:$FA,92)</f>
        <v>96600</v>
      </c>
      <c r="J203" s="87">
        <f>VLOOKUP($A203,'Data shares'!$C:$FA,93)</f>
        <v>0.28839999999999999</v>
      </c>
      <c r="K203" s="86">
        <f>VLOOKUP($A203,'Data shares'!$C:$FA,94)</f>
        <v>238600</v>
      </c>
      <c r="L203" s="86">
        <f>VLOOKUP($A203,'Data shares'!$C:$FA,96)</f>
        <v>11800</v>
      </c>
      <c r="M203" s="87">
        <f>VLOOKUP($A203,'Data shares'!$C:$FA,97)</f>
        <v>5.1999999999999998E-2</v>
      </c>
      <c r="N203" s="86">
        <f>VLOOKUP($A203,'Data shares'!$C:$FA,78)</f>
        <v>2401400</v>
      </c>
      <c r="O203" s="87">
        <f>VLOOKUP($A203,'Data shares'!$C:$FA,81)</f>
        <v>-8.3000000000000001E-3</v>
      </c>
    </row>
    <row r="204" spans="1:15" x14ac:dyDescent="0.25">
      <c r="A204" s="100" t="str">
        <f>'Data Vlaue (Cr)'!C199</f>
        <v>TITAN</v>
      </c>
      <c r="B204" s="82">
        <f>VLOOKUP(A204,'Data shares'!$C$2:$CV$216,98,0)</f>
        <v>11988200</v>
      </c>
      <c r="C204" s="82">
        <f>VLOOKUP(A204,'Data shares'!$C$2:$CX$216,100,0)</f>
        <v>-44275</v>
      </c>
      <c r="D204" s="141">
        <f>VLOOKUP(A204,'Data shares'!$C$2:$CY$539,101,0)</f>
        <v>-3.7000000000000002E-3</v>
      </c>
      <c r="E204" s="86">
        <f>VLOOKUP($A204,'Data shares'!$C:$FA,74)</f>
        <v>8702400</v>
      </c>
      <c r="F204" s="86">
        <f>VLOOKUP($A204,'Data shares'!$C:$FA,76)</f>
        <v>-240800</v>
      </c>
      <c r="G204" s="87">
        <f>VLOOKUP(A204,'Data shares'!$C$2:$CA$216,77,0)</f>
        <v>-2.69E-2</v>
      </c>
      <c r="H204" s="86">
        <f>VLOOKUP($A204,'Data shares'!$C:$FA,90)</f>
        <v>1934275</v>
      </c>
      <c r="I204" s="86">
        <f>VLOOKUP($A204,'Data shares'!$C:$FA,92)</f>
        <v>205450</v>
      </c>
      <c r="J204" s="87">
        <f>VLOOKUP($A204,'Data shares'!$C:$FA,93)</f>
        <v>0.1188</v>
      </c>
      <c r="K204" s="86">
        <f>VLOOKUP($A204,'Data shares'!$C:$FA,94)</f>
        <v>1351525</v>
      </c>
      <c r="L204" s="86">
        <f>VLOOKUP($A204,'Data shares'!$C:$FA,96)</f>
        <v>-8925</v>
      </c>
      <c r="M204" s="87">
        <f>VLOOKUP($A204,'Data shares'!$C:$FA,97)</f>
        <v>-6.6E-3</v>
      </c>
      <c r="N204" s="86">
        <f>VLOOKUP($A204,'Data shares'!$C:$FA,78)</f>
        <v>7783125</v>
      </c>
      <c r="O204" s="87">
        <f>VLOOKUP($A204,'Data shares'!$C:$FA,81)</f>
        <v>-3.2399999999999998E-2</v>
      </c>
    </row>
    <row r="205" spans="1:15" x14ac:dyDescent="0.25">
      <c r="A205" s="100" t="str">
        <f>'Data Vlaue (Cr)'!C200</f>
        <v>TMPV</v>
      </c>
      <c r="B205" s="82">
        <f>VLOOKUP(A205,'Data shares'!$C$2:$CV$216,98,0)</f>
        <v>113307200</v>
      </c>
      <c r="C205" s="82">
        <f>VLOOKUP(A205,'Data shares'!$C$2:$CX$216,100,0)</f>
        <v>1040800</v>
      </c>
      <c r="D205" s="141">
        <f>VLOOKUP(A205,'Data shares'!$C$2:$CY$539,101,0)</f>
        <v>9.2999999999999992E-3</v>
      </c>
      <c r="E205" s="86">
        <f>VLOOKUP($A205,'Data shares'!$C:$FA,74)</f>
        <v>69032000</v>
      </c>
      <c r="F205" s="86">
        <f>VLOOKUP($A205,'Data shares'!$C:$FA,76)</f>
        <v>-872800</v>
      </c>
      <c r="G205" s="87">
        <f>VLOOKUP(A205,'Data shares'!$C$2:$CA$216,77,0)</f>
        <v>-1.2500000000000001E-2</v>
      </c>
      <c r="H205" s="86">
        <f>VLOOKUP($A205,'Data shares'!$C:$FA,90)</f>
        <v>26910400</v>
      </c>
      <c r="I205" s="86">
        <f>VLOOKUP($A205,'Data shares'!$C:$FA,92)</f>
        <v>986400</v>
      </c>
      <c r="J205" s="87">
        <f>VLOOKUP($A205,'Data shares'!$C:$FA,93)</f>
        <v>3.7999999999999999E-2</v>
      </c>
      <c r="K205" s="86">
        <f>VLOOKUP($A205,'Data shares'!$C:$FA,94)</f>
        <v>17364800</v>
      </c>
      <c r="L205" s="86">
        <f>VLOOKUP($A205,'Data shares'!$C:$FA,96)</f>
        <v>927200</v>
      </c>
      <c r="M205" s="87">
        <f>VLOOKUP($A205,'Data shares'!$C:$FA,97)</f>
        <v>5.6399999999999999E-2</v>
      </c>
      <c r="N205" s="86">
        <f>VLOOKUP($A205,'Data shares'!$C:$FA,78)</f>
        <v>64087200</v>
      </c>
      <c r="O205" s="87">
        <f>VLOOKUP($A205,'Data shares'!$C:$FA,81)</f>
        <v>-1.0999999999999999E-2</v>
      </c>
    </row>
    <row r="206" spans="1:15" x14ac:dyDescent="0.25">
      <c r="A206" s="100" t="str">
        <f>'Data Vlaue (Cr)'!C201</f>
        <v>TORNTPHARM</v>
      </c>
      <c r="B206" s="82">
        <f>VLOOKUP(A206,'Data shares'!$C$2:$CV$216,98,0)</f>
        <v>3238125</v>
      </c>
      <c r="C206" s="82">
        <f>VLOOKUP(A206,'Data shares'!$C$2:$CX$216,100,0)</f>
        <v>36750</v>
      </c>
      <c r="D206" s="141">
        <f>VLOOKUP(A206,'Data shares'!$C$2:$CY$539,101,0)</f>
        <v>1.15E-2</v>
      </c>
      <c r="E206" s="86">
        <f>VLOOKUP($A206,'Data shares'!$C:$FA,74)</f>
        <v>2596625</v>
      </c>
      <c r="F206" s="86">
        <f>VLOOKUP($A206,'Data shares'!$C:$FA,76)</f>
        <v>3875</v>
      </c>
      <c r="G206" s="87">
        <f>VLOOKUP(A206,'Data shares'!$C$2:$CA$216,77,0)</f>
        <v>1.5E-3</v>
      </c>
      <c r="H206" s="86">
        <f>VLOOKUP($A206,'Data shares'!$C:$FA,90)</f>
        <v>424875</v>
      </c>
      <c r="I206" s="86">
        <f>VLOOKUP($A206,'Data shares'!$C:$FA,92)</f>
        <v>10375</v>
      </c>
      <c r="J206" s="87">
        <f>VLOOKUP($A206,'Data shares'!$C:$FA,93)</f>
        <v>2.5000000000000001E-2</v>
      </c>
      <c r="K206" s="86">
        <f>VLOOKUP($A206,'Data shares'!$C:$FA,94)</f>
        <v>216625</v>
      </c>
      <c r="L206" s="86">
        <f>VLOOKUP($A206,'Data shares'!$C:$FA,96)</f>
        <v>22500</v>
      </c>
      <c r="M206" s="87">
        <f>VLOOKUP($A206,'Data shares'!$C:$FA,97)</f>
        <v>0.1159</v>
      </c>
      <c r="N206" s="86">
        <f>VLOOKUP($A206,'Data shares'!$C:$FA,78)</f>
        <v>2587875</v>
      </c>
      <c r="O206" s="87">
        <f>VLOOKUP($A206,'Data shares'!$C:$FA,81)</f>
        <v>5.9999999999999995E-4</v>
      </c>
    </row>
    <row r="207" spans="1:15" x14ac:dyDescent="0.25">
      <c r="A207" s="100" t="str">
        <f>'Data Vlaue (Cr)'!C202</f>
        <v>TRENT</v>
      </c>
      <c r="B207" s="82">
        <f>VLOOKUP(A207,'Data shares'!$C$2:$CV$216,98,0)</f>
        <v>11761200</v>
      </c>
      <c r="C207" s="82">
        <f>VLOOKUP(A207,'Data shares'!$C$2:$CX$216,100,0)</f>
        <v>-266850</v>
      </c>
      <c r="D207" s="141">
        <f>VLOOKUP(A207,'Data shares'!$C$2:$CY$539,101,0)</f>
        <v>-2.2200000000000001E-2</v>
      </c>
      <c r="E207" s="86">
        <f>VLOOKUP($A207,'Data shares'!$C:$FA,74)</f>
        <v>7057500</v>
      </c>
      <c r="F207" s="86">
        <f>VLOOKUP($A207,'Data shares'!$C:$FA,76)</f>
        <v>-43100</v>
      </c>
      <c r="G207" s="87">
        <f>VLOOKUP(A207,'Data shares'!$C$2:$CA$216,77,0)</f>
        <v>-6.1000000000000004E-3</v>
      </c>
      <c r="H207" s="86">
        <f>VLOOKUP($A207,'Data shares'!$C:$FA,90)</f>
        <v>3237200</v>
      </c>
      <c r="I207" s="86">
        <f>VLOOKUP($A207,'Data shares'!$C:$FA,92)</f>
        <v>-315200</v>
      </c>
      <c r="J207" s="87">
        <f>VLOOKUP($A207,'Data shares'!$C:$FA,93)</f>
        <v>-8.8700000000000001E-2</v>
      </c>
      <c r="K207" s="86">
        <f>VLOOKUP($A207,'Data shares'!$C:$FA,94)</f>
        <v>1466500</v>
      </c>
      <c r="L207" s="86">
        <f>VLOOKUP($A207,'Data shares'!$C:$FA,96)</f>
        <v>91450</v>
      </c>
      <c r="M207" s="87">
        <f>VLOOKUP($A207,'Data shares'!$C:$FA,97)</f>
        <v>6.6500000000000004E-2</v>
      </c>
      <c r="N207" s="86">
        <f>VLOOKUP($A207,'Data shares'!$C:$FA,78)</f>
        <v>6712500</v>
      </c>
      <c r="O207" s="87">
        <f>VLOOKUP($A207,'Data shares'!$C:$FA,81)</f>
        <v>-7.1000000000000004E-3</v>
      </c>
    </row>
    <row r="208" spans="1:15" x14ac:dyDescent="0.25">
      <c r="A208" s="100" t="str">
        <f>'Data Vlaue (Cr)'!C203</f>
        <v>TVSMOTOR</v>
      </c>
      <c r="B208" s="82">
        <f>VLOOKUP(A208,'Data shares'!$C$2:$CV$216,98,0)</f>
        <v>11065775</v>
      </c>
      <c r="C208" s="82">
        <f>VLOOKUP(A208,'Data shares'!$C$2:$CX$216,100,0)</f>
        <v>-192675</v>
      </c>
      <c r="D208" s="141">
        <f>VLOOKUP(A208,'Data shares'!$C$2:$CY$539,101,0)</f>
        <v>-1.7100000000000001E-2</v>
      </c>
      <c r="E208" s="86">
        <f>VLOOKUP($A208,'Data shares'!$C:$FA,74)</f>
        <v>8508850</v>
      </c>
      <c r="F208" s="86">
        <f>VLOOKUP($A208,'Data shares'!$C:$FA,76)</f>
        <v>-263025</v>
      </c>
      <c r="G208" s="87">
        <f>VLOOKUP(A208,'Data shares'!$C$2:$CA$216,77,0)</f>
        <v>-0.03</v>
      </c>
      <c r="H208" s="86">
        <f>VLOOKUP($A208,'Data shares'!$C:$FA,90)</f>
        <v>1594075</v>
      </c>
      <c r="I208" s="86">
        <f>VLOOKUP($A208,'Data shares'!$C:$FA,92)</f>
        <v>25375</v>
      </c>
      <c r="J208" s="87">
        <f>VLOOKUP($A208,'Data shares'!$C:$FA,93)</f>
        <v>1.6199999999999999E-2</v>
      </c>
      <c r="K208" s="86">
        <f>VLOOKUP($A208,'Data shares'!$C:$FA,94)</f>
        <v>962850</v>
      </c>
      <c r="L208" s="86">
        <f>VLOOKUP($A208,'Data shares'!$C:$FA,96)</f>
        <v>44975</v>
      </c>
      <c r="M208" s="87">
        <f>VLOOKUP($A208,'Data shares'!$C:$FA,97)</f>
        <v>4.9000000000000002E-2</v>
      </c>
      <c r="N208" s="86">
        <f>VLOOKUP($A208,'Data shares'!$C:$FA,78)</f>
        <v>8123325</v>
      </c>
      <c r="O208" s="87">
        <f>VLOOKUP($A208,'Data shares'!$C:$FA,81)</f>
        <v>-3.0700000000000002E-2</v>
      </c>
    </row>
    <row r="209" spans="1:15" x14ac:dyDescent="0.25">
      <c r="A209" s="100" t="str">
        <f>'Data Vlaue (Cr)'!C204</f>
        <v>ULTRACEMCO</v>
      </c>
      <c r="B209" s="82">
        <f>VLOOKUP(A209,'Data shares'!$C$2:$CV$216,98,0)</f>
        <v>4381150</v>
      </c>
      <c r="C209" s="82">
        <f>VLOOKUP(A209,'Data shares'!$C$2:$CX$216,100,0)</f>
        <v>-87200</v>
      </c>
      <c r="D209" s="141">
        <f>VLOOKUP(A209,'Data shares'!$C$2:$CY$539,101,0)</f>
        <v>-1.95E-2</v>
      </c>
      <c r="E209" s="86">
        <f>VLOOKUP($A209,'Data shares'!$C:$FA,74)</f>
        <v>2750150</v>
      </c>
      <c r="F209" s="86">
        <f>VLOOKUP($A209,'Data shares'!$C:$FA,76)</f>
        <v>-22500</v>
      </c>
      <c r="G209" s="87">
        <f>VLOOKUP(A209,'Data shares'!$C$2:$CA$216,77,0)</f>
        <v>-8.0999999999999996E-3</v>
      </c>
      <c r="H209" s="86">
        <f>VLOOKUP($A209,'Data shares'!$C:$FA,90)</f>
        <v>1155950</v>
      </c>
      <c r="I209" s="86">
        <f>VLOOKUP($A209,'Data shares'!$C:$FA,92)</f>
        <v>-42950</v>
      </c>
      <c r="J209" s="87">
        <f>VLOOKUP($A209,'Data shares'!$C:$FA,93)</f>
        <v>-3.5799999999999998E-2</v>
      </c>
      <c r="K209" s="86">
        <f>VLOOKUP($A209,'Data shares'!$C:$FA,94)</f>
        <v>475050</v>
      </c>
      <c r="L209" s="86">
        <f>VLOOKUP($A209,'Data shares'!$C:$FA,96)</f>
        <v>-21750</v>
      </c>
      <c r="M209" s="87">
        <f>VLOOKUP($A209,'Data shares'!$C:$FA,97)</f>
        <v>-4.3799999999999999E-2</v>
      </c>
      <c r="N209" s="86">
        <f>VLOOKUP($A209,'Data shares'!$C:$FA,78)</f>
        <v>2289100</v>
      </c>
      <c r="O209" s="87">
        <f>VLOOKUP($A209,'Data shares'!$C:$FA,81)</f>
        <v>-9.9000000000000008E-3</v>
      </c>
    </row>
    <row r="210" spans="1:15" x14ac:dyDescent="0.25">
      <c r="A210" s="100" t="str">
        <f>'Data Vlaue (Cr)'!C205</f>
        <v>UNIONBANK</v>
      </c>
      <c r="B210" s="82">
        <f>VLOOKUP(A210,'Data shares'!$C$2:$CV$216,98,0)</f>
        <v>240432375</v>
      </c>
      <c r="C210" s="82">
        <f>VLOOKUP(A210,'Data shares'!$C$2:$CX$216,100,0)</f>
        <v>924825</v>
      </c>
      <c r="D210" s="141">
        <f>VLOOKUP(A210,'Data shares'!$C$2:$CY$539,101,0)</f>
        <v>3.8999999999999998E-3</v>
      </c>
      <c r="E210" s="86">
        <f>VLOOKUP($A210,'Data shares'!$C:$FA,74)</f>
        <v>140684025</v>
      </c>
      <c r="F210" s="86">
        <f>VLOOKUP($A210,'Data shares'!$C:$FA,76)</f>
        <v>619500</v>
      </c>
      <c r="G210" s="87">
        <f>VLOOKUP(A210,'Data shares'!$C$2:$CA$216,77,0)</f>
        <v>4.4000000000000003E-3</v>
      </c>
      <c r="H210" s="86">
        <f>VLOOKUP($A210,'Data shares'!$C:$FA,90)</f>
        <v>68096325</v>
      </c>
      <c r="I210" s="86">
        <f>VLOOKUP($A210,'Data shares'!$C:$FA,92)</f>
        <v>1269975</v>
      </c>
      <c r="J210" s="87">
        <f>VLOOKUP($A210,'Data shares'!$C:$FA,93)</f>
        <v>1.9E-2</v>
      </c>
      <c r="K210" s="86">
        <f>VLOOKUP($A210,'Data shares'!$C:$FA,94)</f>
        <v>31652025</v>
      </c>
      <c r="L210" s="86">
        <f>VLOOKUP($A210,'Data shares'!$C:$FA,96)</f>
        <v>-964650</v>
      </c>
      <c r="M210" s="87">
        <f>VLOOKUP($A210,'Data shares'!$C:$FA,97)</f>
        <v>-2.9600000000000001E-2</v>
      </c>
      <c r="N210" s="86">
        <f>VLOOKUP($A210,'Data shares'!$C:$FA,78)</f>
        <v>134055375</v>
      </c>
      <c r="O210" s="87">
        <f>VLOOKUP($A210,'Data shares'!$C:$FA,81)</f>
        <v>1.8E-3</v>
      </c>
    </row>
    <row r="211" spans="1:15" x14ac:dyDescent="0.25">
      <c r="A211" s="100" t="str">
        <f>'Data Vlaue (Cr)'!C206</f>
        <v>UNITDSPR</v>
      </c>
      <c r="B211" s="82">
        <f>VLOOKUP(A211,'Data shares'!$C$2:$CV$216,98,0)</f>
        <v>18283600</v>
      </c>
      <c r="C211" s="82">
        <f>VLOOKUP(A211,'Data shares'!$C$2:$CX$216,100,0)</f>
        <v>1694000</v>
      </c>
      <c r="D211" s="141">
        <f>VLOOKUP(A211,'Data shares'!$C$2:$CY$539,101,0)</f>
        <v>0.1021</v>
      </c>
      <c r="E211" s="86">
        <f>VLOOKUP($A211,'Data shares'!$C:$FA,74)</f>
        <v>12143600</v>
      </c>
      <c r="F211" s="86">
        <f>VLOOKUP($A211,'Data shares'!$C:$FA,76)</f>
        <v>553200</v>
      </c>
      <c r="G211" s="87">
        <f>VLOOKUP(A211,'Data shares'!$C$2:$CA$216,77,0)</f>
        <v>4.7699999999999999E-2</v>
      </c>
      <c r="H211" s="86">
        <f>VLOOKUP($A211,'Data shares'!$C:$FA,90)</f>
        <v>3671200</v>
      </c>
      <c r="I211" s="86">
        <f>VLOOKUP($A211,'Data shares'!$C:$FA,92)</f>
        <v>704000</v>
      </c>
      <c r="J211" s="87">
        <f>VLOOKUP($A211,'Data shares'!$C:$FA,93)</f>
        <v>0.23730000000000001</v>
      </c>
      <c r="K211" s="86">
        <f>VLOOKUP($A211,'Data shares'!$C:$FA,94)</f>
        <v>2468800</v>
      </c>
      <c r="L211" s="86">
        <f>VLOOKUP($A211,'Data shares'!$C:$FA,96)</f>
        <v>436800</v>
      </c>
      <c r="M211" s="87">
        <f>VLOOKUP($A211,'Data shares'!$C:$FA,97)</f>
        <v>0.215</v>
      </c>
      <c r="N211" s="86">
        <f>VLOOKUP($A211,'Data shares'!$C:$FA,78)</f>
        <v>11473600</v>
      </c>
      <c r="O211" s="87">
        <f>VLOOKUP($A211,'Data shares'!$C:$FA,81)</f>
        <v>4.4400000000000002E-2</v>
      </c>
    </row>
    <row r="212" spans="1:15" x14ac:dyDescent="0.25">
      <c r="A212" s="100" t="str">
        <f>'Data Vlaue (Cr)'!C207</f>
        <v>UNOMINDA</v>
      </c>
      <c r="B212" s="82">
        <f>VLOOKUP(A212,'Data shares'!$C$2:$CV$216,98,0)</f>
        <v>6303000</v>
      </c>
      <c r="C212" s="82">
        <f>VLOOKUP(A212,'Data shares'!$C$2:$CX$216,100,0)</f>
        <v>144650</v>
      </c>
      <c r="D212" s="141">
        <f>VLOOKUP(A212,'Data shares'!$C$2:$CY$539,101,0)</f>
        <v>2.35E-2</v>
      </c>
      <c r="E212" s="86">
        <f>VLOOKUP($A212,'Data shares'!$C:$FA,74)</f>
        <v>4492950</v>
      </c>
      <c r="F212" s="86">
        <f>VLOOKUP($A212,'Data shares'!$C:$FA,76)</f>
        <v>-9900</v>
      </c>
      <c r="G212" s="87">
        <f>VLOOKUP(A212,'Data shares'!$C$2:$CA$216,77,0)</f>
        <v>-2.2000000000000001E-3</v>
      </c>
      <c r="H212" s="86">
        <f>VLOOKUP($A212,'Data shares'!$C:$FA,90)</f>
        <v>1270500</v>
      </c>
      <c r="I212" s="86">
        <f>VLOOKUP($A212,'Data shares'!$C:$FA,92)</f>
        <v>101200</v>
      </c>
      <c r="J212" s="87">
        <f>VLOOKUP($A212,'Data shares'!$C:$FA,93)</f>
        <v>8.6499999999999994E-2</v>
      </c>
      <c r="K212" s="86">
        <f>VLOOKUP($A212,'Data shares'!$C:$FA,94)</f>
        <v>539550</v>
      </c>
      <c r="L212" s="86">
        <f>VLOOKUP($A212,'Data shares'!$C:$FA,96)</f>
        <v>53350</v>
      </c>
      <c r="M212" s="87">
        <f>VLOOKUP($A212,'Data shares'!$C:$FA,97)</f>
        <v>0.10970000000000001</v>
      </c>
      <c r="N212" s="86">
        <f>VLOOKUP($A212,'Data shares'!$C:$FA,78)</f>
        <v>4454450</v>
      </c>
      <c r="O212" s="87">
        <f>VLOOKUP($A212,'Data shares'!$C:$FA,81)</f>
        <v>-1.6999999999999999E-3</v>
      </c>
    </row>
    <row r="213" spans="1:15" x14ac:dyDescent="0.25">
      <c r="A213" s="100" t="str">
        <f>'Data Vlaue (Cr)'!C208</f>
        <v>UPL</v>
      </c>
      <c r="B213" s="82">
        <f>VLOOKUP(A213,'Data shares'!$C$2:$CV$216,98,0)</f>
        <v>36748955</v>
      </c>
      <c r="C213" s="82">
        <f>VLOOKUP(A213,'Data shares'!$C$2:$CX$216,100,0)</f>
        <v>-170730</v>
      </c>
      <c r="D213" s="141">
        <f>VLOOKUP(A213,'Data shares'!$C$2:$CY$539,101,0)</f>
        <v>-4.5999999999999999E-3</v>
      </c>
      <c r="E213" s="86">
        <f>VLOOKUP($A213,'Data shares'!$C:$FA,74)</f>
        <v>28146060</v>
      </c>
      <c r="F213" s="86">
        <f>VLOOKUP($A213,'Data shares'!$C:$FA,76)</f>
        <v>-738475</v>
      </c>
      <c r="G213" s="87">
        <f>VLOOKUP(A213,'Data shares'!$C$2:$CA$216,77,0)</f>
        <v>-2.5600000000000001E-2</v>
      </c>
      <c r="H213" s="86">
        <f>VLOOKUP($A213,'Data shares'!$C:$FA,90)</f>
        <v>5196425</v>
      </c>
      <c r="I213" s="86">
        <f>VLOOKUP($A213,'Data shares'!$C:$FA,92)</f>
        <v>485090</v>
      </c>
      <c r="J213" s="87">
        <f>VLOOKUP($A213,'Data shares'!$C:$FA,93)</f>
        <v>0.10299999999999999</v>
      </c>
      <c r="K213" s="86">
        <f>VLOOKUP($A213,'Data shares'!$C:$FA,94)</f>
        <v>3406470</v>
      </c>
      <c r="L213" s="86">
        <f>VLOOKUP($A213,'Data shares'!$C:$FA,96)</f>
        <v>82655</v>
      </c>
      <c r="M213" s="87">
        <f>VLOOKUP($A213,'Data shares'!$C:$FA,97)</f>
        <v>2.4899999999999999E-2</v>
      </c>
      <c r="N213" s="86">
        <f>VLOOKUP($A213,'Data shares'!$C:$FA,78)</f>
        <v>27826280</v>
      </c>
      <c r="O213" s="87">
        <f>VLOOKUP($A213,'Data shares'!$C:$FA,81)</f>
        <v>-2.5499999999999998E-2</v>
      </c>
    </row>
    <row r="214" spans="1:15" x14ac:dyDescent="0.25">
      <c r="A214" s="100" t="str">
        <f>'Data Vlaue (Cr)'!C209</f>
        <v>VBL</v>
      </c>
      <c r="B214" s="82">
        <f>VLOOKUP(A214,'Data shares'!$C$2:$CV$216,98,0)</f>
        <v>67703175</v>
      </c>
      <c r="C214" s="82">
        <f>VLOOKUP(A214,'Data shares'!$C$2:$CX$216,100,0)</f>
        <v>702375</v>
      </c>
      <c r="D214" s="141">
        <f>VLOOKUP(A214,'Data shares'!$C$2:$CY$539,101,0)</f>
        <v>1.0500000000000001E-2</v>
      </c>
      <c r="E214" s="86">
        <f>VLOOKUP($A214,'Data shares'!$C:$FA,74)</f>
        <v>49632300</v>
      </c>
      <c r="F214" s="86">
        <f>VLOOKUP($A214,'Data shares'!$C:$FA,76)</f>
        <v>304125</v>
      </c>
      <c r="G214" s="87">
        <f>VLOOKUP(A214,'Data shares'!$C$2:$CA$216,77,0)</f>
        <v>6.1999999999999998E-3</v>
      </c>
      <c r="H214" s="86">
        <f>VLOOKUP($A214,'Data shares'!$C:$FA,90)</f>
        <v>11612250</v>
      </c>
      <c r="I214" s="86">
        <f>VLOOKUP($A214,'Data shares'!$C:$FA,92)</f>
        <v>380250</v>
      </c>
      <c r="J214" s="87">
        <f>VLOOKUP($A214,'Data shares'!$C:$FA,93)</f>
        <v>3.39E-2</v>
      </c>
      <c r="K214" s="86">
        <f>VLOOKUP($A214,'Data shares'!$C:$FA,94)</f>
        <v>6458625</v>
      </c>
      <c r="L214" s="86">
        <f>VLOOKUP($A214,'Data shares'!$C:$FA,96)</f>
        <v>18000</v>
      </c>
      <c r="M214" s="87">
        <f>VLOOKUP($A214,'Data shares'!$C:$FA,97)</f>
        <v>2.8E-3</v>
      </c>
      <c r="N214" s="86">
        <f>VLOOKUP($A214,'Data shares'!$C:$FA,78)</f>
        <v>48462750</v>
      </c>
      <c r="O214" s="87">
        <f>VLOOKUP($A214,'Data shares'!$C:$FA,81)</f>
        <v>5.4999999999999997E-3</v>
      </c>
    </row>
    <row r="215" spans="1:15" x14ac:dyDescent="0.25">
      <c r="A215" s="100" t="str">
        <f>'Data Vlaue (Cr)'!C210</f>
        <v>VEDL</v>
      </c>
      <c r="B215" s="82">
        <f>VLOOKUP(A215,'Data shares'!$C$2:$CV$216,98,0)</f>
        <v>79818050</v>
      </c>
      <c r="C215" s="82">
        <f>VLOOKUP(A215,'Data shares'!$C$2:$CX$216,100,0)</f>
        <v>8604300</v>
      </c>
      <c r="D215" s="141">
        <f>VLOOKUP(A215,'Data shares'!$C$2:$CY$539,101,0)</f>
        <v>0.1208</v>
      </c>
      <c r="E215" s="86">
        <f>VLOOKUP($A215,'Data shares'!$C:$FA,74)</f>
        <v>27073300</v>
      </c>
      <c r="F215" s="86">
        <f>VLOOKUP($A215,'Data shares'!$C:$FA,76)</f>
        <v>1696250</v>
      </c>
      <c r="G215" s="87">
        <f>VLOOKUP(A215,'Data shares'!$C$2:$CA$216,77,0)</f>
        <v>6.6799999999999998E-2</v>
      </c>
      <c r="H215" s="86">
        <f>VLOOKUP($A215,'Data shares'!$C:$FA,90)</f>
        <v>30055250</v>
      </c>
      <c r="I215" s="86">
        <f>VLOOKUP($A215,'Data shares'!$C:$FA,92)</f>
        <v>2441450</v>
      </c>
      <c r="J215" s="87">
        <f>VLOOKUP($A215,'Data shares'!$C:$FA,93)</f>
        <v>8.8400000000000006E-2</v>
      </c>
      <c r="K215" s="86">
        <f>VLOOKUP($A215,'Data shares'!$C:$FA,94)</f>
        <v>22689500</v>
      </c>
      <c r="L215" s="86">
        <f>VLOOKUP($A215,'Data shares'!$C:$FA,96)</f>
        <v>4466600</v>
      </c>
      <c r="M215" s="87">
        <f>VLOOKUP($A215,'Data shares'!$C:$FA,97)</f>
        <v>0.24510000000000001</v>
      </c>
      <c r="N215" s="86">
        <f>VLOOKUP($A215,'Data shares'!$C:$FA,78)</f>
        <v>25501250</v>
      </c>
      <c r="O215" s="87">
        <f>VLOOKUP($A215,'Data shares'!$C:$FA,81)</f>
        <v>5.8799999999999998E-2</v>
      </c>
    </row>
    <row r="216" spans="1:15" s="89" customFormat="1" ht="16.5" customHeight="1" x14ac:dyDescent="0.2">
      <c r="A216" s="100" t="str">
        <f>'Data Vlaue (Cr)'!C211</f>
        <v>VMM</v>
      </c>
      <c r="B216" s="82">
        <f>VLOOKUP(A216,'Data shares'!$C$2:$CV$216,98,0)</f>
        <v>35826950</v>
      </c>
      <c r="C216" s="82">
        <f>VLOOKUP(A216,'Data shares'!$C$2:$CX$216,100,0)</f>
        <v>606250</v>
      </c>
      <c r="D216" s="141">
        <f>VLOOKUP(A216,'Data shares'!$C$2:$CY$539,101,0)</f>
        <v>1.72E-2</v>
      </c>
      <c r="E216" s="86">
        <f>VLOOKUP($A216,'Data shares'!$C:$FA,74)</f>
        <v>30070000</v>
      </c>
      <c r="F216" s="86">
        <f>VLOOKUP($A216,'Data shares'!$C:$FA,76)</f>
        <v>-329800</v>
      </c>
      <c r="G216" s="87">
        <f>VLOOKUP(A216,'Data shares'!$C$2:$CA$216,77,0)</f>
        <v>-1.0800000000000001E-2</v>
      </c>
      <c r="H216" s="86">
        <f>VLOOKUP($A216,'Data shares'!$C:$FA,90)</f>
        <v>3981850</v>
      </c>
      <c r="I216" s="86">
        <f>VLOOKUP($A216,'Data shares'!$C:$FA,92)</f>
        <v>809950</v>
      </c>
      <c r="J216" s="87">
        <f>VLOOKUP($A216,'Data shares'!$C:$FA,93)</f>
        <v>0.25540000000000002</v>
      </c>
      <c r="K216" s="86">
        <f>VLOOKUP($A216,'Data shares'!$C:$FA,94)</f>
        <v>1775100</v>
      </c>
      <c r="L216" s="86">
        <f>VLOOKUP($A216,'Data shares'!$C:$FA,96)</f>
        <v>126100</v>
      </c>
      <c r="M216" s="87">
        <f>VLOOKUP($A216,'Data shares'!$C:$FA,97)</f>
        <v>7.6499999999999999E-2</v>
      </c>
      <c r="N216" s="86">
        <f>VLOOKUP($A216,'Data shares'!$C:$FA,78)</f>
        <v>29551050</v>
      </c>
      <c r="O216" s="87">
        <f>VLOOKUP($A216,'Data shares'!$C:$FA,81)</f>
        <v>-1.26E-2</v>
      </c>
    </row>
    <row r="217" spans="1:15" s="89" customFormat="1" ht="16.5" customHeight="1" x14ac:dyDescent="0.2">
      <c r="A217" s="100" t="str">
        <f>'Data Vlaue (Cr)'!C212</f>
        <v>VOLTAS</v>
      </c>
      <c r="B217" s="82">
        <f>VLOOKUP(A217,'Data shares'!$C$2:$CV$216,98,0)</f>
        <v>18082125</v>
      </c>
      <c r="C217" s="82">
        <f>VLOOKUP(A217,'Data shares'!$C$2:$CX$216,100,0)</f>
        <v>933000</v>
      </c>
      <c r="D217" s="141">
        <f>VLOOKUP(A217,'Data shares'!$C$2:$CY$539,101,0)</f>
        <v>5.4399999999999997E-2</v>
      </c>
      <c r="E217" s="86">
        <f>VLOOKUP($A217,'Data shares'!$C:$FA,74)</f>
        <v>10755000</v>
      </c>
      <c r="F217" s="86">
        <f>VLOOKUP($A217,'Data shares'!$C:$FA,76)</f>
        <v>-76125</v>
      </c>
      <c r="G217" s="87">
        <f>VLOOKUP(A217,'Data shares'!$C$2:$CA$216,77,0)</f>
        <v>-7.0000000000000001E-3</v>
      </c>
      <c r="H217" s="86">
        <f>VLOOKUP($A217,'Data shares'!$C:$FA,90)</f>
        <v>4331625</v>
      </c>
      <c r="I217" s="86">
        <f>VLOOKUP($A217,'Data shares'!$C:$FA,92)</f>
        <v>542625</v>
      </c>
      <c r="J217" s="87">
        <f>VLOOKUP($A217,'Data shares'!$C:$FA,93)</f>
        <v>0.14319999999999999</v>
      </c>
      <c r="K217" s="86">
        <f>VLOOKUP($A217,'Data shares'!$C:$FA,94)</f>
        <v>2995500</v>
      </c>
      <c r="L217" s="86">
        <f>VLOOKUP($A217,'Data shares'!$C:$FA,96)</f>
        <v>466500</v>
      </c>
      <c r="M217" s="87">
        <f>VLOOKUP($A217,'Data shares'!$C:$FA,97)</f>
        <v>0.1845</v>
      </c>
      <c r="N217" s="86">
        <f>VLOOKUP($A217,'Data shares'!$C:$FA,78)</f>
        <v>10341375</v>
      </c>
      <c r="O217" s="87">
        <f>VLOOKUP($A217,'Data shares'!$C:$FA,81)</f>
        <v>-1.18E-2</v>
      </c>
    </row>
    <row r="218" spans="1:15" x14ac:dyDescent="0.25">
      <c r="A218" s="100" t="str">
        <f>'Data Vlaue (Cr)'!C213</f>
        <v>WAAREEENER</v>
      </c>
      <c r="B218" s="82">
        <f>VLOOKUP(A218,'Data shares'!$C$2:$CV$216,98,0)</f>
        <v>12659150</v>
      </c>
      <c r="C218" s="82">
        <f>VLOOKUP(A218,'Data shares'!$C$2:$CX$216,100,0)</f>
        <v>36575</v>
      </c>
      <c r="D218" s="141">
        <f>VLOOKUP(A218,'Data shares'!$C$2:$CY$539,101,0)</f>
        <v>2.8999999999999998E-3</v>
      </c>
      <c r="E218" s="86">
        <f>VLOOKUP($A218,'Data shares'!$C:$FA,74)</f>
        <v>6021925</v>
      </c>
      <c r="F218" s="86">
        <f>VLOOKUP($A218,'Data shares'!$C:$FA,76)</f>
        <v>214200</v>
      </c>
      <c r="G218" s="87">
        <f>VLOOKUP(A218,'Data shares'!$C$2:$CA$216,77,0)</f>
        <v>3.6900000000000002E-2</v>
      </c>
      <c r="H218" s="86">
        <f>VLOOKUP($A218,'Data shares'!$C:$FA,90)</f>
        <v>4265100</v>
      </c>
      <c r="I218" s="86">
        <f>VLOOKUP($A218,'Data shares'!$C:$FA,92)</f>
        <v>-194775</v>
      </c>
      <c r="J218" s="87">
        <f>VLOOKUP($A218,'Data shares'!$C:$FA,93)</f>
        <v>-4.3700000000000003E-2</v>
      </c>
      <c r="K218" s="86">
        <f>VLOOKUP($A218,'Data shares'!$C:$FA,94)</f>
        <v>2372125</v>
      </c>
      <c r="L218" s="86">
        <f>VLOOKUP($A218,'Data shares'!$C:$FA,96)</f>
        <v>17150</v>
      </c>
      <c r="M218" s="87">
        <f>VLOOKUP($A218,'Data shares'!$C:$FA,97)</f>
        <v>7.3000000000000001E-3</v>
      </c>
      <c r="N218" s="86">
        <f>VLOOKUP($A218,'Data shares'!$C:$FA,78)</f>
        <v>5514950</v>
      </c>
      <c r="O218" s="87">
        <f>VLOOKUP($A218,'Data shares'!$C:$FA,81)</f>
        <v>-2.1299999999999999E-2</v>
      </c>
    </row>
    <row r="219" spans="1:15" x14ac:dyDescent="0.25">
      <c r="A219" s="100" t="str">
        <f>'Data Vlaue (Cr)'!C214</f>
        <v>WIPRO</v>
      </c>
      <c r="B219" s="82">
        <f>VLOOKUP(A219,'Data shares'!$C$2:$CV$216,98,0)</f>
        <v>505053000</v>
      </c>
      <c r="C219" s="82">
        <f>VLOOKUP(A219,'Data shares'!$C$2:$CX$216,100,0)</f>
        <v>807000</v>
      </c>
      <c r="D219" s="141">
        <f>VLOOKUP(A219,'Data shares'!$C$2:$CY$539,101,0)</f>
        <v>1.6000000000000001E-3</v>
      </c>
      <c r="E219" s="86">
        <f>VLOOKUP($A219,'Data shares'!$C:$FA,74)</f>
        <v>303744000</v>
      </c>
      <c r="F219" s="86">
        <f>VLOOKUP($A219,'Data shares'!$C:$FA,76)</f>
        <v>1041000</v>
      </c>
      <c r="G219" s="87">
        <f>VLOOKUP(A219,'Data shares'!$C$2:$CA$216,77,0)</f>
        <v>3.3999999999999998E-3</v>
      </c>
      <c r="H219" s="86">
        <f>VLOOKUP($A219,'Data shares'!$C:$FA,90)</f>
        <v>131769000</v>
      </c>
      <c r="I219" s="86">
        <f>VLOOKUP($A219,'Data shares'!$C:$FA,92)</f>
        <v>429000</v>
      </c>
      <c r="J219" s="87">
        <f>VLOOKUP($A219,'Data shares'!$C:$FA,93)</f>
        <v>3.3E-3</v>
      </c>
      <c r="K219" s="86">
        <f>VLOOKUP($A219,'Data shares'!$C:$FA,94)</f>
        <v>69540000</v>
      </c>
      <c r="L219" s="86">
        <f>VLOOKUP($A219,'Data shares'!$C:$FA,96)</f>
        <v>-663000</v>
      </c>
      <c r="M219" s="87">
        <f>VLOOKUP($A219,'Data shares'!$C:$FA,97)</f>
        <v>-9.4000000000000004E-3</v>
      </c>
      <c r="N219" s="86">
        <f>VLOOKUP($A219,'Data shares'!$C:$FA,78)</f>
        <v>272712000</v>
      </c>
      <c r="O219" s="87">
        <f>VLOOKUP($A219,'Data shares'!$C:$FA,81)</f>
        <v>1.6000000000000001E-3</v>
      </c>
    </row>
    <row r="220" spans="1:15" x14ac:dyDescent="0.25">
      <c r="A220" s="100" t="str">
        <f>'Data Vlaue (Cr)'!C215</f>
        <v>YESBANK</v>
      </c>
      <c r="B220" s="82">
        <f>VLOOKUP(A220,'Data shares'!$C$2:$CV$216,98,0)</f>
        <v>1939209400</v>
      </c>
      <c r="C220" s="82">
        <f>VLOOKUP(A220,'Data shares'!$C$2:$CX$216,100,0)</f>
        <v>97249700</v>
      </c>
      <c r="D220" s="141">
        <f>VLOOKUP(A220,'Data shares'!$C$2:$CY$539,101,0)</f>
        <v>5.28E-2</v>
      </c>
      <c r="E220" s="86">
        <f>VLOOKUP($A220,'Data shares'!$C:$FA,74)</f>
        <v>1287913200</v>
      </c>
      <c r="F220" s="86">
        <f>VLOOKUP($A220,'Data shares'!$C:$FA,76)</f>
        <v>-17540400</v>
      </c>
      <c r="G220" s="87">
        <f>VLOOKUP(A220,'Data shares'!$C$2:$CA$216,77,0)</f>
        <v>-1.34E-2</v>
      </c>
      <c r="H220" s="86">
        <f>VLOOKUP($A220,'Data shares'!$C:$FA,90)</f>
        <v>404455500</v>
      </c>
      <c r="I220" s="86">
        <f>VLOOKUP($A220,'Data shares'!$C:$FA,92)</f>
        <v>63008600</v>
      </c>
      <c r="J220" s="87">
        <f>VLOOKUP($A220,'Data shares'!$C:$FA,93)</f>
        <v>0.1845</v>
      </c>
      <c r="K220" s="86">
        <f>VLOOKUP($A220,'Data shares'!$C:$FA,94)</f>
        <v>246840700</v>
      </c>
      <c r="L220" s="86">
        <f>VLOOKUP($A220,'Data shares'!$C:$FA,96)</f>
        <v>51781500</v>
      </c>
      <c r="M220" s="87">
        <f>VLOOKUP($A220,'Data shares'!$C:$FA,97)</f>
        <v>0.26550000000000001</v>
      </c>
      <c r="N220" s="86">
        <f>VLOOKUP($A220,'Data shares'!$C:$FA,78)</f>
        <v>1179871800</v>
      </c>
      <c r="O220" s="87">
        <f>VLOOKUP($A220,'Data shares'!$C:$FA,81)</f>
        <v>-2.12E-2</v>
      </c>
    </row>
    <row r="221" spans="1:15" x14ac:dyDescent="0.25">
      <c r="A221" s="100" t="str">
        <f>'Data Vlaue (Cr)'!C216</f>
        <v>ZYDUSLIFE</v>
      </c>
      <c r="B221" s="82">
        <f>VLOOKUP(A221,'Data shares'!$C$2:$CV$216,98,0)</f>
        <v>15586200</v>
      </c>
      <c r="C221" s="82">
        <f>VLOOKUP(A221,'Data shares'!$C$2:$CX$216,100,0)</f>
        <v>689400</v>
      </c>
      <c r="D221" s="141">
        <f>VLOOKUP(A221,'Data shares'!$C$2:$CY$539,101,0)</f>
        <v>4.6300000000000001E-2</v>
      </c>
      <c r="E221" s="86">
        <f>VLOOKUP($A221,'Data shares'!$C:$FA,74)</f>
        <v>9738900</v>
      </c>
      <c r="F221" s="86">
        <f>VLOOKUP($A221,'Data shares'!$C:$FA,76)</f>
        <v>42300</v>
      </c>
      <c r="G221" s="87">
        <f>VLOOKUP(A221,'Data shares'!$C$2:$CA$216,77,0)</f>
        <v>4.4000000000000003E-3</v>
      </c>
      <c r="H221" s="86">
        <f>VLOOKUP($A221,'Data shares'!$C:$FA,90)</f>
        <v>3600000</v>
      </c>
      <c r="I221" s="86">
        <f>VLOOKUP($A221,'Data shares'!$C:$FA,92)</f>
        <v>549000</v>
      </c>
      <c r="J221" s="87">
        <f>VLOOKUP($A221,'Data shares'!$C:$FA,93)</f>
        <v>0.1799</v>
      </c>
      <c r="K221" s="86">
        <f>VLOOKUP($A221,'Data shares'!$C:$FA,94)</f>
        <v>2247300</v>
      </c>
      <c r="L221" s="86">
        <f>VLOOKUP($A221,'Data shares'!$C:$FA,96)</f>
        <v>98100</v>
      </c>
      <c r="M221" s="87">
        <f>VLOOKUP($A221,'Data shares'!$C:$FA,97)</f>
        <v>4.5600000000000002E-2</v>
      </c>
      <c r="N221" s="86">
        <f>VLOOKUP($A221,'Data shares'!$C:$FA,78)</f>
        <v>9409500</v>
      </c>
      <c r="O221" s="87">
        <f>VLOOKUP($A221,'Data shares'!$C:$FA,81)</f>
        <v>-6.9999999999999999E-4</v>
      </c>
    </row>
    <row r="222" spans="1:15" x14ac:dyDescent="0.25">
      <c r="A222" s="100"/>
      <c r="B222" s="82"/>
      <c r="C222" s="82"/>
      <c r="D222" s="141"/>
      <c r="E222" s="86"/>
      <c r="F222" s="86"/>
      <c r="G222" s="87"/>
      <c r="H222" s="86"/>
      <c r="I222" s="86"/>
      <c r="J222" s="87"/>
      <c r="K222" s="86"/>
      <c r="L222" s="86"/>
      <c r="M222" s="87"/>
      <c r="N222" s="86"/>
      <c r="O222" s="87"/>
    </row>
    <row r="223" spans="1:15" x14ac:dyDescent="0.25">
      <c r="A223" s="100"/>
      <c r="B223" s="82"/>
      <c r="C223" s="82"/>
      <c r="D223" s="141"/>
      <c r="E223" s="86"/>
      <c r="F223" s="86"/>
      <c r="G223" s="87"/>
      <c r="H223" s="86"/>
      <c r="I223" s="86"/>
      <c r="J223" s="87"/>
      <c r="K223" s="86"/>
      <c r="L223" s="86"/>
      <c r="M223" s="87"/>
      <c r="N223" s="86"/>
      <c r="O223" s="87"/>
    </row>
    <row r="224" spans="1:15" x14ac:dyDescent="0.25">
      <c r="A224" s="100"/>
      <c r="B224" s="82"/>
      <c r="C224" s="82"/>
      <c r="D224" s="141"/>
      <c r="E224" s="86"/>
      <c r="F224" s="86"/>
      <c r="G224" s="87"/>
      <c r="H224" s="86"/>
      <c r="I224" s="86"/>
      <c r="J224" s="87"/>
      <c r="K224" s="86"/>
      <c r="L224" s="86"/>
      <c r="M224" s="87"/>
      <c r="N224" s="86"/>
      <c r="O224" s="87"/>
    </row>
    <row r="225" spans="1:15" x14ac:dyDescent="0.25">
      <c r="A225" s="100"/>
      <c r="B225" s="82"/>
      <c r="C225" s="82"/>
      <c r="D225" s="141"/>
      <c r="E225" s="86"/>
      <c r="F225" s="86"/>
      <c r="G225" s="87"/>
      <c r="H225" s="86"/>
      <c r="I225" s="86"/>
      <c r="J225" s="87"/>
      <c r="K225" s="86"/>
      <c r="L225" s="86"/>
      <c r="M225" s="87"/>
      <c r="N225" s="86"/>
      <c r="O225" s="87"/>
    </row>
    <row r="226" spans="1:15" x14ac:dyDescent="0.25">
      <c r="A226" s="100"/>
      <c r="B226" s="82"/>
      <c r="C226" s="82"/>
      <c r="D226" s="141"/>
      <c r="E226" s="86"/>
      <c r="F226" s="86"/>
      <c r="G226" s="87"/>
      <c r="H226" s="86"/>
      <c r="I226" s="86"/>
      <c r="J226" s="87"/>
      <c r="K226" s="86"/>
      <c r="L226" s="86"/>
      <c r="M226" s="87"/>
      <c r="N226" s="86"/>
      <c r="O226" s="87"/>
    </row>
    <row r="227" spans="1:15" x14ac:dyDescent="0.25">
      <c r="A227" s="100"/>
      <c r="B227" s="82"/>
      <c r="C227" s="82"/>
      <c r="D227" s="141"/>
      <c r="E227" s="86"/>
      <c r="F227" s="86"/>
      <c r="G227" s="87"/>
      <c r="H227" s="86"/>
      <c r="I227" s="86"/>
      <c r="J227" s="87"/>
      <c r="K227" s="86"/>
      <c r="L227" s="86"/>
      <c r="M227" s="87"/>
      <c r="N227" s="86"/>
      <c r="O227" s="87"/>
    </row>
    <row r="228" spans="1:15" x14ac:dyDescent="0.25">
      <c r="A228" s="100"/>
      <c r="B228" s="82"/>
      <c r="C228" s="82"/>
      <c r="D228" s="141"/>
      <c r="E228" s="86"/>
      <c r="F228" s="86"/>
      <c r="G228" s="87"/>
      <c r="H228" s="86"/>
      <c r="I228" s="86"/>
      <c r="J228" s="87"/>
      <c r="K228" s="86"/>
      <c r="L228" s="86"/>
      <c r="M228" s="87"/>
      <c r="N228" s="86"/>
      <c r="O228" s="87"/>
    </row>
    <row r="229" spans="1:15" x14ac:dyDescent="0.25">
      <c r="A229" s="100"/>
      <c r="B229" s="82"/>
      <c r="C229" s="82"/>
      <c r="D229" s="141"/>
      <c r="E229" s="86"/>
      <c r="F229" s="86"/>
      <c r="G229" s="87"/>
      <c r="H229" s="86"/>
      <c r="I229" s="86"/>
      <c r="J229" s="87"/>
      <c r="K229" s="86"/>
      <c r="L229" s="86"/>
      <c r="M229" s="87"/>
      <c r="N229" s="86"/>
      <c r="O229" s="87"/>
    </row>
    <row r="230" spans="1:15" x14ac:dyDescent="0.25">
      <c r="A230" s="100"/>
      <c r="B230" s="82"/>
      <c r="C230" s="82"/>
      <c r="D230" s="141"/>
      <c r="E230" s="86"/>
      <c r="F230" s="86"/>
      <c r="G230" s="87"/>
      <c r="H230" s="86"/>
      <c r="I230" s="86"/>
      <c r="J230" s="87"/>
      <c r="K230" s="86"/>
      <c r="L230" s="86"/>
      <c r="M230" s="87"/>
      <c r="N230" s="86"/>
      <c r="O230" s="87"/>
    </row>
    <row r="231" spans="1:15" x14ac:dyDescent="0.25">
      <c r="A231" s="100"/>
      <c r="B231" s="82"/>
      <c r="C231" s="82"/>
      <c r="D231" s="141"/>
      <c r="E231" s="86"/>
      <c r="F231" s="86"/>
      <c r="G231" s="87"/>
      <c r="H231" s="86"/>
      <c r="I231" s="86"/>
      <c r="J231" s="87"/>
      <c r="K231" s="86"/>
      <c r="L231" s="86"/>
      <c r="M231" s="87"/>
      <c r="N231" s="86"/>
      <c r="O231" s="87"/>
    </row>
    <row r="232" spans="1:15" x14ac:dyDescent="0.25">
      <c r="A232" s="100"/>
      <c r="B232" s="17"/>
      <c r="C232" s="17"/>
      <c r="D232" s="17"/>
      <c r="E232" s="17"/>
      <c r="F232" s="17"/>
      <c r="G232" s="17"/>
      <c r="H232" s="17"/>
      <c r="I232" s="17"/>
      <c r="J232" s="17"/>
      <c r="K232" s="17"/>
      <c r="L232" s="17"/>
      <c r="M232" s="17"/>
      <c r="N232" s="17"/>
      <c r="O232" s="17"/>
    </row>
    <row r="233" spans="1:15" x14ac:dyDescent="0.25">
      <c r="A233" s="98"/>
      <c r="B233" s="17"/>
      <c r="C233" s="17"/>
      <c r="D233" s="17"/>
      <c r="E233" s="17"/>
      <c r="F233" s="17"/>
      <c r="G233" s="17"/>
      <c r="H233" s="17"/>
      <c r="I233" s="17"/>
      <c r="J233" s="17"/>
      <c r="K233" s="17"/>
      <c r="L233" s="17"/>
      <c r="M233" s="17"/>
      <c r="N233" s="17"/>
      <c r="O233" s="17"/>
    </row>
    <row r="234" spans="1:15" x14ac:dyDescent="0.25">
      <c r="A234" s="118" t="s">
        <v>391</v>
      </c>
      <c r="B234" s="119">
        <f>SUM(B7:B227)</f>
        <v>26068878853</v>
      </c>
      <c r="C234" s="119">
        <f>SUM(C7:C227)</f>
        <v>8034223</v>
      </c>
      <c r="D234" s="120">
        <f>C234*100/(B234-C234)</f>
        <v>3.082871301397264E-2</v>
      </c>
      <c r="E234" s="119">
        <f>SUM(E7:E227)</f>
        <v>17294693241</v>
      </c>
      <c r="F234" s="119">
        <f>SUM(F7:F227)</f>
        <v>-51948766</v>
      </c>
      <c r="G234" s="120">
        <f>F234*100/(E234-F234)</f>
        <v>-0.29947448030020329</v>
      </c>
      <c r="H234" s="119">
        <f>SUM(H7:H227)</f>
        <v>5408198000</v>
      </c>
      <c r="I234" s="119">
        <f>SUM(I7:I227)</f>
        <v>200308398</v>
      </c>
      <c r="J234" s="120">
        <f>I234*100/(H234-I234)</f>
        <v>3.8462489282237287</v>
      </c>
      <c r="K234" s="119">
        <f>SUM(K7:K227)</f>
        <v>3365987612</v>
      </c>
      <c r="L234" s="119">
        <f>SUM(L7:L227)</f>
        <v>235678466</v>
      </c>
      <c r="M234" s="120">
        <f>L234*100/(K234-L234)</f>
        <v>7.5289198289298929</v>
      </c>
      <c r="N234" s="119">
        <f>SUM(N7:N227)</f>
        <v>16155998969</v>
      </c>
      <c r="O234" s="120">
        <f>(N234-FII!V3)/N234*100</f>
        <v>-0.58438065749544799</v>
      </c>
    </row>
    <row r="235" spans="1:15" x14ac:dyDescent="0.25">
      <c r="A235" s="118" t="s">
        <v>409</v>
      </c>
      <c r="B235" s="121">
        <f>B234/10000000</f>
        <v>2606.8878853000001</v>
      </c>
      <c r="C235" s="121">
        <f>C234/10000000</f>
        <v>0.80342230000000003</v>
      </c>
      <c r="D235" s="120">
        <f>D234</f>
        <v>3.082871301397264E-2</v>
      </c>
      <c r="E235" s="121">
        <f>E234/10000000</f>
        <v>1729.4693241</v>
      </c>
      <c r="F235" s="121">
        <f>F234/10000000</f>
        <v>-5.1948765999999997</v>
      </c>
      <c r="G235" s="120">
        <f>G234</f>
        <v>-0.29947448030020329</v>
      </c>
      <c r="H235" s="121">
        <f>H234/10000000</f>
        <v>540.81979999999999</v>
      </c>
      <c r="I235" s="121">
        <f>I234/10000000</f>
        <v>20.030839799999999</v>
      </c>
      <c r="J235" s="120">
        <f>J234</f>
        <v>3.8462489282237287</v>
      </c>
      <c r="K235" s="121">
        <f>K234/10000000</f>
        <v>336.59876120000001</v>
      </c>
      <c r="L235" s="121">
        <f>L234/10000000</f>
        <v>23.567846599999999</v>
      </c>
      <c r="M235" s="120">
        <f>M234</f>
        <v>7.5289198289298929</v>
      </c>
      <c r="N235" s="121">
        <f>N234/10000000</f>
        <v>1615.5998969</v>
      </c>
      <c r="O235" s="120">
        <f>O234</f>
        <v>-0.58438065749544799</v>
      </c>
    </row>
    <row r="243" spans="1:4" x14ac:dyDescent="0.25">
      <c r="A243" s="274" t="s">
        <v>410</v>
      </c>
      <c r="B243" s="274"/>
      <c r="C243" s="274"/>
      <c r="D243" s="274"/>
    </row>
    <row r="244" spans="1:4" x14ac:dyDescent="0.25">
      <c r="A244" s="35" t="s">
        <v>401</v>
      </c>
      <c r="B244" s="35" t="s">
        <v>402</v>
      </c>
      <c r="C244" s="35" t="s">
        <v>369</v>
      </c>
      <c r="D244" s="35" t="s">
        <v>407</v>
      </c>
    </row>
    <row r="245" spans="1:4" x14ac:dyDescent="0.25">
      <c r="A245" s="36" t="s">
        <v>403</v>
      </c>
      <c r="B245" s="37">
        <f>E235</f>
        <v>1729.4693241</v>
      </c>
      <c r="C245" s="37">
        <f>F235</f>
        <v>-5.1948765999999997</v>
      </c>
      <c r="D245" s="39">
        <f>C245/B245</f>
        <v>-3.0037402384707609E-3</v>
      </c>
    </row>
    <row r="246" spans="1:4" x14ac:dyDescent="0.25">
      <c r="A246" s="36" t="s">
        <v>404</v>
      </c>
      <c r="B246" s="37">
        <f>H235</f>
        <v>540.81979999999999</v>
      </c>
      <c r="C246" s="37">
        <f>I235</f>
        <v>20.030839799999999</v>
      </c>
      <c r="D246" s="39">
        <f>C246/B246</f>
        <v>3.7037918730046498E-2</v>
      </c>
    </row>
    <row r="247" spans="1:4" x14ac:dyDescent="0.25">
      <c r="A247" s="36" t="s">
        <v>405</v>
      </c>
      <c r="B247" s="37">
        <f>K235</f>
        <v>336.59876120000001</v>
      </c>
      <c r="C247" s="37">
        <f>L235</f>
        <v>23.567846599999999</v>
      </c>
      <c r="D247" s="39">
        <f>C247/B247</f>
        <v>7.0017627266300231E-2</v>
      </c>
    </row>
    <row r="248" spans="1:4" x14ac:dyDescent="0.25">
      <c r="A248" s="36" t="s">
        <v>406</v>
      </c>
      <c r="B248" s="40">
        <f>SUM(B245:B247)</f>
        <v>2606.8878852999997</v>
      </c>
      <c r="C248" s="40">
        <f>SUM(C245:C247)</f>
        <v>38.403809799999998</v>
      </c>
      <c r="D248" s="41">
        <f>C248/B248</f>
        <v>1.473166913566001E-2</v>
      </c>
    </row>
  </sheetData>
  <mergeCells count="9">
    <mergeCell ref="A243:D243"/>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3"/>
  <sheetViews>
    <sheetView workbookViewId="0">
      <pane ySplit="6" topLeftCell="A190" activePane="bottomLeft" state="frozen"/>
      <selection pane="bottomLeft" activeCell="R196" sqref="R196"/>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80" t="s">
        <v>334</v>
      </c>
      <c r="B3" s="281"/>
      <c r="C3" s="281"/>
      <c r="D3" s="282"/>
      <c r="E3" s="283"/>
      <c r="F3" s="283"/>
      <c r="G3" s="283"/>
      <c r="H3" s="283"/>
      <c r="I3" s="283"/>
      <c r="J3" s="283"/>
      <c r="K3" s="283"/>
      <c r="L3" s="283"/>
      <c r="M3" s="283"/>
      <c r="N3" s="283"/>
      <c r="O3" s="284"/>
    </row>
    <row r="4" spans="1:15" x14ac:dyDescent="0.25">
      <c r="A4" s="285" t="s">
        <v>330</v>
      </c>
      <c r="B4" s="287" t="s">
        <v>309</v>
      </c>
      <c r="C4" s="288"/>
      <c r="D4" s="288"/>
      <c r="E4" s="288"/>
      <c r="F4" s="288"/>
      <c r="G4" s="288"/>
      <c r="H4" s="288"/>
      <c r="I4" s="288"/>
      <c r="J4" s="288"/>
      <c r="K4" s="288"/>
      <c r="L4" s="288"/>
      <c r="M4" s="288"/>
      <c r="N4" s="288"/>
      <c r="O4" s="289"/>
    </row>
    <row r="5" spans="1:15" x14ac:dyDescent="0.25">
      <c r="A5" s="286"/>
      <c r="B5" s="290" t="s">
        <v>314</v>
      </c>
      <c r="C5" s="290"/>
      <c r="D5" s="291"/>
      <c r="E5" s="290" t="s">
        <v>335</v>
      </c>
      <c r="F5" s="290"/>
      <c r="G5" s="291"/>
      <c r="H5" s="290" t="s">
        <v>336</v>
      </c>
      <c r="I5" s="290"/>
      <c r="J5" s="291"/>
      <c r="K5" s="290" t="s">
        <v>337</v>
      </c>
      <c r="L5" s="290"/>
      <c r="M5" s="291"/>
      <c r="N5" s="290" t="s">
        <v>338</v>
      </c>
      <c r="O5" s="291"/>
    </row>
    <row r="6" spans="1:15" x14ac:dyDescent="0.25">
      <c r="A6" s="3" t="s">
        <v>318</v>
      </c>
      <c r="B6" s="3">
        <f>'Sectorwise OI'!D6</f>
        <v>46148</v>
      </c>
      <c r="C6" s="76" t="s">
        <v>333</v>
      </c>
      <c r="D6" s="76" t="s">
        <v>328</v>
      </c>
      <c r="E6" s="3">
        <f>B6</f>
        <v>46148</v>
      </c>
      <c r="F6" s="76" t="s">
        <v>333</v>
      </c>
      <c r="G6" s="76" t="s">
        <v>328</v>
      </c>
      <c r="H6" s="3">
        <f>E6</f>
        <v>46148</v>
      </c>
      <c r="I6" s="76" t="s">
        <v>333</v>
      </c>
      <c r="J6" s="76" t="s">
        <v>328</v>
      </c>
      <c r="K6" s="3">
        <f>E6</f>
        <v>46148</v>
      </c>
      <c r="L6" s="76" t="s">
        <v>333</v>
      </c>
      <c r="M6" s="76" t="s">
        <v>328</v>
      </c>
      <c r="N6" s="76" t="s">
        <v>339</v>
      </c>
      <c r="O6" s="76" t="s">
        <v>328</v>
      </c>
    </row>
    <row r="7" spans="1:15" x14ac:dyDescent="0.25">
      <c r="A7" s="97" t="str">
        <f>'Data Vlaue (Cr)'!C2</f>
        <v>360ONE</v>
      </c>
      <c r="B7" s="142">
        <f>VLOOKUP(A7,'Data Vlaue (Cr)'!C2:CW216,99,0)</f>
        <v>732</v>
      </c>
      <c r="C7" s="90">
        <f>VLOOKUP(A7,'Data Vlaue (Cr)'!C2:CY216,101,0)</f>
        <v>41</v>
      </c>
      <c r="D7" s="139">
        <f>VLOOKUP(A7,'Data Vlaue (Cr)'!C2:CZ216,102,0)</f>
        <v>5.8599999999999999E-2</v>
      </c>
      <c r="E7" s="91">
        <f>VLOOKUP($A7,'Data Vlaue (Cr)'!$C:$FB,75)</f>
        <v>558</v>
      </c>
      <c r="F7" s="91">
        <f>VLOOKUP($A7,'Data Vlaue (Cr)'!$C:$FB,77)</f>
        <v>50</v>
      </c>
      <c r="G7" s="92">
        <f>VLOOKUP(A7,'Data Vlaue (Cr)'!C2:CB216,78,0)</f>
        <v>9.8299999999999998E-2</v>
      </c>
      <c r="H7" s="91">
        <f>VLOOKUP($A7,'Data Vlaue (Cr)'!$C:$FB,91)</f>
        <v>110</v>
      </c>
      <c r="I7" s="91">
        <f>VLOOKUP($A7,'Data Vlaue (Cr)'!$C:$FB,93)</f>
        <v>-8</v>
      </c>
      <c r="J7" s="92">
        <f>VLOOKUP($A7,'Data Vlaue (Cr)'!$C:$FB,94)</f>
        <v>-6.8699999999999997E-2</v>
      </c>
      <c r="K7" s="91">
        <f>VLOOKUP($A7,'Data Vlaue (Cr)'!$C:$FB,95)</f>
        <v>63</v>
      </c>
      <c r="L7" s="91">
        <f>VLOOKUP($A7,'Data Vlaue (Cr)'!$C:$FB,97)</f>
        <v>-1</v>
      </c>
      <c r="M7" s="92">
        <f>VLOOKUP($A7,'Data Vlaue (Cr)'!$C:$FB,98)</f>
        <v>-2.0199999999999999E-2</v>
      </c>
      <c r="N7" s="91">
        <f>VLOOKUP($A7,'Data Vlaue (Cr)'!$C:$FB,79)</f>
        <v>554</v>
      </c>
      <c r="O7" s="92">
        <f>VLOOKUP($A7,'Data Vlaue (Cr)'!$C:$FB,82)</f>
        <v>9.9500000000000005E-2</v>
      </c>
    </row>
    <row r="8" spans="1:15" x14ac:dyDescent="0.25">
      <c r="A8" s="97" t="str">
        <f>'Data Vlaue (Cr)'!C3</f>
        <v>ABB</v>
      </c>
      <c r="B8" s="142">
        <f>VLOOKUP(A8,'Data Vlaue (Cr)'!C3:CW217,99,0)</f>
        <v>2767</v>
      </c>
      <c r="C8" s="90">
        <f>VLOOKUP(A8,'Data Vlaue (Cr)'!C3:CY217,101,0)</f>
        <v>114</v>
      </c>
      <c r="D8" s="139">
        <f>VLOOKUP(A8,'Data Vlaue (Cr)'!C3:CZ217,102,0)</f>
        <v>4.3099999999999999E-2</v>
      </c>
      <c r="E8" s="91">
        <f>VLOOKUP($A8,'Data Vlaue (Cr)'!$C:$FB,75)</f>
        <v>1583</v>
      </c>
      <c r="F8" s="91">
        <f>VLOOKUP($A8,'Data Vlaue (Cr)'!$C:$FB,77)</f>
        <v>29</v>
      </c>
      <c r="G8" s="92">
        <f>VLOOKUP(A8,'Data Vlaue (Cr)'!C3:CB217,78,0)</f>
        <v>1.89E-2</v>
      </c>
      <c r="H8" s="91">
        <f>VLOOKUP($A8,'Data Vlaue (Cr)'!$C:$FB,91)</f>
        <v>789</v>
      </c>
      <c r="I8" s="91">
        <f>VLOOKUP($A8,'Data Vlaue (Cr)'!$C:$FB,93)</f>
        <v>56</v>
      </c>
      <c r="J8" s="92">
        <f>VLOOKUP($A8,'Data Vlaue (Cr)'!$C:$FB,94)</f>
        <v>7.6899999999999996E-2</v>
      </c>
      <c r="K8" s="91">
        <f>VLOOKUP($A8,'Data Vlaue (Cr)'!$C:$FB,95)</f>
        <v>395</v>
      </c>
      <c r="L8" s="91">
        <f>VLOOKUP($A8,'Data Vlaue (Cr)'!$C:$FB,97)</f>
        <v>29</v>
      </c>
      <c r="M8" s="92">
        <f>VLOOKUP($A8,'Data Vlaue (Cr)'!$C:$FB,98)</f>
        <v>7.7799999999999994E-2</v>
      </c>
      <c r="N8" s="91">
        <f>VLOOKUP($A8,'Data Vlaue (Cr)'!$C:$FB,79)</f>
        <v>1541</v>
      </c>
      <c r="O8" s="92">
        <f>VLOOKUP($A8,'Data Vlaue (Cr)'!$C:$FB,82)</f>
        <v>1.4200000000000001E-2</v>
      </c>
    </row>
    <row r="9" spans="1:15" x14ac:dyDescent="0.25">
      <c r="A9" s="97" t="str">
        <f>'Data Vlaue (Cr)'!C4</f>
        <v>ABCAPITAL</v>
      </c>
      <c r="B9" s="142">
        <f>VLOOKUP(A9,'Data Vlaue (Cr)'!C4:CW218,99,0)</f>
        <v>2429</v>
      </c>
      <c r="C9" s="90">
        <f>VLOOKUP(A9,'Data Vlaue (Cr)'!C4:CY218,101,0)</f>
        <v>-61</v>
      </c>
      <c r="D9" s="139">
        <f>VLOOKUP(A9,'Data Vlaue (Cr)'!C4:CZ218,102,0)</f>
        <v>-2.46E-2</v>
      </c>
      <c r="E9" s="91">
        <f>VLOOKUP($A9,'Data Vlaue (Cr)'!$C:$FB,75)</f>
        <v>1454</v>
      </c>
      <c r="F9" s="91">
        <f>VLOOKUP($A9,'Data Vlaue (Cr)'!$C:$FB,77)</f>
        <v>-30</v>
      </c>
      <c r="G9" s="92">
        <f>VLOOKUP(A9,'Data Vlaue (Cr)'!C4:CB218,78,0)</f>
        <v>-2.0299999999999999E-2</v>
      </c>
      <c r="H9" s="91">
        <f>VLOOKUP($A9,'Data Vlaue (Cr)'!$C:$FB,91)</f>
        <v>521</v>
      </c>
      <c r="I9" s="91">
        <f>VLOOKUP($A9,'Data Vlaue (Cr)'!$C:$FB,93)</f>
        <v>-45</v>
      </c>
      <c r="J9" s="92">
        <f>VLOOKUP($A9,'Data Vlaue (Cr)'!$C:$FB,94)</f>
        <v>-7.9200000000000007E-2</v>
      </c>
      <c r="K9" s="91">
        <f>VLOOKUP($A9,'Data Vlaue (Cr)'!$C:$FB,95)</f>
        <v>454</v>
      </c>
      <c r="L9" s="91">
        <f>VLOOKUP($A9,'Data Vlaue (Cr)'!$C:$FB,97)</f>
        <v>14</v>
      </c>
      <c r="M9" s="92">
        <f>VLOOKUP($A9,'Data Vlaue (Cr)'!$C:$FB,98)</f>
        <v>3.0800000000000001E-2</v>
      </c>
      <c r="N9" s="91">
        <f>VLOOKUP($A9,'Data Vlaue (Cr)'!$C:$FB,79)</f>
        <v>1419</v>
      </c>
      <c r="O9" s="92">
        <f>VLOOKUP($A9,'Data Vlaue (Cr)'!$C:$FB,82)</f>
        <v>-2.1000000000000001E-2</v>
      </c>
    </row>
    <row r="10" spans="1:15" x14ac:dyDescent="0.25">
      <c r="A10" s="97" t="str">
        <f>'Data Vlaue (Cr)'!C5</f>
        <v>ADANIENSOL</v>
      </c>
      <c r="B10" s="142">
        <f>VLOOKUP(A10,'Data Vlaue (Cr)'!C5:CW219,99,0)</f>
        <v>4323</v>
      </c>
      <c r="C10" s="90">
        <f>VLOOKUP(A10,'Data Vlaue (Cr)'!C5:CY219,101,0)</f>
        <v>154</v>
      </c>
      <c r="D10" s="139">
        <f>VLOOKUP(A10,'Data Vlaue (Cr)'!C5:CZ219,102,0)</f>
        <v>3.6900000000000002E-2</v>
      </c>
      <c r="E10" s="91">
        <f>VLOOKUP($A10,'Data Vlaue (Cr)'!$C:$FB,75)</f>
        <v>2931</v>
      </c>
      <c r="F10" s="91">
        <f>VLOOKUP($A10,'Data Vlaue (Cr)'!$C:$FB,77)</f>
        <v>115</v>
      </c>
      <c r="G10" s="92">
        <f>VLOOKUP(A10,'Data Vlaue (Cr)'!C5:CB219,78,0)</f>
        <v>4.07E-2</v>
      </c>
      <c r="H10" s="91">
        <f>VLOOKUP($A10,'Data Vlaue (Cr)'!$C:$FB,91)</f>
        <v>783</v>
      </c>
      <c r="I10" s="91">
        <f>VLOOKUP($A10,'Data Vlaue (Cr)'!$C:$FB,93)</f>
        <v>24</v>
      </c>
      <c r="J10" s="92">
        <f>VLOOKUP($A10,'Data Vlaue (Cr)'!$C:$FB,94)</f>
        <v>3.1199999999999999E-2</v>
      </c>
      <c r="K10" s="91">
        <f>VLOOKUP($A10,'Data Vlaue (Cr)'!$C:$FB,95)</f>
        <v>609</v>
      </c>
      <c r="L10" s="91">
        <f>VLOOKUP($A10,'Data Vlaue (Cr)'!$C:$FB,97)</f>
        <v>15</v>
      </c>
      <c r="M10" s="92">
        <f>VLOOKUP($A10,'Data Vlaue (Cr)'!$C:$FB,98)</f>
        <v>2.58E-2</v>
      </c>
      <c r="N10" s="91">
        <f>VLOOKUP($A10,'Data Vlaue (Cr)'!$C:$FB,79)</f>
        <v>2903</v>
      </c>
      <c r="O10" s="92">
        <f>VLOOKUP($A10,'Data Vlaue (Cr)'!$C:$FB,82)</f>
        <v>3.9899999999999998E-2</v>
      </c>
    </row>
    <row r="11" spans="1:15" x14ac:dyDescent="0.25">
      <c r="A11" s="97" t="str">
        <f>'Data Vlaue (Cr)'!C6</f>
        <v>ADANIENT</v>
      </c>
      <c r="B11" s="142">
        <f>VLOOKUP(A11,'Data Vlaue (Cr)'!C6:CW220,99,0)</f>
        <v>8467</v>
      </c>
      <c r="C11" s="90">
        <f>VLOOKUP(A11,'Data Vlaue (Cr)'!C6:CY220,101,0)</f>
        <v>6</v>
      </c>
      <c r="D11" s="139">
        <f>VLOOKUP(A11,'Data Vlaue (Cr)'!C6:CZ220,102,0)</f>
        <v>6.9999999999999999E-4</v>
      </c>
      <c r="E11" s="91">
        <f>VLOOKUP($A11,'Data Vlaue (Cr)'!$C:$FB,75)</f>
        <v>5036</v>
      </c>
      <c r="F11" s="91">
        <f>VLOOKUP($A11,'Data Vlaue (Cr)'!$C:$FB,77)</f>
        <v>-59</v>
      </c>
      <c r="G11" s="92">
        <f>VLOOKUP(A11,'Data Vlaue (Cr)'!C6:CB220,78,0)</f>
        <v>-1.15E-2</v>
      </c>
      <c r="H11" s="91">
        <f>VLOOKUP($A11,'Data Vlaue (Cr)'!$C:$FB,91)</f>
        <v>1864</v>
      </c>
      <c r="I11" s="91">
        <f>VLOOKUP($A11,'Data Vlaue (Cr)'!$C:$FB,93)</f>
        <v>-73</v>
      </c>
      <c r="J11" s="92">
        <f>VLOOKUP($A11,'Data Vlaue (Cr)'!$C:$FB,94)</f>
        <v>-3.78E-2</v>
      </c>
      <c r="K11" s="91">
        <f>VLOOKUP($A11,'Data Vlaue (Cr)'!$C:$FB,95)</f>
        <v>1567</v>
      </c>
      <c r="L11" s="91">
        <f>VLOOKUP($A11,'Data Vlaue (Cr)'!$C:$FB,97)</f>
        <v>138</v>
      </c>
      <c r="M11" s="92">
        <f>VLOOKUP($A11,'Data Vlaue (Cr)'!$C:$FB,98)</f>
        <v>9.6299999999999997E-2</v>
      </c>
      <c r="N11" s="91">
        <f>VLOOKUP($A11,'Data Vlaue (Cr)'!$C:$FB,79)</f>
        <v>4917</v>
      </c>
      <c r="O11" s="92">
        <f>VLOOKUP($A11,'Data Vlaue (Cr)'!$C:$FB,82)</f>
        <v>-1.2500000000000001E-2</v>
      </c>
    </row>
    <row r="12" spans="1:15" x14ac:dyDescent="0.25">
      <c r="A12" s="97" t="str">
        <f>'Data Vlaue (Cr)'!C7</f>
        <v>ADANIGREEN</v>
      </c>
      <c r="B12" s="142">
        <f>VLOOKUP(A12,'Data Vlaue (Cr)'!C7:CW221,99,0)</f>
        <v>4821</v>
      </c>
      <c r="C12" s="90">
        <f>VLOOKUP(A12,'Data Vlaue (Cr)'!C7:CY221,101,0)</f>
        <v>176</v>
      </c>
      <c r="D12" s="139">
        <f>VLOOKUP(A12,'Data Vlaue (Cr)'!C7:CZ221,102,0)</f>
        <v>3.78E-2</v>
      </c>
      <c r="E12" s="91">
        <f>VLOOKUP($A12,'Data Vlaue (Cr)'!$C:$FB,75)</f>
        <v>2985</v>
      </c>
      <c r="F12" s="91">
        <f>VLOOKUP($A12,'Data Vlaue (Cr)'!$C:$FB,77)</f>
        <v>30</v>
      </c>
      <c r="G12" s="92">
        <f>VLOOKUP(A12,'Data Vlaue (Cr)'!C7:CB221,78,0)</f>
        <v>1.0200000000000001E-2</v>
      </c>
      <c r="H12" s="91">
        <f>VLOOKUP($A12,'Data Vlaue (Cr)'!$C:$FB,91)</f>
        <v>1069</v>
      </c>
      <c r="I12" s="91">
        <f>VLOOKUP($A12,'Data Vlaue (Cr)'!$C:$FB,93)</f>
        <v>89</v>
      </c>
      <c r="J12" s="92">
        <f>VLOOKUP($A12,'Data Vlaue (Cr)'!$C:$FB,94)</f>
        <v>9.11E-2</v>
      </c>
      <c r="K12" s="91">
        <f>VLOOKUP($A12,'Data Vlaue (Cr)'!$C:$FB,95)</f>
        <v>767</v>
      </c>
      <c r="L12" s="91">
        <f>VLOOKUP($A12,'Data Vlaue (Cr)'!$C:$FB,97)</f>
        <v>56</v>
      </c>
      <c r="M12" s="92">
        <f>VLOOKUP($A12,'Data Vlaue (Cr)'!$C:$FB,98)</f>
        <v>7.9000000000000001E-2</v>
      </c>
      <c r="N12" s="91">
        <f>VLOOKUP($A12,'Data Vlaue (Cr)'!$C:$FB,79)</f>
        <v>2945</v>
      </c>
      <c r="O12" s="92">
        <f>VLOOKUP($A12,'Data Vlaue (Cr)'!$C:$FB,82)</f>
        <v>9.7999999999999997E-3</v>
      </c>
    </row>
    <row r="13" spans="1:15" x14ac:dyDescent="0.25">
      <c r="A13" s="97" t="str">
        <f>'Data Vlaue (Cr)'!C8</f>
        <v>ADANIPORTS</v>
      </c>
      <c r="B13" s="142">
        <f>VLOOKUP(A13,'Data Vlaue (Cr)'!C8:CW222,99,0)</f>
        <v>6581</v>
      </c>
      <c r="C13" s="90">
        <f>VLOOKUP(A13,'Data Vlaue (Cr)'!C8:CY222,101,0)</f>
        <v>13</v>
      </c>
      <c r="D13" s="139">
        <f>VLOOKUP(A13,'Data Vlaue (Cr)'!C8:CZ222,102,0)</f>
        <v>2E-3</v>
      </c>
      <c r="E13" s="91">
        <f>VLOOKUP($A13,'Data Vlaue (Cr)'!$C:$FB,75)</f>
        <v>3875</v>
      </c>
      <c r="F13" s="91">
        <f>VLOOKUP($A13,'Data Vlaue (Cr)'!$C:$FB,77)</f>
        <v>5</v>
      </c>
      <c r="G13" s="92">
        <f>VLOOKUP(A13,'Data Vlaue (Cr)'!C8:CB222,78,0)</f>
        <v>1.4E-3</v>
      </c>
      <c r="H13" s="91">
        <f>VLOOKUP($A13,'Data Vlaue (Cr)'!$C:$FB,91)</f>
        <v>1514</v>
      </c>
      <c r="I13" s="91">
        <f>VLOOKUP($A13,'Data Vlaue (Cr)'!$C:$FB,93)</f>
        <v>-16</v>
      </c>
      <c r="J13" s="92">
        <f>VLOOKUP($A13,'Data Vlaue (Cr)'!$C:$FB,94)</f>
        <v>-1.0699999999999999E-2</v>
      </c>
      <c r="K13" s="91">
        <f>VLOOKUP($A13,'Data Vlaue (Cr)'!$C:$FB,95)</f>
        <v>1192</v>
      </c>
      <c r="L13" s="91">
        <f>VLOOKUP($A13,'Data Vlaue (Cr)'!$C:$FB,97)</f>
        <v>24</v>
      </c>
      <c r="M13" s="92">
        <f>VLOOKUP($A13,'Data Vlaue (Cr)'!$C:$FB,98)</f>
        <v>2.0799999999999999E-2</v>
      </c>
      <c r="N13" s="91">
        <f>VLOOKUP($A13,'Data Vlaue (Cr)'!$C:$FB,79)</f>
        <v>3677</v>
      </c>
      <c r="O13" s="92">
        <f>VLOOKUP($A13,'Data Vlaue (Cr)'!$C:$FB,82)</f>
        <v>-1.4E-3</v>
      </c>
    </row>
    <row r="14" spans="1:15" x14ac:dyDescent="0.25">
      <c r="A14" s="97" t="str">
        <f>'Data Vlaue (Cr)'!C9</f>
        <v>ADANIPOWER</v>
      </c>
      <c r="B14" s="142">
        <f>VLOOKUP(A14,'Data Vlaue (Cr)'!C9:CW223,99,0)</f>
        <v>3118</v>
      </c>
      <c r="C14" s="90">
        <f>VLOOKUP(A14,'Data Vlaue (Cr)'!C9:CY223,101,0)</f>
        <v>79</v>
      </c>
      <c r="D14" s="139">
        <f>VLOOKUP(A14,'Data Vlaue (Cr)'!C9:CZ223,102,0)</f>
        <v>2.5999999999999999E-2</v>
      </c>
      <c r="E14" s="91">
        <f>VLOOKUP($A14,'Data Vlaue (Cr)'!$C:$FB,75)</f>
        <v>1816</v>
      </c>
      <c r="F14" s="91">
        <f>VLOOKUP($A14,'Data Vlaue (Cr)'!$C:$FB,77)</f>
        <v>6</v>
      </c>
      <c r="G14" s="92">
        <f>VLOOKUP(A14,'Data Vlaue (Cr)'!C9:CB223,78,0)</f>
        <v>3.2000000000000002E-3</v>
      </c>
      <c r="H14" s="91">
        <f>VLOOKUP($A14,'Data Vlaue (Cr)'!$C:$FB,91)</f>
        <v>763</v>
      </c>
      <c r="I14" s="91">
        <f>VLOOKUP($A14,'Data Vlaue (Cr)'!$C:$FB,93)</f>
        <v>32</v>
      </c>
      <c r="J14" s="92">
        <f>VLOOKUP($A14,'Data Vlaue (Cr)'!$C:$FB,94)</f>
        <v>4.4400000000000002E-2</v>
      </c>
      <c r="K14" s="91">
        <f>VLOOKUP($A14,'Data Vlaue (Cr)'!$C:$FB,95)</f>
        <v>538</v>
      </c>
      <c r="L14" s="91">
        <f>VLOOKUP($A14,'Data Vlaue (Cr)'!$C:$FB,97)</f>
        <v>41</v>
      </c>
      <c r="M14" s="92">
        <f>VLOOKUP($A14,'Data Vlaue (Cr)'!$C:$FB,98)</f>
        <v>8.2299999999999998E-2</v>
      </c>
      <c r="N14" s="91">
        <f>VLOOKUP($A14,'Data Vlaue (Cr)'!$C:$FB,79)</f>
        <v>1733</v>
      </c>
      <c r="O14" s="92">
        <f>VLOOKUP($A14,'Data Vlaue (Cr)'!$C:$FB,82)</f>
        <v>-5.1000000000000004E-3</v>
      </c>
    </row>
    <row r="15" spans="1:15" x14ac:dyDescent="0.25">
      <c r="A15" s="97" t="str">
        <f>'Data Vlaue (Cr)'!C10</f>
        <v>ALKEM</v>
      </c>
      <c r="B15" s="142">
        <f>VLOOKUP(A15,'Data Vlaue (Cr)'!C10:CW224,99,0)</f>
        <v>830</v>
      </c>
      <c r="C15" s="90">
        <f>VLOOKUP(A15,'Data Vlaue (Cr)'!C10:CY224,101,0)</f>
        <v>38</v>
      </c>
      <c r="D15" s="139">
        <f>VLOOKUP(A15,'Data Vlaue (Cr)'!C10:CZ224,102,0)</f>
        <v>4.7500000000000001E-2</v>
      </c>
      <c r="E15" s="91">
        <f>VLOOKUP($A15,'Data Vlaue (Cr)'!$C:$FB,75)</f>
        <v>604</v>
      </c>
      <c r="F15" s="91">
        <f>VLOOKUP($A15,'Data Vlaue (Cr)'!$C:$FB,77)</f>
        <v>15</v>
      </c>
      <c r="G15" s="92">
        <f>VLOOKUP(A15,'Data Vlaue (Cr)'!C10:CB224,78,0)</f>
        <v>2.58E-2</v>
      </c>
      <c r="H15" s="91">
        <f>VLOOKUP($A15,'Data Vlaue (Cr)'!$C:$FB,91)</f>
        <v>136</v>
      </c>
      <c r="I15" s="91">
        <f>VLOOKUP($A15,'Data Vlaue (Cr)'!$C:$FB,93)</f>
        <v>17</v>
      </c>
      <c r="J15" s="92">
        <f>VLOOKUP($A15,'Data Vlaue (Cr)'!$C:$FB,94)</f>
        <v>0.13830000000000001</v>
      </c>
      <c r="K15" s="91">
        <f>VLOOKUP($A15,'Data Vlaue (Cr)'!$C:$FB,95)</f>
        <v>89</v>
      </c>
      <c r="L15" s="91">
        <f>VLOOKUP($A15,'Data Vlaue (Cr)'!$C:$FB,97)</f>
        <v>6</v>
      </c>
      <c r="M15" s="92">
        <f>VLOOKUP($A15,'Data Vlaue (Cr)'!$C:$FB,98)</f>
        <v>6.9900000000000004E-2</v>
      </c>
      <c r="N15" s="91">
        <f>VLOOKUP($A15,'Data Vlaue (Cr)'!$C:$FB,79)</f>
        <v>598</v>
      </c>
      <c r="O15" s="92">
        <f>VLOOKUP($A15,'Data Vlaue (Cr)'!$C:$FB,82)</f>
        <v>2.4E-2</v>
      </c>
    </row>
    <row r="16" spans="1:15" x14ac:dyDescent="0.25">
      <c r="A16" s="97" t="str">
        <f>'Data Vlaue (Cr)'!C11</f>
        <v>AMBER</v>
      </c>
      <c r="B16" s="142">
        <f>VLOOKUP(A16,'Data Vlaue (Cr)'!C11:CW225,99,0)</f>
        <v>2306</v>
      </c>
      <c r="C16" s="90">
        <f>VLOOKUP(A16,'Data Vlaue (Cr)'!C11:CY225,101,0)</f>
        <v>641</v>
      </c>
      <c r="D16" s="139">
        <f>VLOOKUP(A16,'Data Vlaue (Cr)'!C11:CZ225,102,0)</f>
        <v>0.38529999999999998</v>
      </c>
      <c r="E16" s="91">
        <f>VLOOKUP($A16,'Data Vlaue (Cr)'!$C:$FB,75)</f>
        <v>1189</v>
      </c>
      <c r="F16" s="91">
        <f>VLOOKUP($A16,'Data Vlaue (Cr)'!$C:$FB,77)</f>
        <v>133</v>
      </c>
      <c r="G16" s="92">
        <f>VLOOKUP(A16,'Data Vlaue (Cr)'!C11:CB225,78,0)</f>
        <v>0.12559999999999999</v>
      </c>
      <c r="H16" s="91">
        <f>VLOOKUP($A16,'Data Vlaue (Cr)'!$C:$FB,91)</f>
        <v>742</v>
      </c>
      <c r="I16" s="91">
        <f>VLOOKUP($A16,'Data Vlaue (Cr)'!$C:$FB,93)</f>
        <v>338</v>
      </c>
      <c r="J16" s="92">
        <f>VLOOKUP($A16,'Data Vlaue (Cr)'!$C:$FB,94)</f>
        <v>0.83460000000000001</v>
      </c>
      <c r="K16" s="91">
        <f>VLOOKUP($A16,'Data Vlaue (Cr)'!$C:$FB,95)</f>
        <v>375</v>
      </c>
      <c r="L16" s="91">
        <f>VLOOKUP($A16,'Data Vlaue (Cr)'!$C:$FB,97)</f>
        <v>171</v>
      </c>
      <c r="M16" s="92">
        <f>VLOOKUP($A16,'Data Vlaue (Cr)'!$C:$FB,98)</f>
        <v>0.83930000000000005</v>
      </c>
      <c r="N16" s="91">
        <f>VLOOKUP($A16,'Data Vlaue (Cr)'!$C:$FB,79)</f>
        <v>1169</v>
      </c>
      <c r="O16" s="92">
        <f>VLOOKUP($A16,'Data Vlaue (Cr)'!$C:$FB,82)</f>
        <v>0.1249</v>
      </c>
    </row>
    <row r="17" spans="1:15" x14ac:dyDescent="0.25">
      <c r="A17" s="97" t="str">
        <f>'Data Vlaue (Cr)'!C12</f>
        <v>AMBUJACEM</v>
      </c>
      <c r="B17" s="142">
        <f>VLOOKUP(A17,'Data Vlaue (Cr)'!C12:CW226,99,0)</f>
        <v>4930</v>
      </c>
      <c r="C17" s="90">
        <f>VLOOKUP(A17,'Data Vlaue (Cr)'!C12:CY226,101,0)</f>
        <v>118</v>
      </c>
      <c r="D17" s="139">
        <f>VLOOKUP(A17,'Data Vlaue (Cr)'!C12:CZ226,102,0)</f>
        <v>2.46E-2</v>
      </c>
      <c r="E17" s="91">
        <f>VLOOKUP($A17,'Data Vlaue (Cr)'!$C:$FB,75)</f>
        <v>3426</v>
      </c>
      <c r="F17" s="91">
        <f>VLOOKUP($A17,'Data Vlaue (Cr)'!$C:$FB,77)</f>
        <v>98</v>
      </c>
      <c r="G17" s="92">
        <f>VLOOKUP(A17,'Data Vlaue (Cr)'!C12:CB226,78,0)</f>
        <v>2.9499999999999998E-2</v>
      </c>
      <c r="H17" s="91">
        <f>VLOOKUP($A17,'Data Vlaue (Cr)'!$C:$FB,91)</f>
        <v>958</v>
      </c>
      <c r="I17" s="91">
        <f>VLOOKUP($A17,'Data Vlaue (Cr)'!$C:$FB,93)</f>
        <v>-5</v>
      </c>
      <c r="J17" s="92">
        <f>VLOOKUP($A17,'Data Vlaue (Cr)'!$C:$FB,94)</f>
        <v>-5.0000000000000001E-3</v>
      </c>
      <c r="K17" s="91">
        <f>VLOOKUP($A17,'Data Vlaue (Cr)'!$C:$FB,95)</f>
        <v>546</v>
      </c>
      <c r="L17" s="91">
        <f>VLOOKUP($A17,'Data Vlaue (Cr)'!$C:$FB,97)</f>
        <v>25</v>
      </c>
      <c r="M17" s="92">
        <f>VLOOKUP($A17,'Data Vlaue (Cr)'!$C:$FB,98)</f>
        <v>4.7800000000000002E-2</v>
      </c>
      <c r="N17" s="91">
        <f>VLOOKUP($A17,'Data Vlaue (Cr)'!$C:$FB,79)</f>
        <v>3341</v>
      </c>
      <c r="O17" s="92">
        <f>VLOOKUP($A17,'Data Vlaue (Cr)'!$C:$FB,82)</f>
        <v>2.7900000000000001E-2</v>
      </c>
    </row>
    <row r="18" spans="1:15" x14ac:dyDescent="0.25">
      <c r="A18" s="97" t="str">
        <f>'Data Vlaue (Cr)'!C13</f>
        <v>ANGELONE</v>
      </c>
      <c r="B18" s="142">
        <f>VLOOKUP(A18,'Data Vlaue (Cr)'!C13:CW227,99,0)</f>
        <v>1567</v>
      </c>
      <c r="C18" s="90">
        <f>VLOOKUP(A18,'Data Vlaue (Cr)'!C13:CY227,101,0)</f>
        <v>46</v>
      </c>
      <c r="D18" s="139">
        <f>VLOOKUP(A18,'Data Vlaue (Cr)'!C13:CZ227,102,0)</f>
        <v>3.0499999999999999E-2</v>
      </c>
      <c r="E18" s="91">
        <f>VLOOKUP($A18,'Data Vlaue (Cr)'!$C:$FB,75)</f>
        <v>807</v>
      </c>
      <c r="F18" s="91">
        <f>VLOOKUP($A18,'Data Vlaue (Cr)'!$C:$FB,77)</f>
        <v>2</v>
      </c>
      <c r="G18" s="92">
        <f>VLOOKUP(A18,'Data Vlaue (Cr)'!C13:CB227,78,0)</f>
        <v>2.0999999999999999E-3</v>
      </c>
      <c r="H18" s="91">
        <f>VLOOKUP($A18,'Data Vlaue (Cr)'!$C:$FB,91)</f>
        <v>508</v>
      </c>
      <c r="I18" s="91">
        <f>VLOOKUP($A18,'Data Vlaue (Cr)'!$C:$FB,93)</f>
        <v>37</v>
      </c>
      <c r="J18" s="92">
        <f>VLOOKUP($A18,'Data Vlaue (Cr)'!$C:$FB,94)</f>
        <v>7.7399999999999997E-2</v>
      </c>
      <c r="K18" s="91">
        <f>VLOOKUP($A18,'Data Vlaue (Cr)'!$C:$FB,95)</f>
        <v>251</v>
      </c>
      <c r="L18" s="91">
        <f>VLOOKUP($A18,'Data Vlaue (Cr)'!$C:$FB,97)</f>
        <v>8</v>
      </c>
      <c r="M18" s="92">
        <f>VLOOKUP($A18,'Data Vlaue (Cr)'!$C:$FB,98)</f>
        <v>3.3399999999999999E-2</v>
      </c>
      <c r="N18" s="91">
        <f>VLOOKUP($A18,'Data Vlaue (Cr)'!$C:$FB,79)</f>
        <v>783</v>
      </c>
      <c r="O18" s="92">
        <f>VLOOKUP($A18,'Data Vlaue (Cr)'!$C:$FB,82)</f>
        <v>8.9999999999999998E-4</v>
      </c>
    </row>
    <row r="19" spans="1:15" x14ac:dyDescent="0.25">
      <c r="A19" s="97" t="str">
        <f>'Data Vlaue (Cr)'!C14</f>
        <v>APLAPOLLO</v>
      </c>
      <c r="B19" s="142">
        <f>VLOOKUP(A19,'Data Vlaue (Cr)'!C14:CW228,99,0)</f>
        <v>1729</v>
      </c>
      <c r="C19" s="90">
        <f>VLOOKUP(A19,'Data Vlaue (Cr)'!C14:CY228,101,0)</f>
        <v>15</v>
      </c>
      <c r="D19" s="139">
        <f>VLOOKUP(A19,'Data Vlaue (Cr)'!C14:CZ228,102,0)</f>
        <v>8.6E-3</v>
      </c>
      <c r="E19" s="91">
        <f>VLOOKUP($A19,'Data Vlaue (Cr)'!$C:$FB,75)</f>
        <v>1170</v>
      </c>
      <c r="F19" s="91">
        <f>VLOOKUP($A19,'Data Vlaue (Cr)'!$C:$FB,77)</f>
        <v>-9</v>
      </c>
      <c r="G19" s="92">
        <f>VLOOKUP(A19,'Data Vlaue (Cr)'!C14:CB228,78,0)</f>
        <v>-7.3000000000000001E-3</v>
      </c>
      <c r="H19" s="91">
        <f>VLOOKUP($A19,'Data Vlaue (Cr)'!$C:$FB,91)</f>
        <v>366</v>
      </c>
      <c r="I19" s="91">
        <f>VLOOKUP($A19,'Data Vlaue (Cr)'!$C:$FB,93)</f>
        <v>21</v>
      </c>
      <c r="J19" s="92">
        <f>VLOOKUP($A19,'Data Vlaue (Cr)'!$C:$FB,94)</f>
        <v>0.06</v>
      </c>
      <c r="K19" s="91">
        <f>VLOOKUP($A19,'Data Vlaue (Cr)'!$C:$FB,95)</f>
        <v>193</v>
      </c>
      <c r="L19" s="91">
        <f>VLOOKUP($A19,'Data Vlaue (Cr)'!$C:$FB,97)</f>
        <v>3</v>
      </c>
      <c r="M19" s="92">
        <f>VLOOKUP($A19,'Data Vlaue (Cr)'!$C:$FB,98)</f>
        <v>1.4200000000000001E-2</v>
      </c>
      <c r="N19" s="91">
        <f>VLOOKUP($A19,'Data Vlaue (Cr)'!$C:$FB,79)</f>
        <v>1065</v>
      </c>
      <c r="O19" s="92">
        <f>VLOOKUP($A19,'Data Vlaue (Cr)'!$C:$FB,82)</f>
        <v>-8.8999999999999999E-3</v>
      </c>
    </row>
    <row r="20" spans="1:15" x14ac:dyDescent="0.25">
      <c r="A20" s="97" t="str">
        <f>'Data Vlaue (Cr)'!C15</f>
        <v>APOLLOHOSP</v>
      </c>
      <c r="B20" s="142">
        <f>VLOOKUP(A20,'Data Vlaue (Cr)'!C15:CW229,99,0)</f>
        <v>2537</v>
      </c>
      <c r="C20" s="90">
        <f>VLOOKUP(A20,'Data Vlaue (Cr)'!C15:CY229,101,0)</f>
        <v>62</v>
      </c>
      <c r="D20" s="139">
        <f>VLOOKUP(A20,'Data Vlaue (Cr)'!C15:CZ229,102,0)</f>
        <v>2.5000000000000001E-2</v>
      </c>
      <c r="E20" s="91">
        <f>VLOOKUP($A20,'Data Vlaue (Cr)'!$C:$FB,75)</f>
        <v>1575</v>
      </c>
      <c r="F20" s="91">
        <f>VLOOKUP($A20,'Data Vlaue (Cr)'!$C:$FB,77)</f>
        <v>-2</v>
      </c>
      <c r="G20" s="92">
        <f>VLOOKUP(A20,'Data Vlaue (Cr)'!C15:CB229,78,0)</f>
        <v>-1.2999999999999999E-3</v>
      </c>
      <c r="H20" s="91">
        <f>VLOOKUP($A20,'Data Vlaue (Cr)'!$C:$FB,91)</f>
        <v>602</v>
      </c>
      <c r="I20" s="91">
        <f>VLOOKUP($A20,'Data Vlaue (Cr)'!$C:$FB,93)</f>
        <v>50</v>
      </c>
      <c r="J20" s="92">
        <f>VLOOKUP($A20,'Data Vlaue (Cr)'!$C:$FB,94)</f>
        <v>9.06E-2</v>
      </c>
      <c r="K20" s="91">
        <f>VLOOKUP($A20,'Data Vlaue (Cr)'!$C:$FB,95)</f>
        <v>360</v>
      </c>
      <c r="L20" s="91">
        <f>VLOOKUP($A20,'Data Vlaue (Cr)'!$C:$FB,97)</f>
        <v>14</v>
      </c>
      <c r="M20" s="92">
        <f>VLOOKUP($A20,'Data Vlaue (Cr)'!$C:$FB,98)</f>
        <v>4.0300000000000002E-2</v>
      </c>
      <c r="N20" s="91">
        <f>VLOOKUP($A20,'Data Vlaue (Cr)'!$C:$FB,79)</f>
        <v>1431</v>
      </c>
      <c r="O20" s="92">
        <f>VLOOKUP($A20,'Data Vlaue (Cr)'!$C:$FB,82)</f>
        <v>-5.7999999999999996E-3</v>
      </c>
    </row>
    <row r="21" spans="1:15" x14ac:dyDescent="0.25">
      <c r="A21" s="97" t="str">
        <f>'Data Vlaue (Cr)'!C16</f>
        <v>ASHOKLEY</v>
      </c>
      <c r="B21" s="142">
        <f>VLOOKUP(A21,'Data Vlaue (Cr)'!C16:CW230,99,0)</f>
        <v>4789</v>
      </c>
      <c r="C21" s="90">
        <f>VLOOKUP(A21,'Data Vlaue (Cr)'!C16:CY230,101,0)</f>
        <v>53</v>
      </c>
      <c r="D21" s="139">
        <f>VLOOKUP(A21,'Data Vlaue (Cr)'!C16:CZ230,102,0)</f>
        <v>1.12E-2</v>
      </c>
      <c r="E21" s="91">
        <f>VLOOKUP($A21,'Data Vlaue (Cr)'!$C:$FB,75)</f>
        <v>2371</v>
      </c>
      <c r="F21" s="91">
        <f>VLOOKUP($A21,'Data Vlaue (Cr)'!$C:$FB,77)</f>
        <v>-27</v>
      </c>
      <c r="G21" s="92">
        <f>VLOOKUP(A21,'Data Vlaue (Cr)'!C16:CB230,78,0)</f>
        <v>-1.14E-2</v>
      </c>
      <c r="H21" s="91">
        <f>VLOOKUP($A21,'Data Vlaue (Cr)'!$C:$FB,91)</f>
        <v>1550</v>
      </c>
      <c r="I21" s="91">
        <f>VLOOKUP($A21,'Data Vlaue (Cr)'!$C:$FB,93)</f>
        <v>65</v>
      </c>
      <c r="J21" s="92">
        <f>VLOOKUP($A21,'Data Vlaue (Cr)'!$C:$FB,94)</f>
        <v>4.3799999999999999E-2</v>
      </c>
      <c r="K21" s="91">
        <f>VLOOKUP($A21,'Data Vlaue (Cr)'!$C:$FB,95)</f>
        <v>868</v>
      </c>
      <c r="L21" s="91">
        <f>VLOOKUP($A21,'Data Vlaue (Cr)'!$C:$FB,97)</f>
        <v>16</v>
      </c>
      <c r="M21" s="92">
        <f>VLOOKUP($A21,'Data Vlaue (Cr)'!$C:$FB,98)</f>
        <v>1.84E-2</v>
      </c>
      <c r="N21" s="91">
        <f>VLOOKUP($A21,'Data Vlaue (Cr)'!$C:$FB,79)</f>
        <v>2186</v>
      </c>
      <c r="O21" s="92">
        <f>VLOOKUP($A21,'Data Vlaue (Cr)'!$C:$FB,82)</f>
        <v>-1.5299999999999999E-2</v>
      </c>
    </row>
    <row r="22" spans="1:15" x14ac:dyDescent="0.25">
      <c r="A22" s="97" t="str">
        <f>'Data Vlaue (Cr)'!C17</f>
        <v>ASIANPAINT</v>
      </c>
      <c r="B22" s="142">
        <f>VLOOKUP(A22,'Data Vlaue (Cr)'!C17:CW231,99,0)</f>
        <v>5543</v>
      </c>
      <c r="C22" s="90">
        <f>VLOOKUP(A22,'Data Vlaue (Cr)'!C17:CY231,101,0)</f>
        <v>100</v>
      </c>
      <c r="D22" s="139">
        <f>VLOOKUP(A22,'Data Vlaue (Cr)'!C17:CZ231,102,0)</f>
        <v>1.83E-2</v>
      </c>
      <c r="E22" s="91">
        <f>VLOOKUP($A22,'Data Vlaue (Cr)'!$C:$FB,75)</f>
        <v>3579</v>
      </c>
      <c r="F22" s="91">
        <f>VLOOKUP($A22,'Data Vlaue (Cr)'!$C:$FB,77)</f>
        <v>-44</v>
      </c>
      <c r="G22" s="92">
        <f>VLOOKUP(A22,'Data Vlaue (Cr)'!C17:CB231,78,0)</f>
        <v>-1.2200000000000001E-2</v>
      </c>
      <c r="H22" s="91">
        <f>VLOOKUP($A22,'Data Vlaue (Cr)'!$C:$FB,91)</f>
        <v>1101</v>
      </c>
      <c r="I22" s="91">
        <f>VLOOKUP($A22,'Data Vlaue (Cr)'!$C:$FB,93)</f>
        <v>118</v>
      </c>
      <c r="J22" s="92">
        <f>VLOOKUP($A22,'Data Vlaue (Cr)'!$C:$FB,94)</f>
        <v>0.1206</v>
      </c>
      <c r="K22" s="91">
        <f>VLOOKUP($A22,'Data Vlaue (Cr)'!$C:$FB,95)</f>
        <v>863</v>
      </c>
      <c r="L22" s="91">
        <f>VLOOKUP($A22,'Data Vlaue (Cr)'!$C:$FB,97)</f>
        <v>25</v>
      </c>
      <c r="M22" s="92">
        <f>VLOOKUP($A22,'Data Vlaue (Cr)'!$C:$FB,98)</f>
        <v>3.0099999999999998E-2</v>
      </c>
      <c r="N22" s="91">
        <f>VLOOKUP($A22,'Data Vlaue (Cr)'!$C:$FB,79)</f>
        <v>3268</v>
      </c>
      <c r="O22" s="92">
        <f>VLOOKUP($A22,'Data Vlaue (Cr)'!$C:$FB,82)</f>
        <v>-1.49E-2</v>
      </c>
    </row>
    <row r="23" spans="1:15" x14ac:dyDescent="0.25">
      <c r="A23" s="97" t="str">
        <f>'Data Vlaue (Cr)'!C18</f>
        <v>ASTRAL</v>
      </c>
      <c r="B23" s="142">
        <f>VLOOKUP(A23,'Data Vlaue (Cr)'!C18:CW232,99,0)</f>
        <v>1877</v>
      </c>
      <c r="C23" s="90">
        <f>VLOOKUP(A23,'Data Vlaue (Cr)'!C18:CY232,101,0)</f>
        <v>6</v>
      </c>
      <c r="D23" s="139">
        <f>VLOOKUP(A23,'Data Vlaue (Cr)'!C18:CZ232,102,0)</f>
        <v>3.0999999999999999E-3</v>
      </c>
      <c r="E23" s="91">
        <f>VLOOKUP($A23,'Data Vlaue (Cr)'!$C:$FB,75)</f>
        <v>1434</v>
      </c>
      <c r="F23" s="91">
        <f>VLOOKUP($A23,'Data Vlaue (Cr)'!$C:$FB,77)</f>
        <v>-34</v>
      </c>
      <c r="G23" s="92">
        <f>VLOOKUP(A23,'Data Vlaue (Cr)'!C18:CB232,78,0)</f>
        <v>-2.3099999999999999E-2</v>
      </c>
      <c r="H23" s="91">
        <f>VLOOKUP($A23,'Data Vlaue (Cr)'!$C:$FB,91)</f>
        <v>281</v>
      </c>
      <c r="I23" s="91">
        <f>VLOOKUP($A23,'Data Vlaue (Cr)'!$C:$FB,93)</f>
        <v>30</v>
      </c>
      <c r="J23" s="92">
        <f>VLOOKUP($A23,'Data Vlaue (Cr)'!$C:$FB,94)</f>
        <v>0.11749999999999999</v>
      </c>
      <c r="K23" s="91">
        <f>VLOOKUP($A23,'Data Vlaue (Cr)'!$C:$FB,95)</f>
        <v>162</v>
      </c>
      <c r="L23" s="91">
        <f>VLOOKUP($A23,'Data Vlaue (Cr)'!$C:$FB,97)</f>
        <v>10</v>
      </c>
      <c r="M23" s="92">
        <f>VLOOKUP($A23,'Data Vlaue (Cr)'!$C:$FB,98)</f>
        <v>6.6900000000000001E-2</v>
      </c>
      <c r="N23" s="91">
        <f>VLOOKUP($A23,'Data Vlaue (Cr)'!$C:$FB,79)</f>
        <v>1346</v>
      </c>
      <c r="O23" s="92">
        <f>VLOOKUP($A23,'Data Vlaue (Cr)'!$C:$FB,82)</f>
        <v>-3.1899999999999998E-2</v>
      </c>
    </row>
    <row r="24" spans="1:15" x14ac:dyDescent="0.25">
      <c r="A24" s="97" t="str">
        <f>'Data Vlaue (Cr)'!C19</f>
        <v>AUBANK</v>
      </c>
      <c r="B24" s="142">
        <f>VLOOKUP(A24,'Data Vlaue (Cr)'!C19:CW233,99,0)</f>
        <v>4158</v>
      </c>
      <c r="C24" s="90">
        <f>VLOOKUP(A24,'Data Vlaue (Cr)'!C19:CY233,101,0)</f>
        <v>51</v>
      </c>
      <c r="D24" s="139">
        <f>VLOOKUP(A24,'Data Vlaue (Cr)'!C19:CZ233,102,0)</f>
        <v>1.2500000000000001E-2</v>
      </c>
      <c r="E24" s="91">
        <f>VLOOKUP($A24,'Data Vlaue (Cr)'!$C:$FB,75)</f>
        <v>2858</v>
      </c>
      <c r="F24" s="91">
        <f>VLOOKUP($A24,'Data Vlaue (Cr)'!$C:$FB,77)</f>
        <v>34</v>
      </c>
      <c r="G24" s="92">
        <f>VLOOKUP(A24,'Data Vlaue (Cr)'!C19:CB233,78,0)</f>
        <v>1.2E-2</v>
      </c>
      <c r="H24" s="91">
        <f>VLOOKUP($A24,'Data Vlaue (Cr)'!$C:$FB,91)</f>
        <v>838</v>
      </c>
      <c r="I24" s="91">
        <f>VLOOKUP($A24,'Data Vlaue (Cr)'!$C:$FB,93)</f>
        <v>-3</v>
      </c>
      <c r="J24" s="92">
        <f>VLOOKUP($A24,'Data Vlaue (Cr)'!$C:$FB,94)</f>
        <v>-3.7000000000000002E-3</v>
      </c>
      <c r="K24" s="91">
        <f>VLOOKUP($A24,'Data Vlaue (Cr)'!$C:$FB,95)</f>
        <v>461</v>
      </c>
      <c r="L24" s="91">
        <f>VLOOKUP($A24,'Data Vlaue (Cr)'!$C:$FB,97)</f>
        <v>20</v>
      </c>
      <c r="M24" s="92">
        <f>VLOOKUP($A24,'Data Vlaue (Cr)'!$C:$FB,98)</f>
        <v>4.6100000000000002E-2</v>
      </c>
      <c r="N24" s="91">
        <f>VLOOKUP($A24,'Data Vlaue (Cr)'!$C:$FB,79)</f>
        <v>2696</v>
      </c>
      <c r="O24" s="92">
        <f>VLOOKUP($A24,'Data Vlaue (Cr)'!$C:$FB,82)</f>
        <v>7.0000000000000001E-3</v>
      </c>
    </row>
    <row r="25" spans="1:15" x14ac:dyDescent="0.25">
      <c r="A25" s="97" t="str">
        <f>'Data Vlaue (Cr)'!C20</f>
        <v>AUROPHARMA</v>
      </c>
      <c r="B25" s="142">
        <f>VLOOKUP(A25,'Data Vlaue (Cr)'!C20:CW234,99,0)</f>
        <v>3618</v>
      </c>
      <c r="C25" s="90">
        <f>VLOOKUP(A25,'Data Vlaue (Cr)'!C20:CY234,101,0)</f>
        <v>72</v>
      </c>
      <c r="D25" s="139">
        <f>VLOOKUP(A25,'Data Vlaue (Cr)'!C20:CZ234,102,0)</f>
        <v>2.0299999999999999E-2</v>
      </c>
      <c r="E25" s="91">
        <f>VLOOKUP($A25,'Data Vlaue (Cr)'!$C:$FB,75)</f>
        <v>2794</v>
      </c>
      <c r="F25" s="91">
        <f>VLOOKUP($A25,'Data Vlaue (Cr)'!$C:$FB,77)</f>
        <v>-76</v>
      </c>
      <c r="G25" s="92">
        <f>VLOOKUP(A25,'Data Vlaue (Cr)'!C20:CB234,78,0)</f>
        <v>-2.6499999999999999E-2</v>
      </c>
      <c r="H25" s="91">
        <f>VLOOKUP($A25,'Data Vlaue (Cr)'!$C:$FB,91)</f>
        <v>457</v>
      </c>
      <c r="I25" s="91">
        <f>VLOOKUP($A25,'Data Vlaue (Cr)'!$C:$FB,93)</f>
        <v>33</v>
      </c>
      <c r="J25" s="92">
        <f>VLOOKUP($A25,'Data Vlaue (Cr)'!$C:$FB,94)</f>
        <v>7.7899999999999997E-2</v>
      </c>
      <c r="K25" s="91">
        <f>VLOOKUP($A25,'Data Vlaue (Cr)'!$C:$FB,95)</f>
        <v>367</v>
      </c>
      <c r="L25" s="91">
        <f>VLOOKUP($A25,'Data Vlaue (Cr)'!$C:$FB,97)</f>
        <v>115</v>
      </c>
      <c r="M25" s="92">
        <f>VLOOKUP($A25,'Data Vlaue (Cr)'!$C:$FB,98)</f>
        <v>0.45419999999999999</v>
      </c>
      <c r="N25" s="91">
        <f>VLOOKUP($A25,'Data Vlaue (Cr)'!$C:$FB,79)</f>
        <v>2772</v>
      </c>
      <c r="O25" s="92">
        <f>VLOOKUP($A25,'Data Vlaue (Cr)'!$C:$FB,82)</f>
        <v>-3.0800000000000001E-2</v>
      </c>
    </row>
    <row r="26" spans="1:15" x14ac:dyDescent="0.25">
      <c r="A26" s="97" t="str">
        <f>'Data Vlaue (Cr)'!C21</f>
        <v>AXISBANK</v>
      </c>
      <c r="B26" s="142">
        <f>VLOOKUP(A26,'Data Vlaue (Cr)'!C21:CW235,99,0)</f>
        <v>12522</v>
      </c>
      <c r="C26" s="90">
        <f>VLOOKUP(A26,'Data Vlaue (Cr)'!C21:CY235,101,0)</f>
        <v>64</v>
      </c>
      <c r="D26" s="139">
        <f>VLOOKUP(A26,'Data Vlaue (Cr)'!C21:CZ235,102,0)</f>
        <v>5.1000000000000004E-3</v>
      </c>
      <c r="E26" s="91">
        <f>VLOOKUP($A26,'Data Vlaue (Cr)'!$C:$FB,75)</f>
        <v>8930</v>
      </c>
      <c r="F26" s="91">
        <f>VLOOKUP($A26,'Data Vlaue (Cr)'!$C:$FB,77)</f>
        <v>129</v>
      </c>
      <c r="G26" s="92">
        <f>VLOOKUP(A26,'Data Vlaue (Cr)'!C21:CB235,78,0)</f>
        <v>1.46E-2</v>
      </c>
      <c r="H26" s="91">
        <f>VLOOKUP($A26,'Data Vlaue (Cr)'!$C:$FB,91)</f>
        <v>2083</v>
      </c>
      <c r="I26" s="91">
        <f>VLOOKUP($A26,'Data Vlaue (Cr)'!$C:$FB,93)</f>
        <v>-116</v>
      </c>
      <c r="J26" s="92">
        <f>VLOOKUP($A26,'Data Vlaue (Cr)'!$C:$FB,94)</f>
        <v>-5.2900000000000003E-2</v>
      </c>
      <c r="K26" s="91">
        <f>VLOOKUP($A26,'Data Vlaue (Cr)'!$C:$FB,95)</f>
        <v>1510</v>
      </c>
      <c r="L26" s="91">
        <f>VLOOKUP($A26,'Data Vlaue (Cr)'!$C:$FB,97)</f>
        <v>52</v>
      </c>
      <c r="M26" s="92">
        <f>VLOOKUP($A26,'Data Vlaue (Cr)'!$C:$FB,98)</f>
        <v>3.5400000000000001E-2</v>
      </c>
      <c r="N26" s="91">
        <f>VLOOKUP($A26,'Data Vlaue (Cr)'!$C:$FB,79)</f>
        <v>7732</v>
      </c>
      <c r="O26" s="92">
        <f>VLOOKUP($A26,'Data Vlaue (Cr)'!$C:$FB,82)</f>
        <v>7.7999999999999996E-3</v>
      </c>
    </row>
    <row r="27" spans="1:15" x14ac:dyDescent="0.25">
      <c r="A27" s="97" t="str">
        <f>'Data Vlaue (Cr)'!C22</f>
        <v>BAJAJ-AUTO</v>
      </c>
      <c r="B27" s="142">
        <f>VLOOKUP(A27,'Data Vlaue (Cr)'!C22:CW236,99,0)</f>
        <v>5956</v>
      </c>
      <c r="C27" s="90">
        <f>VLOOKUP(A27,'Data Vlaue (Cr)'!C22:CY236,101,0)</f>
        <v>472</v>
      </c>
      <c r="D27" s="139">
        <f>VLOOKUP(A27,'Data Vlaue (Cr)'!C22:CZ236,102,0)</f>
        <v>8.5999999999999993E-2</v>
      </c>
      <c r="E27" s="91">
        <f>VLOOKUP($A27,'Data Vlaue (Cr)'!$C:$FB,75)</f>
        <v>2745</v>
      </c>
      <c r="F27" s="91">
        <f>VLOOKUP($A27,'Data Vlaue (Cr)'!$C:$FB,77)</f>
        <v>22</v>
      </c>
      <c r="G27" s="92">
        <f>VLOOKUP(A27,'Data Vlaue (Cr)'!C22:CB236,78,0)</f>
        <v>8.0000000000000002E-3</v>
      </c>
      <c r="H27" s="91">
        <f>VLOOKUP($A27,'Data Vlaue (Cr)'!$C:$FB,91)</f>
        <v>1819</v>
      </c>
      <c r="I27" s="91">
        <f>VLOOKUP($A27,'Data Vlaue (Cr)'!$C:$FB,93)</f>
        <v>275</v>
      </c>
      <c r="J27" s="92">
        <f>VLOOKUP($A27,'Data Vlaue (Cr)'!$C:$FB,94)</f>
        <v>0.1779</v>
      </c>
      <c r="K27" s="91">
        <f>VLOOKUP($A27,'Data Vlaue (Cr)'!$C:$FB,95)</f>
        <v>1392</v>
      </c>
      <c r="L27" s="91">
        <f>VLOOKUP($A27,'Data Vlaue (Cr)'!$C:$FB,97)</f>
        <v>175</v>
      </c>
      <c r="M27" s="92">
        <f>VLOOKUP($A27,'Data Vlaue (Cr)'!$C:$FB,98)</f>
        <v>0.1439</v>
      </c>
      <c r="N27" s="91">
        <f>VLOOKUP($A27,'Data Vlaue (Cr)'!$C:$FB,79)</f>
        <v>2601</v>
      </c>
      <c r="O27" s="92">
        <f>VLOOKUP($A27,'Data Vlaue (Cr)'!$C:$FB,82)</f>
        <v>3.0000000000000001E-3</v>
      </c>
    </row>
    <row r="28" spans="1:15" x14ac:dyDescent="0.25">
      <c r="A28" s="97" t="str">
        <f>'Data Vlaue (Cr)'!C23</f>
        <v>BAJAJFINSV</v>
      </c>
      <c r="B28" s="142">
        <f>VLOOKUP(A28,'Data Vlaue (Cr)'!C23:CW237,99,0)</f>
        <v>3206</v>
      </c>
      <c r="C28" s="90">
        <f>VLOOKUP(A28,'Data Vlaue (Cr)'!C23:CY237,101,0)</f>
        <v>-24</v>
      </c>
      <c r="D28" s="139">
        <f>VLOOKUP(A28,'Data Vlaue (Cr)'!C23:CZ237,102,0)</f>
        <v>-7.4000000000000003E-3</v>
      </c>
      <c r="E28" s="91">
        <f>VLOOKUP($A28,'Data Vlaue (Cr)'!$C:$FB,75)</f>
        <v>2119</v>
      </c>
      <c r="F28" s="91">
        <f>VLOOKUP($A28,'Data Vlaue (Cr)'!$C:$FB,77)</f>
        <v>-16</v>
      </c>
      <c r="G28" s="92">
        <f>VLOOKUP(A28,'Data Vlaue (Cr)'!C23:CB237,78,0)</f>
        <v>-7.4000000000000003E-3</v>
      </c>
      <c r="H28" s="91">
        <f>VLOOKUP($A28,'Data Vlaue (Cr)'!$C:$FB,91)</f>
        <v>548</v>
      </c>
      <c r="I28" s="91">
        <f>VLOOKUP($A28,'Data Vlaue (Cr)'!$C:$FB,93)</f>
        <v>-9</v>
      </c>
      <c r="J28" s="92">
        <f>VLOOKUP($A28,'Data Vlaue (Cr)'!$C:$FB,94)</f>
        <v>-1.54E-2</v>
      </c>
      <c r="K28" s="91">
        <f>VLOOKUP($A28,'Data Vlaue (Cr)'!$C:$FB,95)</f>
        <v>540</v>
      </c>
      <c r="L28" s="91">
        <f>VLOOKUP($A28,'Data Vlaue (Cr)'!$C:$FB,97)</f>
        <v>0</v>
      </c>
      <c r="M28" s="92">
        <f>VLOOKUP($A28,'Data Vlaue (Cr)'!$C:$FB,98)</f>
        <v>5.9999999999999995E-4</v>
      </c>
      <c r="N28" s="91">
        <f>VLOOKUP($A28,'Data Vlaue (Cr)'!$C:$FB,79)</f>
        <v>1923</v>
      </c>
      <c r="O28" s="92">
        <f>VLOOKUP($A28,'Data Vlaue (Cr)'!$C:$FB,82)</f>
        <v>-9.1000000000000004E-3</v>
      </c>
    </row>
    <row r="29" spans="1:15" x14ac:dyDescent="0.25">
      <c r="A29" s="97" t="str">
        <f>'Data Vlaue (Cr)'!C24</f>
        <v>BAJAJHLDNG</v>
      </c>
      <c r="B29" s="142">
        <f>VLOOKUP(A29,'Data Vlaue (Cr)'!C24:CW238,99,0)</f>
        <v>395</v>
      </c>
      <c r="C29" s="90">
        <f>VLOOKUP(A29,'Data Vlaue (Cr)'!C24:CY238,101,0)</f>
        <v>24</v>
      </c>
      <c r="D29" s="139">
        <f>VLOOKUP(A29,'Data Vlaue (Cr)'!C24:CZ238,102,0)</f>
        <v>6.4699999999999994E-2</v>
      </c>
      <c r="E29" s="91">
        <f>VLOOKUP($A29,'Data Vlaue (Cr)'!$C:$FB,75)</f>
        <v>289</v>
      </c>
      <c r="F29" s="91">
        <f>VLOOKUP($A29,'Data Vlaue (Cr)'!$C:$FB,77)</f>
        <v>12</v>
      </c>
      <c r="G29" s="92">
        <f>VLOOKUP(A29,'Data Vlaue (Cr)'!C24:CB238,78,0)</f>
        <v>4.1599999999999998E-2</v>
      </c>
      <c r="H29" s="91">
        <f>VLOOKUP($A29,'Data Vlaue (Cr)'!$C:$FB,91)</f>
        <v>74</v>
      </c>
      <c r="I29" s="91">
        <f>VLOOKUP($A29,'Data Vlaue (Cr)'!$C:$FB,93)</f>
        <v>7</v>
      </c>
      <c r="J29" s="92">
        <f>VLOOKUP($A29,'Data Vlaue (Cr)'!$C:$FB,94)</f>
        <v>0.10639999999999999</v>
      </c>
      <c r="K29" s="91">
        <f>VLOOKUP($A29,'Data Vlaue (Cr)'!$C:$FB,95)</f>
        <v>32</v>
      </c>
      <c r="L29" s="91">
        <f>VLOOKUP($A29,'Data Vlaue (Cr)'!$C:$FB,97)</f>
        <v>5</v>
      </c>
      <c r="M29" s="92">
        <f>VLOOKUP($A29,'Data Vlaue (Cr)'!$C:$FB,98)</f>
        <v>0.20080000000000001</v>
      </c>
      <c r="N29" s="91">
        <f>VLOOKUP($A29,'Data Vlaue (Cr)'!$C:$FB,79)</f>
        <v>286</v>
      </c>
      <c r="O29" s="92">
        <f>VLOOKUP($A29,'Data Vlaue (Cr)'!$C:$FB,82)</f>
        <v>4.0800000000000003E-2</v>
      </c>
    </row>
    <row r="30" spans="1:15" x14ac:dyDescent="0.25">
      <c r="A30" s="97" t="str">
        <f>'Data Vlaue (Cr)'!C25</f>
        <v>BAJFINANCE</v>
      </c>
      <c r="B30" s="142">
        <f>VLOOKUP(A30,'Data Vlaue (Cr)'!C25:CW239,99,0)</f>
        <v>9822</v>
      </c>
      <c r="C30" s="90">
        <f>VLOOKUP(A30,'Data Vlaue (Cr)'!C25:CY239,101,0)</f>
        <v>-58</v>
      </c>
      <c r="D30" s="139">
        <f>VLOOKUP(A30,'Data Vlaue (Cr)'!C25:CZ239,102,0)</f>
        <v>-5.8999999999999999E-3</v>
      </c>
      <c r="E30" s="91">
        <f>VLOOKUP($A30,'Data Vlaue (Cr)'!$C:$FB,75)</f>
        <v>6881</v>
      </c>
      <c r="F30" s="91">
        <f>VLOOKUP($A30,'Data Vlaue (Cr)'!$C:$FB,77)</f>
        <v>-85</v>
      </c>
      <c r="G30" s="92">
        <f>VLOOKUP(A30,'Data Vlaue (Cr)'!C25:CB239,78,0)</f>
        <v>-1.21E-2</v>
      </c>
      <c r="H30" s="91">
        <f>VLOOKUP($A30,'Data Vlaue (Cr)'!$C:$FB,91)</f>
        <v>1582</v>
      </c>
      <c r="I30" s="91">
        <f>VLOOKUP($A30,'Data Vlaue (Cr)'!$C:$FB,93)</f>
        <v>-56</v>
      </c>
      <c r="J30" s="92">
        <f>VLOOKUP($A30,'Data Vlaue (Cr)'!$C:$FB,94)</f>
        <v>-3.4099999999999998E-2</v>
      </c>
      <c r="K30" s="91">
        <f>VLOOKUP($A30,'Data Vlaue (Cr)'!$C:$FB,95)</f>
        <v>1359</v>
      </c>
      <c r="L30" s="91">
        <f>VLOOKUP($A30,'Data Vlaue (Cr)'!$C:$FB,97)</f>
        <v>82</v>
      </c>
      <c r="M30" s="92">
        <f>VLOOKUP($A30,'Data Vlaue (Cr)'!$C:$FB,98)</f>
        <v>6.4199999999999993E-2</v>
      </c>
      <c r="N30" s="91">
        <f>VLOOKUP($A30,'Data Vlaue (Cr)'!$C:$FB,79)</f>
        <v>5808</v>
      </c>
      <c r="O30" s="92">
        <f>VLOOKUP($A30,'Data Vlaue (Cr)'!$C:$FB,82)</f>
        <v>-1.4999999999999999E-2</v>
      </c>
    </row>
    <row r="31" spans="1:15" x14ac:dyDescent="0.25">
      <c r="A31" s="97" t="str">
        <f>'Data Vlaue (Cr)'!C26</f>
        <v>BANDHANBNK</v>
      </c>
      <c r="B31" s="142">
        <f>VLOOKUP(A31,'Data Vlaue (Cr)'!C26:CW240,99,0)</f>
        <v>3668</v>
      </c>
      <c r="C31" s="90">
        <f>VLOOKUP(A31,'Data Vlaue (Cr)'!C26:CY240,101,0)</f>
        <v>-38</v>
      </c>
      <c r="D31" s="139">
        <f>VLOOKUP(A31,'Data Vlaue (Cr)'!C26:CZ240,102,0)</f>
        <v>-1.03E-2</v>
      </c>
      <c r="E31" s="91">
        <f>VLOOKUP($A31,'Data Vlaue (Cr)'!$C:$FB,75)</f>
        <v>2075</v>
      </c>
      <c r="F31" s="91">
        <f>VLOOKUP($A31,'Data Vlaue (Cr)'!$C:$FB,77)</f>
        <v>35</v>
      </c>
      <c r="G31" s="92">
        <f>VLOOKUP(A31,'Data Vlaue (Cr)'!C26:CB240,78,0)</f>
        <v>1.7299999999999999E-2</v>
      </c>
      <c r="H31" s="91">
        <f>VLOOKUP($A31,'Data Vlaue (Cr)'!$C:$FB,91)</f>
        <v>907</v>
      </c>
      <c r="I31" s="91">
        <f>VLOOKUP($A31,'Data Vlaue (Cr)'!$C:$FB,93)</f>
        <v>-40</v>
      </c>
      <c r="J31" s="92">
        <f>VLOOKUP($A31,'Data Vlaue (Cr)'!$C:$FB,94)</f>
        <v>-4.2500000000000003E-2</v>
      </c>
      <c r="K31" s="91">
        <f>VLOOKUP($A31,'Data Vlaue (Cr)'!$C:$FB,95)</f>
        <v>686</v>
      </c>
      <c r="L31" s="91">
        <f>VLOOKUP($A31,'Data Vlaue (Cr)'!$C:$FB,97)</f>
        <v>-33</v>
      </c>
      <c r="M31" s="92">
        <f>VLOOKUP($A31,'Data Vlaue (Cr)'!$C:$FB,98)</f>
        <v>-4.6100000000000002E-2</v>
      </c>
      <c r="N31" s="91">
        <f>VLOOKUP($A31,'Data Vlaue (Cr)'!$C:$FB,79)</f>
        <v>2024</v>
      </c>
      <c r="O31" s="92">
        <f>VLOOKUP($A31,'Data Vlaue (Cr)'!$C:$FB,82)</f>
        <v>1.55E-2</v>
      </c>
    </row>
    <row r="32" spans="1:15" x14ac:dyDescent="0.25">
      <c r="A32" s="97" t="str">
        <f>'Data Vlaue (Cr)'!C27</f>
        <v>BANKBARODA</v>
      </c>
      <c r="B32" s="142">
        <f>VLOOKUP(A32,'Data Vlaue (Cr)'!C27:CW241,99,0)</f>
        <v>4803</v>
      </c>
      <c r="C32" s="90">
        <f>VLOOKUP(A32,'Data Vlaue (Cr)'!C27:CY241,101,0)</f>
        <v>41</v>
      </c>
      <c r="D32" s="139">
        <f>VLOOKUP(A32,'Data Vlaue (Cr)'!C27:CZ241,102,0)</f>
        <v>8.5000000000000006E-3</v>
      </c>
      <c r="E32" s="91">
        <f>VLOOKUP($A32,'Data Vlaue (Cr)'!$C:$FB,75)</f>
        <v>3159</v>
      </c>
      <c r="F32" s="91">
        <f>VLOOKUP($A32,'Data Vlaue (Cr)'!$C:$FB,77)</f>
        <v>18</v>
      </c>
      <c r="G32" s="92">
        <f>VLOOKUP(A32,'Data Vlaue (Cr)'!C27:CB241,78,0)</f>
        <v>5.8999999999999999E-3</v>
      </c>
      <c r="H32" s="91">
        <f>VLOOKUP($A32,'Data Vlaue (Cr)'!$C:$FB,91)</f>
        <v>918</v>
      </c>
      <c r="I32" s="91">
        <f>VLOOKUP($A32,'Data Vlaue (Cr)'!$C:$FB,93)</f>
        <v>5</v>
      </c>
      <c r="J32" s="92">
        <f>VLOOKUP($A32,'Data Vlaue (Cr)'!$C:$FB,94)</f>
        <v>5.1999999999999998E-3</v>
      </c>
      <c r="K32" s="91">
        <f>VLOOKUP($A32,'Data Vlaue (Cr)'!$C:$FB,95)</f>
        <v>727</v>
      </c>
      <c r="L32" s="91">
        <f>VLOOKUP($A32,'Data Vlaue (Cr)'!$C:$FB,97)</f>
        <v>18</v>
      </c>
      <c r="M32" s="92">
        <f>VLOOKUP($A32,'Data Vlaue (Cr)'!$C:$FB,98)</f>
        <v>2.47E-2</v>
      </c>
      <c r="N32" s="91">
        <f>VLOOKUP($A32,'Data Vlaue (Cr)'!$C:$FB,79)</f>
        <v>2874</v>
      </c>
      <c r="O32" s="92">
        <f>VLOOKUP($A32,'Data Vlaue (Cr)'!$C:$FB,82)</f>
        <v>1.6000000000000001E-3</v>
      </c>
    </row>
    <row r="33" spans="1:15" x14ac:dyDescent="0.25">
      <c r="A33" s="97" t="str">
        <f>'Data Vlaue (Cr)'!C28</f>
        <v>BANKINDIA</v>
      </c>
      <c r="B33" s="142">
        <f>VLOOKUP(A33,'Data Vlaue (Cr)'!C28:CW242,99,0)</f>
        <v>1378</v>
      </c>
      <c r="C33" s="90">
        <f>VLOOKUP(A33,'Data Vlaue (Cr)'!C28:CY242,101,0)</f>
        <v>79</v>
      </c>
      <c r="D33" s="139">
        <f>VLOOKUP(A33,'Data Vlaue (Cr)'!C28:CZ242,102,0)</f>
        <v>6.0900000000000003E-2</v>
      </c>
      <c r="E33" s="91">
        <f>VLOOKUP($A33,'Data Vlaue (Cr)'!$C:$FB,75)</f>
        <v>863</v>
      </c>
      <c r="F33" s="91">
        <f>VLOOKUP($A33,'Data Vlaue (Cr)'!$C:$FB,77)</f>
        <v>50</v>
      </c>
      <c r="G33" s="92">
        <f>VLOOKUP(A33,'Data Vlaue (Cr)'!C28:CB242,78,0)</f>
        <v>6.13E-2</v>
      </c>
      <c r="H33" s="91">
        <f>VLOOKUP($A33,'Data Vlaue (Cr)'!$C:$FB,91)</f>
        <v>301</v>
      </c>
      <c r="I33" s="91">
        <f>VLOOKUP($A33,'Data Vlaue (Cr)'!$C:$FB,93)</f>
        <v>29</v>
      </c>
      <c r="J33" s="92">
        <f>VLOOKUP($A33,'Data Vlaue (Cr)'!$C:$FB,94)</f>
        <v>0.1056</v>
      </c>
      <c r="K33" s="91">
        <f>VLOOKUP($A33,'Data Vlaue (Cr)'!$C:$FB,95)</f>
        <v>213</v>
      </c>
      <c r="L33" s="91">
        <f>VLOOKUP($A33,'Data Vlaue (Cr)'!$C:$FB,97)</f>
        <v>0</v>
      </c>
      <c r="M33" s="92">
        <f>VLOOKUP($A33,'Data Vlaue (Cr)'!$C:$FB,98)</f>
        <v>2.0999999999999999E-3</v>
      </c>
      <c r="N33" s="91">
        <f>VLOOKUP($A33,'Data Vlaue (Cr)'!$C:$FB,79)</f>
        <v>832</v>
      </c>
      <c r="O33" s="92">
        <f>VLOOKUP($A33,'Data Vlaue (Cr)'!$C:$FB,82)</f>
        <v>6.0699999999999997E-2</v>
      </c>
    </row>
    <row r="34" spans="1:15" x14ac:dyDescent="0.25">
      <c r="A34" s="97" t="str">
        <f>'Data Vlaue (Cr)'!C29</f>
        <v>BANKNIFTY</v>
      </c>
      <c r="B34" s="142">
        <f>VLOOKUP(A34,'Data Vlaue (Cr)'!C29:CW243,99,0)</f>
        <v>165425</v>
      </c>
      <c r="C34" s="90">
        <f>VLOOKUP(A34,'Data Vlaue (Cr)'!C29:CY243,101,0)</f>
        <v>1191</v>
      </c>
      <c r="D34" s="139">
        <f>VLOOKUP(A34,'Data Vlaue (Cr)'!C29:CZ243,102,0)</f>
        <v>7.3000000000000001E-3</v>
      </c>
      <c r="E34" s="91">
        <f>VLOOKUP($A34,'Data Vlaue (Cr)'!$C:$FB,75)</f>
        <v>13966</v>
      </c>
      <c r="F34" s="91">
        <f>VLOOKUP($A34,'Data Vlaue (Cr)'!$C:$FB,77)</f>
        <v>108</v>
      </c>
      <c r="G34" s="92">
        <f>VLOOKUP(A34,'Data Vlaue (Cr)'!C29:CB243,78,0)</f>
        <v>7.7999999999999996E-3</v>
      </c>
      <c r="H34" s="91">
        <f>VLOOKUP($A34,'Data Vlaue (Cr)'!$C:$FB,91)</f>
        <v>77676</v>
      </c>
      <c r="I34" s="91">
        <f>VLOOKUP($A34,'Data Vlaue (Cr)'!$C:$FB,93)</f>
        <v>-3686</v>
      </c>
      <c r="J34" s="92">
        <f>VLOOKUP($A34,'Data Vlaue (Cr)'!$C:$FB,94)</f>
        <v>-4.53E-2</v>
      </c>
      <c r="K34" s="91">
        <f>VLOOKUP($A34,'Data Vlaue (Cr)'!$C:$FB,95)</f>
        <v>73784</v>
      </c>
      <c r="L34" s="91">
        <f>VLOOKUP($A34,'Data Vlaue (Cr)'!$C:$FB,97)</f>
        <v>4770</v>
      </c>
      <c r="M34" s="92">
        <f>VLOOKUP($A34,'Data Vlaue (Cr)'!$C:$FB,98)</f>
        <v>6.9099999999999995E-2</v>
      </c>
      <c r="N34" s="91">
        <f>VLOOKUP($A34,'Data Vlaue (Cr)'!$C:$FB,79)</f>
        <v>12270</v>
      </c>
      <c r="O34" s="92">
        <f>VLOOKUP($A34,'Data Vlaue (Cr)'!$C:$FB,82)</f>
        <v>-5.5999999999999999E-3</v>
      </c>
    </row>
    <row r="35" spans="1:15" x14ac:dyDescent="0.25">
      <c r="A35" s="97" t="str">
        <f>'Data Vlaue (Cr)'!C30</f>
        <v>BDL</v>
      </c>
      <c r="B35" s="142">
        <f>VLOOKUP(A35,'Data Vlaue (Cr)'!C30:CW244,99,0)</f>
        <v>1019</v>
      </c>
      <c r="C35" s="90">
        <f>VLOOKUP(A35,'Data Vlaue (Cr)'!C30:CY244,101,0)</f>
        <v>76</v>
      </c>
      <c r="D35" s="139">
        <f>VLOOKUP(A35,'Data Vlaue (Cr)'!C30:CZ244,102,0)</f>
        <v>8.0399999999999999E-2</v>
      </c>
      <c r="E35" s="91">
        <f>VLOOKUP($A35,'Data Vlaue (Cr)'!$C:$FB,75)</f>
        <v>489</v>
      </c>
      <c r="F35" s="91">
        <f>VLOOKUP($A35,'Data Vlaue (Cr)'!$C:$FB,77)</f>
        <v>14</v>
      </c>
      <c r="G35" s="92">
        <f>VLOOKUP(A35,'Data Vlaue (Cr)'!C30:CB244,78,0)</f>
        <v>2.93E-2</v>
      </c>
      <c r="H35" s="91">
        <f>VLOOKUP($A35,'Data Vlaue (Cr)'!$C:$FB,91)</f>
        <v>346</v>
      </c>
      <c r="I35" s="91">
        <f>VLOOKUP($A35,'Data Vlaue (Cr)'!$C:$FB,93)</f>
        <v>51</v>
      </c>
      <c r="J35" s="92">
        <f>VLOOKUP($A35,'Data Vlaue (Cr)'!$C:$FB,94)</f>
        <v>0.17460000000000001</v>
      </c>
      <c r="K35" s="91">
        <f>VLOOKUP($A35,'Data Vlaue (Cr)'!$C:$FB,95)</f>
        <v>184</v>
      </c>
      <c r="L35" s="91">
        <f>VLOOKUP($A35,'Data Vlaue (Cr)'!$C:$FB,97)</f>
        <v>11</v>
      </c>
      <c r="M35" s="92">
        <f>VLOOKUP($A35,'Data Vlaue (Cr)'!$C:$FB,98)</f>
        <v>6.0499999999999998E-2</v>
      </c>
      <c r="N35" s="91">
        <f>VLOOKUP($A35,'Data Vlaue (Cr)'!$C:$FB,79)</f>
        <v>447</v>
      </c>
      <c r="O35" s="92">
        <f>VLOOKUP($A35,'Data Vlaue (Cr)'!$C:$FB,82)</f>
        <v>1.84E-2</v>
      </c>
    </row>
    <row r="36" spans="1:15" x14ac:dyDescent="0.25">
      <c r="A36" s="97" t="str">
        <f>'Data Vlaue (Cr)'!C31</f>
        <v>BEL</v>
      </c>
      <c r="B36" s="142">
        <f>VLOOKUP(A36,'Data Vlaue (Cr)'!C31:CW245,99,0)</f>
        <v>8223</v>
      </c>
      <c r="C36" s="90">
        <f>VLOOKUP(A36,'Data Vlaue (Cr)'!C31:CY245,101,0)</f>
        <v>162</v>
      </c>
      <c r="D36" s="139">
        <f>VLOOKUP(A36,'Data Vlaue (Cr)'!C31:CZ245,102,0)</f>
        <v>2.01E-2</v>
      </c>
      <c r="E36" s="91">
        <f>VLOOKUP($A36,'Data Vlaue (Cr)'!$C:$FB,75)</f>
        <v>5169</v>
      </c>
      <c r="F36" s="91">
        <f>VLOOKUP($A36,'Data Vlaue (Cr)'!$C:$FB,77)</f>
        <v>17</v>
      </c>
      <c r="G36" s="92">
        <f>VLOOKUP(A36,'Data Vlaue (Cr)'!C31:CB245,78,0)</f>
        <v>3.3E-3</v>
      </c>
      <c r="H36" s="91">
        <f>VLOOKUP($A36,'Data Vlaue (Cr)'!$C:$FB,91)</f>
        <v>1939</v>
      </c>
      <c r="I36" s="91">
        <f>VLOOKUP($A36,'Data Vlaue (Cr)'!$C:$FB,93)</f>
        <v>151</v>
      </c>
      <c r="J36" s="92">
        <f>VLOOKUP($A36,'Data Vlaue (Cr)'!$C:$FB,94)</f>
        <v>8.4199999999999997E-2</v>
      </c>
      <c r="K36" s="91">
        <f>VLOOKUP($A36,'Data Vlaue (Cr)'!$C:$FB,95)</f>
        <v>1115</v>
      </c>
      <c r="L36" s="91">
        <f>VLOOKUP($A36,'Data Vlaue (Cr)'!$C:$FB,97)</f>
        <v>-5</v>
      </c>
      <c r="M36" s="92">
        <f>VLOOKUP($A36,'Data Vlaue (Cr)'!$C:$FB,98)</f>
        <v>-4.8999999999999998E-3</v>
      </c>
      <c r="N36" s="91">
        <f>VLOOKUP($A36,'Data Vlaue (Cr)'!$C:$FB,79)</f>
        <v>4507</v>
      </c>
      <c r="O36" s="92">
        <f>VLOOKUP($A36,'Data Vlaue (Cr)'!$C:$FB,82)</f>
        <v>6.9999999999999999E-4</v>
      </c>
    </row>
    <row r="37" spans="1:15" x14ac:dyDescent="0.25">
      <c r="A37" s="97" t="str">
        <f>'Data Vlaue (Cr)'!C32</f>
        <v>BHARATFORG</v>
      </c>
      <c r="B37" s="142">
        <f>VLOOKUP(A37,'Data Vlaue (Cr)'!C32:CW246,99,0)</f>
        <v>2367</v>
      </c>
      <c r="C37" s="90">
        <f>VLOOKUP(A37,'Data Vlaue (Cr)'!C32:CY246,101,0)</f>
        <v>164</v>
      </c>
      <c r="D37" s="139">
        <f>VLOOKUP(A37,'Data Vlaue (Cr)'!C32:CZ246,102,0)</f>
        <v>7.4300000000000005E-2</v>
      </c>
      <c r="E37" s="91">
        <f>VLOOKUP($A37,'Data Vlaue (Cr)'!$C:$FB,75)</f>
        <v>1435</v>
      </c>
      <c r="F37" s="91">
        <f>VLOOKUP($A37,'Data Vlaue (Cr)'!$C:$FB,77)</f>
        <v>27</v>
      </c>
      <c r="G37" s="92">
        <f>VLOOKUP(A37,'Data Vlaue (Cr)'!C32:CB246,78,0)</f>
        <v>1.89E-2</v>
      </c>
      <c r="H37" s="91">
        <f>VLOOKUP($A37,'Data Vlaue (Cr)'!$C:$FB,91)</f>
        <v>602</v>
      </c>
      <c r="I37" s="91">
        <f>VLOOKUP($A37,'Data Vlaue (Cr)'!$C:$FB,93)</f>
        <v>105</v>
      </c>
      <c r="J37" s="92">
        <f>VLOOKUP($A37,'Data Vlaue (Cr)'!$C:$FB,94)</f>
        <v>0.21029999999999999</v>
      </c>
      <c r="K37" s="91">
        <f>VLOOKUP($A37,'Data Vlaue (Cr)'!$C:$FB,95)</f>
        <v>330</v>
      </c>
      <c r="L37" s="91">
        <f>VLOOKUP($A37,'Data Vlaue (Cr)'!$C:$FB,97)</f>
        <v>32</v>
      </c>
      <c r="M37" s="92">
        <f>VLOOKUP($A37,'Data Vlaue (Cr)'!$C:$FB,98)</f>
        <v>0.1086</v>
      </c>
      <c r="N37" s="91">
        <f>VLOOKUP($A37,'Data Vlaue (Cr)'!$C:$FB,79)</f>
        <v>1414</v>
      </c>
      <c r="O37" s="92">
        <f>VLOOKUP($A37,'Data Vlaue (Cr)'!$C:$FB,82)</f>
        <v>1.5800000000000002E-2</v>
      </c>
    </row>
    <row r="38" spans="1:15" x14ac:dyDescent="0.25">
      <c r="A38" s="97" t="str">
        <f>'Data Vlaue (Cr)'!C33</f>
        <v>BHARTIARTL</v>
      </c>
      <c r="B38" s="142">
        <f>VLOOKUP(A38,'Data Vlaue (Cr)'!C33:CW247,99,0)</f>
        <v>15079</v>
      </c>
      <c r="C38" s="90">
        <f>VLOOKUP(A38,'Data Vlaue (Cr)'!C33:CY247,101,0)</f>
        <v>47</v>
      </c>
      <c r="D38" s="139">
        <f>VLOOKUP(A38,'Data Vlaue (Cr)'!C33:CZ247,102,0)</f>
        <v>3.0999999999999999E-3</v>
      </c>
      <c r="E38" s="91">
        <f>VLOOKUP($A38,'Data Vlaue (Cr)'!$C:$FB,75)</f>
        <v>11442</v>
      </c>
      <c r="F38" s="91">
        <f>VLOOKUP($A38,'Data Vlaue (Cr)'!$C:$FB,77)</f>
        <v>95</v>
      </c>
      <c r="G38" s="92">
        <f>VLOOKUP(A38,'Data Vlaue (Cr)'!C33:CB247,78,0)</f>
        <v>8.3999999999999995E-3</v>
      </c>
      <c r="H38" s="91">
        <f>VLOOKUP($A38,'Data Vlaue (Cr)'!$C:$FB,91)</f>
        <v>2321</v>
      </c>
      <c r="I38" s="91">
        <f>VLOOKUP($A38,'Data Vlaue (Cr)'!$C:$FB,93)</f>
        <v>-45</v>
      </c>
      <c r="J38" s="92">
        <f>VLOOKUP($A38,'Data Vlaue (Cr)'!$C:$FB,94)</f>
        <v>-1.9199999999999998E-2</v>
      </c>
      <c r="K38" s="91">
        <f>VLOOKUP($A38,'Data Vlaue (Cr)'!$C:$FB,95)</f>
        <v>1316</v>
      </c>
      <c r="L38" s="91">
        <f>VLOOKUP($A38,'Data Vlaue (Cr)'!$C:$FB,97)</f>
        <v>-3</v>
      </c>
      <c r="M38" s="92">
        <f>VLOOKUP($A38,'Data Vlaue (Cr)'!$C:$FB,98)</f>
        <v>-2.0999999999999999E-3</v>
      </c>
      <c r="N38" s="91">
        <f>VLOOKUP($A38,'Data Vlaue (Cr)'!$C:$FB,79)</f>
        <v>9460</v>
      </c>
      <c r="O38" s="92">
        <f>VLOOKUP($A38,'Data Vlaue (Cr)'!$C:$FB,82)</f>
        <v>6.7000000000000002E-3</v>
      </c>
    </row>
    <row r="39" spans="1:15" x14ac:dyDescent="0.25">
      <c r="A39" s="97" t="str">
        <f>'Data Vlaue (Cr)'!C34</f>
        <v>BHEL</v>
      </c>
      <c r="B39" s="142">
        <f>VLOOKUP(A39,'Data Vlaue (Cr)'!C34:CW248,99,0)</f>
        <v>9045</v>
      </c>
      <c r="C39" s="90">
        <f>VLOOKUP(A39,'Data Vlaue (Cr)'!C34:CY248,101,0)</f>
        <v>100</v>
      </c>
      <c r="D39" s="139">
        <f>VLOOKUP(A39,'Data Vlaue (Cr)'!C34:CZ248,102,0)</f>
        <v>1.11E-2</v>
      </c>
      <c r="E39" s="91">
        <f>VLOOKUP($A39,'Data Vlaue (Cr)'!$C:$FB,75)</f>
        <v>5225</v>
      </c>
      <c r="F39" s="91">
        <f>VLOOKUP($A39,'Data Vlaue (Cr)'!$C:$FB,77)</f>
        <v>2</v>
      </c>
      <c r="G39" s="92">
        <f>VLOOKUP(A39,'Data Vlaue (Cr)'!C34:CB248,78,0)</f>
        <v>2.9999999999999997E-4</v>
      </c>
      <c r="H39" s="91">
        <f>VLOOKUP($A39,'Data Vlaue (Cr)'!$C:$FB,91)</f>
        <v>2005</v>
      </c>
      <c r="I39" s="91">
        <f>VLOOKUP($A39,'Data Vlaue (Cr)'!$C:$FB,93)</f>
        <v>-117</v>
      </c>
      <c r="J39" s="92">
        <f>VLOOKUP($A39,'Data Vlaue (Cr)'!$C:$FB,94)</f>
        <v>-5.5E-2</v>
      </c>
      <c r="K39" s="91">
        <f>VLOOKUP($A39,'Data Vlaue (Cr)'!$C:$FB,95)</f>
        <v>1815</v>
      </c>
      <c r="L39" s="91">
        <f>VLOOKUP($A39,'Data Vlaue (Cr)'!$C:$FB,97)</f>
        <v>215</v>
      </c>
      <c r="M39" s="92">
        <f>VLOOKUP($A39,'Data Vlaue (Cr)'!$C:$FB,98)</f>
        <v>0.13420000000000001</v>
      </c>
      <c r="N39" s="91">
        <f>VLOOKUP($A39,'Data Vlaue (Cr)'!$C:$FB,79)</f>
        <v>5051</v>
      </c>
      <c r="O39" s="92">
        <f>VLOOKUP($A39,'Data Vlaue (Cr)'!$C:$FB,82)</f>
        <v>4.0000000000000002E-4</v>
      </c>
    </row>
    <row r="40" spans="1:15" x14ac:dyDescent="0.25">
      <c r="A40" s="97" t="str">
        <f>'Data Vlaue (Cr)'!C35</f>
        <v>BIOCON</v>
      </c>
      <c r="B40" s="142">
        <f>VLOOKUP(A40,'Data Vlaue (Cr)'!C35:CW249,99,0)</f>
        <v>2252</v>
      </c>
      <c r="C40" s="90">
        <f>VLOOKUP(A40,'Data Vlaue (Cr)'!C35:CY249,101,0)</f>
        <v>-240</v>
      </c>
      <c r="D40" s="139">
        <f>VLOOKUP(A40,'Data Vlaue (Cr)'!C35:CZ249,102,0)</f>
        <v>-9.64E-2</v>
      </c>
      <c r="E40" s="91">
        <f>VLOOKUP($A40,'Data Vlaue (Cr)'!$C:$FB,75)</f>
        <v>1172</v>
      </c>
      <c r="F40" s="91">
        <f>VLOOKUP($A40,'Data Vlaue (Cr)'!$C:$FB,77)</f>
        <v>-38</v>
      </c>
      <c r="G40" s="92">
        <f>VLOOKUP(A40,'Data Vlaue (Cr)'!C35:CB249,78,0)</f>
        <v>-3.1699999999999999E-2</v>
      </c>
      <c r="H40" s="91">
        <f>VLOOKUP($A40,'Data Vlaue (Cr)'!$C:$FB,91)</f>
        <v>648</v>
      </c>
      <c r="I40" s="91">
        <f>VLOOKUP($A40,'Data Vlaue (Cr)'!$C:$FB,93)</f>
        <v>-208</v>
      </c>
      <c r="J40" s="92">
        <f>VLOOKUP($A40,'Data Vlaue (Cr)'!$C:$FB,94)</f>
        <v>-0.24310000000000001</v>
      </c>
      <c r="K40" s="91">
        <f>VLOOKUP($A40,'Data Vlaue (Cr)'!$C:$FB,95)</f>
        <v>432</v>
      </c>
      <c r="L40" s="91">
        <f>VLOOKUP($A40,'Data Vlaue (Cr)'!$C:$FB,97)</f>
        <v>6</v>
      </c>
      <c r="M40" s="92">
        <f>VLOOKUP($A40,'Data Vlaue (Cr)'!$C:$FB,98)</f>
        <v>1.41E-2</v>
      </c>
      <c r="N40" s="91">
        <f>VLOOKUP($A40,'Data Vlaue (Cr)'!$C:$FB,79)</f>
        <v>1143</v>
      </c>
      <c r="O40" s="92">
        <f>VLOOKUP($A40,'Data Vlaue (Cr)'!$C:$FB,82)</f>
        <v>-3.2199999999999999E-2</v>
      </c>
    </row>
    <row r="41" spans="1:15" x14ac:dyDescent="0.25">
      <c r="A41" s="97" t="str">
        <f>'Data Vlaue (Cr)'!C36</f>
        <v>BLUESTARCO</v>
      </c>
      <c r="B41" s="142">
        <f>VLOOKUP(A41,'Data Vlaue (Cr)'!C36:CW250,99,0)</f>
        <v>1002</v>
      </c>
      <c r="C41" s="90">
        <f>VLOOKUP(A41,'Data Vlaue (Cr)'!C36:CY250,101,0)</f>
        <v>165</v>
      </c>
      <c r="D41" s="139">
        <f>VLOOKUP(A41,'Data Vlaue (Cr)'!C36:CZ250,102,0)</f>
        <v>0.19739999999999999</v>
      </c>
      <c r="E41" s="91">
        <f>VLOOKUP($A41,'Data Vlaue (Cr)'!$C:$FB,75)</f>
        <v>544</v>
      </c>
      <c r="F41" s="91">
        <f>VLOOKUP($A41,'Data Vlaue (Cr)'!$C:$FB,77)</f>
        <v>38</v>
      </c>
      <c r="G41" s="92">
        <f>VLOOKUP(A41,'Data Vlaue (Cr)'!C36:CB250,78,0)</f>
        <v>7.4300000000000005E-2</v>
      </c>
      <c r="H41" s="91">
        <f>VLOOKUP($A41,'Data Vlaue (Cr)'!$C:$FB,91)</f>
        <v>285</v>
      </c>
      <c r="I41" s="91">
        <f>VLOOKUP($A41,'Data Vlaue (Cr)'!$C:$FB,93)</f>
        <v>83</v>
      </c>
      <c r="J41" s="92">
        <f>VLOOKUP($A41,'Data Vlaue (Cr)'!$C:$FB,94)</f>
        <v>0.41370000000000001</v>
      </c>
      <c r="K41" s="91">
        <f>VLOOKUP($A41,'Data Vlaue (Cr)'!$C:$FB,95)</f>
        <v>173</v>
      </c>
      <c r="L41" s="91">
        <f>VLOOKUP($A41,'Data Vlaue (Cr)'!$C:$FB,97)</f>
        <v>44</v>
      </c>
      <c r="M41" s="92">
        <f>VLOOKUP($A41,'Data Vlaue (Cr)'!$C:$FB,98)</f>
        <v>0.34389999999999998</v>
      </c>
      <c r="N41" s="91">
        <f>VLOOKUP($A41,'Data Vlaue (Cr)'!$C:$FB,79)</f>
        <v>506</v>
      </c>
      <c r="O41" s="92">
        <f>VLOOKUP($A41,'Data Vlaue (Cr)'!$C:$FB,82)</f>
        <v>2.5499999999999998E-2</v>
      </c>
    </row>
    <row r="42" spans="1:15" x14ac:dyDescent="0.25">
      <c r="A42" s="97" t="str">
        <f>'Data Vlaue (Cr)'!C37</f>
        <v>BOSCHLTD</v>
      </c>
      <c r="B42" s="142">
        <f>VLOOKUP(A42,'Data Vlaue (Cr)'!C37:CW251,99,0)</f>
        <v>1283</v>
      </c>
      <c r="C42" s="90">
        <f>VLOOKUP(A42,'Data Vlaue (Cr)'!C37:CY251,101,0)</f>
        <v>37</v>
      </c>
      <c r="D42" s="139">
        <f>VLOOKUP(A42,'Data Vlaue (Cr)'!C37:CZ251,102,0)</f>
        <v>0.03</v>
      </c>
      <c r="E42" s="91">
        <f>VLOOKUP($A42,'Data Vlaue (Cr)'!$C:$FB,75)</f>
        <v>936</v>
      </c>
      <c r="F42" s="91">
        <f>VLOOKUP($A42,'Data Vlaue (Cr)'!$C:$FB,77)</f>
        <v>12</v>
      </c>
      <c r="G42" s="92">
        <f>VLOOKUP(A42,'Data Vlaue (Cr)'!C37:CB251,78,0)</f>
        <v>1.2699999999999999E-2</v>
      </c>
      <c r="H42" s="91">
        <f>VLOOKUP($A42,'Data Vlaue (Cr)'!$C:$FB,91)</f>
        <v>202</v>
      </c>
      <c r="I42" s="91">
        <f>VLOOKUP($A42,'Data Vlaue (Cr)'!$C:$FB,93)</f>
        <v>23</v>
      </c>
      <c r="J42" s="92">
        <f>VLOOKUP($A42,'Data Vlaue (Cr)'!$C:$FB,94)</f>
        <v>0.12820000000000001</v>
      </c>
      <c r="K42" s="91">
        <f>VLOOKUP($A42,'Data Vlaue (Cr)'!$C:$FB,95)</f>
        <v>145</v>
      </c>
      <c r="L42" s="91">
        <f>VLOOKUP($A42,'Data Vlaue (Cr)'!$C:$FB,97)</f>
        <v>3</v>
      </c>
      <c r="M42" s="92">
        <f>VLOOKUP($A42,'Data Vlaue (Cr)'!$C:$FB,98)</f>
        <v>1.8800000000000001E-2</v>
      </c>
      <c r="N42" s="91">
        <f>VLOOKUP($A42,'Data Vlaue (Cr)'!$C:$FB,79)</f>
        <v>924</v>
      </c>
      <c r="O42" s="92">
        <f>VLOOKUP($A42,'Data Vlaue (Cr)'!$C:$FB,82)</f>
        <v>1.21E-2</v>
      </c>
    </row>
    <row r="43" spans="1:15" x14ac:dyDescent="0.25">
      <c r="A43" s="97" t="str">
        <f>'Data Vlaue (Cr)'!C38</f>
        <v>BPCL</v>
      </c>
      <c r="B43" s="142">
        <f>VLOOKUP(A43,'Data Vlaue (Cr)'!C38:CW252,99,0)</f>
        <v>3000</v>
      </c>
      <c r="C43" s="90">
        <f>VLOOKUP(A43,'Data Vlaue (Cr)'!C38:CY252,101,0)</f>
        <v>76</v>
      </c>
      <c r="D43" s="139">
        <f>VLOOKUP(A43,'Data Vlaue (Cr)'!C38:CZ252,102,0)</f>
        <v>2.6100000000000002E-2</v>
      </c>
      <c r="E43" s="91">
        <f>VLOOKUP($A43,'Data Vlaue (Cr)'!$C:$FB,75)</f>
        <v>1782</v>
      </c>
      <c r="F43" s="91">
        <f>VLOOKUP($A43,'Data Vlaue (Cr)'!$C:$FB,77)</f>
        <v>-3</v>
      </c>
      <c r="G43" s="92">
        <f>VLOOKUP(A43,'Data Vlaue (Cr)'!C38:CB252,78,0)</f>
        <v>-1.8E-3</v>
      </c>
      <c r="H43" s="91">
        <f>VLOOKUP($A43,'Data Vlaue (Cr)'!$C:$FB,91)</f>
        <v>729</v>
      </c>
      <c r="I43" s="91">
        <f>VLOOKUP($A43,'Data Vlaue (Cr)'!$C:$FB,93)</f>
        <v>48</v>
      </c>
      <c r="J43" s="92">
        <f>VLOOKUP($A43,'Data Vlaue (Cr)'!$C:$FB,94)</f>
        <v>6.9800000000000001E-2</v>
      </c>
      <c r="K43" s="91">
        <f>VLOOKUP($A43,'Data Vlaue (Cr)'!$C:$FB,95)</f>
        <v>489</v>
      </c>
      <c r="L43" s="91">
        <f>VLOOKUP($A43,'Data Vlaue (Cr)'!$C:$FB,97)</f>
        <v>32</v>
      </c>
      <c r="M43" s="92">
        <f>VLOOKUP($A43,'Data Vlaue (Cr)'!$C:$FB,98)</f>
        <v>6.9800000000000001E-2</v>
      </c>
      <c r="N43" s="91">
        <f>VLOOKUP($A43,'Data Vlaue (Cr)'!$C:$FB,79)</f>
        <v>1622</v>
      </c>
      <c r="O43" s="92">
        <f>VLOOKUP($A43,'Data Vlaue (Cr)'!$C:$FB,82)</f>
        <v>-1.5E-3</v>
      </c>
    </row>
    <row r="44" spans="1:15" x14ac:dyDescent="0.25">
      <c r="A44" s="97" t="str">
        <f>'Data Vlaue (Cr)'!C39</f>
        <v>BRITANNIA</v>
      </c>
      <c r="B44" s="142">
        <f>VLOOKUP(A44,'Data Vlaue (Cr)'!C39:CW253,99,0)</f>
        <v>2455</v>
      </c>
      <c r="C44" s="90">
        <f>VLOOKUP(A44,'Data Vlaue (Cr)'!C39:CY253,101,0)</f>
        <v>124</v>
      </c>
      <c r="D44" s="139">
        <f>VLOOKUP(A44,'Data Vlaue (Cr)'!C39:CZ253,102,0)</f>
        <v>5.33E-2</v>
      </c>
      <c r="E44" s="91">
        <f>VLOOKUP($A44,'Data Vlaue (Cr)'!$C:$FB,75)</f>
        <v>1573</v>
      </c>
      <c r="F44" s="91">
        <f>VLOOKUP($A44,'Data Vlaue (Cr)'!$C:$FB,77)</f>
        <v>-15</v>
      </c>
      <c r="G44" s="92">
        <f>VLOOKUP(A44,'Data Vlaue (Cr)'!C39:CB253,78,0)</f>
        <v>-9.4000000000000004E-3</v>
      </c>
      <c r="H44" s="91">
        <f>VLOOKUP($A44,'Data Vlaue (Cr)'!$C:$FB,91)</f>
        <v>496</v>
      </c>
      <c r="I44" s="91">
        <f>VLOOKUP($A44,'Data Vlaue (Cr)'!$C:$FB,93)</f>
        <v>42</v>
      </c>
      <c r="J44" s="92">
        <f>VLOOKUP($A44,'Data Vlaue (Cr)'!$C:$FB,94)</f>
        <v>9.3399999999999997E-2</v>
      </c>
      <c r="K44" s="91">
        <f>VLOOKUP($A44,'Data Vlaue (Cr)'!$C:$FB,95)</f>
        <v>387</v>
      </c>
      <c r="L44" s="91">
        <f>VLOOKUP($A44,'Data Vlaue (Cr)'!$C:$FB,97)</f>
        <v>97</v>
      </c>
      <c r="M44" s="92">
        <f>VLOOKUP($A44,'Data Vlaue (Cr)'!$C:$FB,98)</f>
        <v>0.3342</v>
      </c>
      <c r="N44" s="91">
        <f>VLOOKUP($A44,'Data Vlaue (Cr)'!$C:$FB,79)</f>
        <v>1372</v>
      </c>
      <c r="O44" s="92">
        <f>VLOOKUP($A44,'Data Vlaue (Cr)'!$C:$FB,82)</f>
        <v>-1.46E-2</v>
      </c>
    </row>
    <row r="45" spans="1:15" x14ac:dyDescent="0.25">
      <c r="A45" s="97" t="str">
        <f>'Data Vlaue (Cr)'!C40</f>
        <v>BSE</v>
      </c>
      <c r="B45" s="142">
        <f>VLOOKUP(A45,'Data Vlaue (Cr)'!C40:CW254,99,0)</f>
        <v>7309</v>
      </c>
      <c r="C45" s="90">
        <f>VLOOKUP(A45,'Data Vlaue (Cr)'!C40:CY254,101,0)</f>
        <v>637</v>
      </c>
      <c r="D45" s="139">
        <f>VLOOKUP(A45,'Data Vlaue (Cr)'!C40:CZ254,102,0)</f>
        <v>9.5399999999999999E-2</v>
      </c>
      <c r="E45" s="91">
        <f>VLOOKUP($A45,'Data Vlaue (Cr)'!$C:$FB,75)</f>
        <v>3065</v>
      </c>
      <c r="F45" s="91">
        <f>VLOOKUP($A45,'Data Vlaue (Cr)'!$C:$FB,77)</f>
        <v>48</v>
      </c>
      <c r="G45" s="92">
        <f>VLOOKUP(A45,'Data Vlaue (Cr)'!C40:CB254,78,0)</f>
        <v>1.5900000000000001E-2</v>
      </c>
      <c r="H45" s="91">
        <f>VLOOKUP($A45,'Data Vlaue (Cr)'!$C:$FB,91)</f>
        <v>2197</v>
      </c>
      <c r="I45" s="91">
        <f>VLOOKUP($A45,'Data Vlaue (Cr)'!$C:$FB,93)</f>
        <v>221</v>
      </c>
      <c r="J45" s="92">
        <f>VLOOKUP($A45,'Data Vlaue (Cr)'!$C:$FB,94)</f>
        <v>0.1118</v>
      </c>
      <c r="K45" s="91">
        <f>VLOOKUP($A45,'Data Vlaue (Cr)'!$C:$FB,95)</f>
        <v>2047</v>
      </c>
      <c r="L45" s="91">
        <f>VLOOKUP($A45,'Data Vlaue (Cr)'!$C:$FB,97)</f>
        <v>368</v>
      </c>
      <c r="M45" s="92">
        <f>VLOOKUP($A45,'Data Vlaue (Cr)'!$C:$FB,98)</f>
        <v>0.21920000000000001</v>
      </c>
      <c r="N45" s="91">
        <f>VLOOKUP($A45,'Data Vlaue (Cr)'!$C:$FB,79)</f>
        <v>2806</v>
      </c>
      <c r="O45" s="92">
        <f>VLOOKUP($A45,'Data Vlaue (Cr)'!$C:$FB,82)</f>
        <v>1.3599999999999999E-2</v>
      </c>
    </row>
    <row r="46" spans="1:15" x14ac:dyDescent="0.25">
      <c r="A46" s="97" t="str">
        <f>'Data Vlaue (Cr)'!C41</f>
        <v>CAMS</v>
      </c>
      <c r="B46" s="142">
        <f>VLOOKUP(A46,'Data Vlaue (Cr)'!C41:CW255,99,0)</f>
        <v>1302</v>
      </c>
      <c r="C46" s="90">
        <f>VLOOKUP(A46,'Data Vlaue (Cr)'!C41:CY255,101,0)</f>
        <v>-5</v>
      </c>
      <c r="D46" s="139">
        <f>VLOOKUP(A46,'Data Vlaue (Cr)'!C41:CZ255,102,0)</f>
        <v>-4.0000000000000001E-3</v>
      </c>
      <c r="E46" s="91">
        <f>VLOOKUP($A46,'Data Vlaue (Cr)'!$C:$FB,75)</f>
        <v>601</v>
      </c>
      <c r="F46" s="91">
        <f>VLOOKUP($A46,'Data Vlaue (Cr)'!$C:$FB,77)</f>
        <v>16</v>
      </c>
      <c r="G46" s="92">
        <f>VLOOKUP(A46,'Data Vlaue (Cr)'!C41:CB255,78,0)</f>
        <v>2.69E-2</v>
      </c>
      <c r="H46" s="91">
        <f>VLOOKUP($A46,'Data Vlaue (Cr)'!$C:$FB,91)</f>
        <v>359</v>
      </c>
      <c r="I46" s="91">
        <f>VLOOKUP($A46,'Data Vlaue (Cr)'!$C:$FB,93)</f>
        <v>4</v>
      </c>
      <c r="J46" s="92">
        <f>VLOOKUP($A46,'Data Vlaue (Cr)'!$C:$FB,94)</f>
        <v>1.1900000000000001E-2</v>
      </c>
      <c r="K46" s="91">
        <f>VLOOKUP($A46,'Data Vlaue (Cr)'!$C:$FB,95)</f>
        <v>342</v>
      </c>
      <c r="L46" s="91">
        <f>VLOOKUP($A46,'Data Vlaue (Cr)'!$C:$FB,97)</f>
        <v>-25</v>
      </c>
      <c r="M46" s="92">
        <f>VLOOKUP($A46,'Data Vlaue (Cr)'!$C:$FB,98)</f>
        <v>-6.8699999999999997E-2</v>
      </c>
      <c r="N46" s="91">
        <f>VLOOKUP($A46,'Data Vlaue (Cr)'!$C:$FB,79)</f>
        <v>561</v>
      </c>
      <c r="O46" s="92">
        <f>VLOOKUP($A46,'Data Vlaue (Cr)'!$C:$FB,82)</f>
        <v>2.3E-2</v>
      </c>
    </row>
    <row r="47" spans="1:15" x14ac:dyDescent="0.25">
      <c r="A47" s="97" t="str">
        <f>'Data Vlaue (Cr)'!C42</f>
        <v>CANBK</v>
      </c>
      <c r="B47" s="142">
        <f>VLOOKUP(A47,'Data Vlaue (Cr)'!C42:CW256,99,0)</f>
        <v>4995</v>
      </c>
      <c r="C47" s="90">
        <f>VLOOKUP(A47,'Data Vlaue (Cr)'!C42:CY256,101,0)</f>
        <v>82</v>
      </c>
      <c r="D47" s="139">
        <f>VLOOKUP(A47,'Data Vlaue (Cr)'!C42:CZ256,102,0)</f>
        <v>1.66E-2</v>
      </c>
      <c r="E47" s="91">
        <f>VLOOKUP($A47,'Data Vlaue (Cr)'!$C:$FB,75)</f>
        <v>3096</v>
      </c>
      <c r="F47" s="91">
        <f>VLOOKUP($A47,'Data Vlaue (Cr)'!$C:$FB,77)</f>
        <v>13</v>
      </c>
      <c r="G47" s="92">
        <f>VLOOKUP(A47,'Data Vlaue (Cr)'!C42:CB256,78,0)</f>
        <v>4.4000000000000003E-3</v>
      </c>
      <c r="H47" s="91">
        <f>VLOOKUP($A47,'Data Vlaue (Cr)'!$C:$FB,91)</f>
        <v>973</v>
      </c>
      <c r="I47" s="91">
        <f>VLOOKUP($A47,'Data Vlaue (Cr)'!$C:$FB,93)</f>
        <v>30</v>
      </c>
      <c r="J47" s="92">
        <f>VLOOKUP($A47,'Data Vlaue (Cr)'!$C:$FB,94)</f>
        <v>3.2199999999999999E-2</v>
      </c>
      <c r="K47" s="91">
        <f>VLOOKUP($A47,'Data Vlaue (Cr)'!$C:$FB,95)</f>
        <v>925</v>
      </c>
      <c r="L47" s="91">
        <f>VLOOKUP($A47,'Data Vlaue (Cr)'!$C:$FB,97)</f>
        <v>38</v>
      </c>
      <c r="M47" s="92">
        <f>VLOOKUP($A47,'Data Vlaue (Cr)'!$C:$FB,98)</f>
        <v>4.2500000000000003E-2</v>
      </c>
      <c r="N47" s="91">
        <f>VLOOKUP($A47,'Data Vlaue (Cr)'!$C:$FB,79)</f>
        <v>2752</v>
      </c>
      <c r="O47" s="92">
        <f>VLOOKUP($A47,'Data Vlaue (Cr)'!$C:$FB,82)</f>
        <v>-1.9E-3</v>
      </c>
    </row>
    <row r="48" spans="1:15" x14ac:dyDescent="0.25">
      <c r="A48" s="97" t="str">
        <f>'Data Vlaue (Cr)'!C43</f>
        <v>CDSL</v>
      </c>
      <c r="B48" s="142">
        <f>VLOOKUP(A48,'Data Vlaue (Cr)'!C43:CW257,99,0)</f>
        <v>3079</v>
      </c>
      <c r="C48" s="90">
        <f>VLOOKUP(A48,'Data Vlaue (Cr)'!C43:CY257,101,0)</f>
        <v>32</v>
      </c>
      <c r="D48" s="139">
        <f>VLOOKUP(A48,'Data Vlaue (Cr)'!C43:CZ257,102,0)</f>
        <v>1.0500000000000001E-2</v>
      </c>
      <c r="E48" s="91">
        <f>VLOOKUP($A48,'Data Vlaue (Cr)'!$C:$FB,75)</f>
        <v>1671</v>
      </c>
      <c r="F48" s="91">
        <f>VLOOKUP($A48,'Data Vlaue (Cr)'!$C:$FB,77)</f>
        <v>-4</v>
      </c>
      <c r="G48" s="92">
        <f>VLOOKUP(A48,'Data Vlaue (Cr)'!C43:CB257,78,0)</f>
        <v>-2.3999999999999998E-3</v>
      </c>
      <c r="H48" s="91">
        <f>VLOOKUP($A48,'Data Vlaue (Cr)'!$C:$FB,91)</f>
        <v>805</v>
      </c>
      <c r="I48" s="91">
        <f>VLOOKUP($A48,'Data Vlaue (Cr)'!$C:$FB,93)</f>
        <v>14</v>
      </c>
      <c r="J48" s="92">
        <f>VLOOKUP($A48,'Data Vlaue (Cr)'!$C:$FB,94)</f>
        <v>1.72E-2</v>
      </c>
      <c r="K48" s="91">
        <f>VLOOKUP($A48,'Data Vlaue (Cr)'!$C:$FB,95)</f>
        <v>604</v>
      </c>
      <c r="L48" s="91">
        <f>VLOOKUP($A48,'Data Vlaue (Cr)'!$C:$FB,97)</f>
        <v>23</v>
      </c>
      <c r="M48" s="92">
        <f>VLOOKUP($A48,'Data Vlaue (Cr)'!$C:$FB,98)</f>
        <v>3.8899999999999997E-2</v>
      </c>
      <c r="N48" s="91">
        <f>VLOOKUP($A48,'Data Vlaue (Cr)'!$C:$FB,79)</f>
        <v>1392</v>
      </c>
      <c r="O48" s="92">
        <f>VLOOKUP($A48,'Data Vlaue (Cr)'!$C:$FB,82)</f>
        <v>-5.3600000000000002E-2</v>
      </c>
    </row>
    <row r="49" spans="1:15" x14ac:dyDescent="0.25">
      <c r="A49" s="97" t="str">
        <f>'Data Vlaue (Cr)'!C44</f>
        <v>CGPOWER</v>
      </c>
      <c r="B49" s="142">
        <f>VLOOKUP(A49,'Data Vlaue (Cr)'!C44:CW258,99,0)</f>
        <v>3119</v>
      </c>
      <c r="C49" s="90">
        <f>VLOOKUP(A49,'Data Vlaue (Cr)'!C44:CY258,101,0)</f>
        <v>550</v>
      </c>
      <c r="D49" s="139">
        <f>VLOOKUP(A49,'Data Vlaue (Cr)'!C44:CZ258,102,0)</f>
        <v>0.214</v>
      </c>
      <c r="E49" s="91">
        <f>VLOOKUP($A49,'Data Vlaue (Cr)'!$C:$FB,75)</f>
        <v>2111</v>
      </c>
      <c r="F49" s="91">
        <f>VLOOKUP($A49,'Data Vlaue (Cr)'!$C:$FB,77)</f>
        <v>162</v>
      </c>
      <c r="G49" s="92">
        <f>VLOOKUP(A49,'Data Vlaue (Cr)'!C44:CB258,78,0)</f>
        <v>8.3099999999999993E-2</v>
      </c>
      <c r="H49" s="91">
        <f>VLOOKUP($A49,'Data Vlaue (Cr)'!$C:$FB,91)</f>
        <v>624</v>
      </c>
      <c r="I49" s="91">
        <f>VLOOKUP($A49,'Data Vlaue (Cr)'!$C:$FB,93)</f>
        <v>218</v>
      </c>
      <c r="J49" s="92">
        <f>VLOOKUP($A49,'Data Vlaue (Cr)'!$C:$FB,94)</f>
        <v>0.53680000000000005</v>
      </c>
      <c r="K49" s="91">
        <f>VLOOKUP($A49,'Data Vlaue (Cr)'!$C:$FB,95)</f>
        <v>384</v>
      </c>
      <c r="L49" s="91">
        <f>VLOOKUP($A49,'Data Vlaue (Cr)'!$C:$FB,97)</f>
        <v>170</v>
      </c>
      <c r="M49" s="92">
        <f>VLOOKUP($A49,'Data Vlaue (Cr)'!$C:$FB,98)</f>
        <v>0.79400000000000004</v>
      </c>
      <c r="N49" s="91">
        <f>VLOOKUP($A49,'Data Vlaue (Cr)'!$C:$FB,79)</f>
        <v>1871</v>
      </c>
      <c r="O49" s="92">
        <f>VLOOKUP($A49,'Data Vlaue (Cr)'!$C:$FB,82)</f>
        <v>8.9700000000000002E-2</v>
      </c>
    </row>
    <row r="50" spans="1:15" x14ac:dyDescent="0.25">
      <c r="A50" s="97" t="str">
        <f>'Data Vlaue (Cr)'!C45</f>
        <v>CHOLAFIN</v>
      </c>
      <c r="B50" s="142">
        <f>VLOOKUP(A50,'Data Vlaue (Cr)'!C45:CW259,99,0)</f>
        <v>4156</v>
      </c>
      <c r="C50" s="90">
        <f>VLOOKUP(A50,'Data Vlaue (Cr)'!C45:CY259,101,0)</f>
        <v>47</v>
      </c>
      <c r="D50" s="139">
        <f>VLOOKUP(A50,'Data Vlaue (Cr)'!C45:CZ259,102,0)</f>
        <v>1.14E-2</v>
      </c>
      <c r="E50" s="91">
        <f>VLOOKUP($A50,'Data Vlaue (Cr)'!$C:$FB,75)</f>
        <v>3169</v>
      </c>
      <c r="F50" s="91">
        <f>VLOOKUP($A50,'Data Vlaue (Cr)'!$C:$FB,77)</f>
        <v>-46</v>
      </c>
      <c r="G50" s="92">
        <f>VLOOKUP(A50,'Data Vlaue (Cr)'!C45:CB259,78,0)</f>
        <v>-1.43E-2</v>
      </c>
      <c r="H50" s="91">
        <f>VLOOKUP($A50,'Data Vlaue (Cr)'!$C:$FB,91)</f>
        <v>525</v>
      </c>
      <c r="I50" s="91">
        <f>VLOOKUP($A50,'Data Vlaue (Cr)'!$C:$FB,93)</f>
        <v>53</v>
      </c>
      <c r="J50" s="92">
        <f>VLOOKUP($A50,'Data Vlaue (Cr)'!$C:$FB,94)</f>
        <v>0.11269999999999999</v>
      </c>
      <c r="K50" s="91">
        <f>VLOOKUP($A50,'Data Vlaue (Cr)'!$C:$FB,95)</f>
        <v>462</v>
      </c>
      <c r="L50" s="91">
        <f>VLOOKUP($A50,'Data Vlaue (Cr)'!$C:$FB,97)</f>
        <v>39</v>
      </c>
      <c r="M50" s="92">
        <f>VLOOKUP($A50,'Data Vlaue (Cr)'!$C:$FB,98)</f>
        <v>9.3200000000000005E-2</v>
      </c>
      <c r="N50" s="91">
        <f>VLOOKUP($A50,'Data Vlaue (Cr)'!$C:$FB,79)</f>
        <v>2993</v>
      </c>
      <c r="O50" s="92">
        <f>VLOOKUP($A50,'Data Vlaue (Cr)'!$C:$FB,82)</f>
        <v>-1.5599999999999999E-2</v>
      </c>
    </row>
    <row r="51" spans="1:15" x14ac:dyDescent="0.25">
      <c r="A51" s="97" t="str">
        <f>'Data Vlaue (Cr)'!C46</f>
        <v>CIPLA</v>
      </c>
      <c r="B51" s="142">
        <f>VLOOKUP(A51,'Data Vlaue (Cr)'!C46:CW260,99,0)</f>
        <v>3002</v>
      </c>
      <c r="C51" s="90">
        <f>VLOOKUP(A51,'Data Vlaue (Cr)'!C46:CY260,101,0)</f>
        <v>47</v>
      </c>
      <c r="D51" s="139">
        <f>VLOOKUP(A51,'Data Vlaue (Cr)'!C46:CZ260,102,0)</f>
        <v>1.5800000000000002E-2</v>
      </c>
      <c r="E51" s="91">
        <f>VLOOKUP($A51,'Data Vlaue (Cr)'!$C:$FB,75)</f>
        <v>1814</v>
      </c>
      <c r="F51" s="91">
        <f>VLOOKUP($A51,'Data Vlaue (Cr)'!$C:$FB,77)</f>
        <v>-41</v>
      </c>
      <c r="G51" s="92">
        <f>VLOOKUP(A51,'Data Vlaue (Cr)'!C46:CB260,78,0)</f>
        <v>-2.1999999999999999E-2</v>
      </c>
      <c r="H51" s="91">
        <f>VLOOKUP($A51,'Data Vlaue (Cr)'!$C:$FB,91)</f>
        <v>689</v>
      </c>
      <c r="I51" s="91">
        <f>VLOOKUP($A51,'Data Vlaue (Cr)'!$C:$FB,93)</f>
        <v>26</v>
      </c>
      <c r="J51" s="92">
        <f>VLOOKUP($A51,'Data Vlaue (Cr)'!$C:$FB,94)</f>
        <v>0.04</v>
      </c>
      <c r="K51" s="91">
        <f>VLOOKUP($A51,'Data Vlaue (Cr)'!$C:$FB,95)</f>
        <v>499</v>
      </c>
      <c r="L51" s="91">
        <f>VLOOKUP($A51,'Data Vlaue (Cr)'!$C:$FB,97)</f>
        <v>61</v>
      </c>
      <c r="M51" s="92">
        <f>VLOOKUP($A51,'Data Vlaue (Cr)'!$C:$FB,98)</f>
        <v>0.1399</v>
      </c>
      <c r="N51" s="91">
        <f>VLOOKUP($A51,'Data Vlaue (Cr)'!$C:$FB,79)</f>
        <v>1755</v>
      </c>
      <c r="O51" s="92">
        <f>VLOOKUP($A51,'Data Vlaue (Cr)'!$C:$FB,82)</f>
        <v>-2.5999999999999999E-2</v>
      </c>
    </row>
    <row r="52" spans="1:15" x14ac:dyDescent="0.25">
      <c r="A52" s="97" t="str">
        <f>'Data Vlaue (Cr)'!C47</f>
        <v>COALINDIA</v>
      </c>
      <c r="B52" s="142">
        <f>VLOOKUP(A52,'Data Vlaue (Cr)'!C47:CW261,99,0)</f>
        <v>4746</v>
      </c>
      <c r="C52" s="90">
        <f>VLOOKUP(A52,'Data Vlaue (Cr)'!C47:CY261,101,0)</f>
        <v>99</v>
      </c>
      <c r="D52" s="139">
        <f>VLOOKUP(A52,'Data Vlaue (Cr)'!C47:CZ261,102,0)</f>
        <v>2.1399999999999999E-2</v>
      </c>
      <c r="E52" s="91">
        <f>VLOOKUP($A52,'Data Vlaue (Cr)'!$C:$FB,75)</f>
        <v>2447</v>
      </c>
      <c r="F52" s="91">
        <f>VLOOKUP($A52,'Data Vlaue (Cr)'!$C:$FB,77)</f>
        <v>-29</v>
      </c>
      <c r="G52" s="92">
        <f>VLOOKUP(A52,'Data Vlaue (Cr)'!C47:CB261,78,0)</f>
        <v>-1.1599999999999999E-2</v>
      </c>
      <c r="H52" s="91">
        <f>VLOOKUP($A52,'Data Vlaue (Cr)'!$C:$FB,91)</f>
        <v>1395</v>
      </c>
      <c r="I52" s="91">
        <f>VLOOKUP($A52,'Data Vlaue (Cr)'!$C:$FB,93)</f>
        <v>68</v>
      </c>
      <c r="J52" s="92">
        <f>VLOOKUP($A52,'Data Vlaue (Cr)'!$C:$FB,94)</f>
        <v>5.1200000000000002E-2</v>
      </c>
      <c r="K52" s="91">
        <f>VLOOKUP($A52,'Data Vlaue (Cr)'!$C:$FB,95)</f>
        <v>904</v>
      </c>
      <c r="L52" s="91">
        <f>VLOOKUP($A52,'Data Vlaue (Cr)'!$C:$FB,97)</f>
        <v>60</v>
      </c>
      <c r="M52" s="92">
        <f>VLOOKUP($A52,'Data Vlaue (Cr)'!$C:$FB,98)</f>
        <v>7.1199999999999999E-2</v>
      </c>
      <c r="N52" s="91">
        <f>VLOOKUP($A52,'Data Vlaue (Cr)'!$C:$FB,79)</f>
        <v>2344</v>
      </c>
      <c r="O52" s="92">
        <f>VLOOKUP($A52,'Data Vlaue (Cr)'!$C:$FB,82)</f>
        <v>-1.43E-2</v>
      </c>
    </row>
    <row r="53" spans="1:15" x14ac:dyDescent="0.25">
      <c r="A53" s="97" t="str">
        <f>'Data Vlaue (Cr)'!C48</f>
        <v>COCHINSHIP</v>
      </c>
      <c r="B53" s="142">
        <f>VLOOKUP(A53,'Data Vlaue (Cr)'!C48:CW262,99,0)</f>
        <v>832</v>
      </c>
      <c r="C53" s="90">
        <f>VLOOKUP(A53,'Data Vlaue (Cr)'!C48:CY262,101,0)</f>
        <v>27</v>
      </c>
      <c r="D53" s="139">
        <f>VLOOKUP(A53,'Data Vlaue (Cr)'!C48:CZ262,102,0)</f>
        <v>3.3300000000000003E-2</v>
      </c>
      <c r="E53" s="91">
        <f>VLOOKUP($A53,'Data Vlaue (Cr)'!$C:$FB,75)</f>
        <v>441</v>
      </c>
      <c r="F53" s="91">
        <f>VLOOKUP($A53,'Data Vlaue (Cr)'!$C:$FB,77)</f>
        <v>-3</v>
      </c>
      <c r="G53" s="92">
        <f>VLOOKUP(A53,'Data Vlaue (Cr)'!C48:CB262,78,0)</f>
        <v>-6.1999999999999998E-3</v>
      </c>
      <c r="H53" s="91">
        <f>VLOOKUP($A53,'Data Vlaue (Cr)'!$C:$FB,91)</f>
        <v>234</v>
      </c>
      <c r="I53" s="91">
        <f>VLOOKUP($A53,'Data Vlaue (Cr)'!$C:$FB,93)</f>
        <v>20</v>
      </c>
      <c r="J53" s="92">
        <f>VLOOKUP($A53,'Data Vlaue (Cr)'!$C:$FB,94)</f>
        <v>9.1800000000000007E-2</v>
      </c>
      <c r="K53" s="91">
        <f>VLOOKUP($A53,'Data Vlaue (Cr)'!$C:$FB,95)</f>
        <v>158</v>
      </c>
      <c r="L53" s="91">
        <f>VLOOKUP($A53,'Data Vlaue (Cr)'!$C:$FB,97)</f>
        <v>10</v>
      </c>
      <c r="M53" s="92">
        <f>VLOOKUP($A53,'Data Vlaue (Cr)'!$C:$FB,98)</f>
        <v>6.7100000000000007E-2</v>
      </c>
      <c r="N53" s="91">
        <f>VLOOKUP($A53,'Data Vlaue (Cr)'!$C:$FB,79)</f>
        <v>426</v>
      </c>
      <c r="O53" s="92">
        <f>VLOOKUP($A53,'Data Vlaue (Cr)'!$C:$FB,82)</f>
        <v>-2.0999999999999999E-3</v>
      </c>
    </row>
    <row r="54" spans="1:15" x14ac:dyDescent="0.25">
      <c r="A54" s="97" t="str">
        <f>'Data Vlaue (Cr)'!C49</f>
        <v>COFORGE</v>
      </c>
      <c r="B54" s="142">
        <f>VLOOKUP(A54,'Data Vlaue (Cr)'!C49:CW263,99,0)</f>
        <v>4927</v>
      </c>
      <c r="C54" s="90">
        <f>VLOOKUP(A54,'Data Vlaue (Cr)'!C49:CY263,101,0)</f>
        <v>953</v>
      </c>
      <c r="D54" s="139">
        <f>VLOOKUP(A54,'Data Vlaue (Cr)'!C49:CZ263,102,0)</f>
        <v>0.23980000000000001</v>
      </c>
      <c r="E54" s="91">
        <f>VLOOKUP($A54,'Data Vlaue (Cr)'!$C:$FB,75)</f>
        <v>2691</v>
      </c>
      <c r="F54" s="91">
        <f>VLOOKUP($A54,'Data Vlaue (Cr)'!$C:$FB,77)</f>
        <v>262</v>
      </c>
      <c r="G54" s="92">
        <f>VLOOKUP(A54,'Data Vlaue (Cr)'!C49:CB263,78,0)</f>
        <v>0.1079</v>
      </c>
      <c r="H54" s="91">
        <f>VLOOKUP($A54,'Data Vlaue (Cr)'!$C:$FB,91)</f>
        <v>1281</v>
      </c>
      <c r="I54" s="91">
        <f>VLOOKUP($A54,'Data Vlaue (Cr)'!$C:$FB,93)</f>
        <v>306</v>
      </c>
      <c r="J54" s="92">
        <f>VLOOKUP($A54,'Data Vlaue (Cr)'!$C:$FB,94)</f>
        <v>0.31380000000000002</v>
      </c>
      <c r="K54" s="91">
        <f>VLOOKUP($A54,'Data Vlaue (Cr)'!$C:$FB,95)</f>
        <v>956</v>
      </c>
      <c r="L54" s="91">
        <f>VLOOKUP($A54,'Data Vlaue (Cr)'!$C:$FB,97)</f>
        <v>385</v>
      </c>
      <c r="M54" s="92">
        <f>VLOOKUP($A54,'Data Vlaue (Cr)'!$C:$FB,98)</f>
        <v>0.67449999999999999</v>
      </c>
      <c r="N54" s="91">
        <f>VLOOKUP($A54,'Data Vlaue (Cr)'!$C:$FB,79)</f>
        <v>2598</v>
      </c>
      <c r="O54" s="92">
        <f>VLOOKUP($A54,'Data Vlaue (Cr)'!$C:$FB,82)</f>
        <v>0.10390000000000001</v>
      </c>
    </row>
    <row r="55" spans="1:15" x14ac:dyDescent="0.25">
      <c r="A55" s="97" t="str">
        <f>'Data Vlaue (Cr)'!C50</f>
        <v>COLPAL</v>
      </c>
      <c r="B55" s="142">
        <f>VLOOKUP(A55,'Data Vlaue (Cr)'!C50:CW264,99,0)</f>
        <v>1568</v>
      </c>
      <c r="C55" s="90">
        <f>VLOOKUP(A55,'Data Vlaue (Cr)'!C50:CY264,101,0)</f>
        <v>18</v>
      </c>
      <c r="D55" s="139">
        <f>VLOOKUP(A55,'Data Vlaue (Cr)'!C50:CZ264,102,0)</f>
        <v>1.17E-2</v>
      </c>
      <c r="E55" s="91">
        <f>VLOOKUP($A55,'Data Vlaue (Cr)'!$C:$FB,75)</f>
        <v>1084</v>
      </c>
      <c r="F55" s="91">
        <f>VLOOKUP($A55,'Data Vlaue (Cr)'!$C:$FB,77)</f>
        <v>-10</v>
      </c>
      <c r="G55" s="92">
        <f>VLOOKUP(A55,'Data Vlaue (Cr)'!C50:CB264,78,0)</f>
        <v>-8.8999999999999999E-3</v>
      </c>
      <c r="H55" s="91">
        <f>VLOOKUP($A55,'Data Vlaue (Cr)'!$C:$FB,91)</f>
        <v>287</v>
      </c>
      <c r="I55" s="91">
        <f>VLOOKUP($A55,'Data Vlaue (Cr)'!$C:$FB,93)</f>
        <v>17</v>
      </c>
      <c r="J55" s="92">
        <f>VLOOKUP($A55,'Data Vlaue (Cr)'!$C:$FB,94)</f>
        <v>6.4600000000000005E-2</v>
      </c>
      <c r="K55" s="91">
        <f>VLOOKUP($A55,'Data Vlaue (Cr)'!$C:$FB,95)</f>
        <v>197</v>
      </c>
      <c r="L55" s="91">
        <f>VLOOKUP($A55,'Data Vlaue (Cr)'!$C:$FB,97)</f>
        <v>10</v>
      </c>
      <c r="M55" s="92">
        <f>VLOOKUP($A55,'Data Vlaue (Cr)'!$C:$FB,98)</f>
        <v>5.5599999999999997E-2</v>
      </c>
      <c r="N55" s="91">
        <f>VLOOKUP($A55,'Data Vlaue (Cr)'!$C:$FB,79)</f>
        <v>1045</v>
      </c>
      <c r="O55" s="92">
        <f>VLOOKUP($A55,'Data Vlaue (Cr)'!$C:$FB,82)</f>
        <v>-1.11E-2</v>
      </c>
    </row>
    <row r="56" spans="1:15" x14ac:dyDescent="0.25">
      <c r="A56" s="97" t="str">
        <f>'Data Vlaue (Cr)'!C51</f>
        <v>CONCOR</v>
      </c>
      <c r="B56" s="142">
        <f>VLOOKUP(A56,'Data Vlaue (Cr)'!C51:CW265,99,0)</f>
        <v>1732</v>
      </c>
      <c r="C56" s="90">
        <f>VLOOKUP(A56,'Data Vlaue (Cr)'!C51:CY265,101,0)</f>
        <v>61</v>
      </c>
      <c r="D56" s="139">
        <f>VLOOKUP(A56,'Data Vlaue (Cr)'!C51:CZ265,102,0)</f>
        <v>3.6799999999999999E-2</v>
      </c>
      <c r="E56" s="91">
        <f>VLOOKUP($A56,'Data Vlaue (Cr)'!$C:$FB,75)</f>
        <v>1209</v>
      </c>
      <c r="F56" s="91">
        <f>VLOOKUP($A56,'Data Vlaue (Cr)'!$C:$FB,77)</f>
        <v>-7</v>
      </c>
      <c r="G56" s="92">
        <f>VLOOKUP(A56,'Data Vlaue (Cr)'!C51:CB265,78,0)</f>
        <v>-5.4999999999999997E-3</v>
      </c>
      <c r="H56" s="91">
        <f>VLOOKUP($A56,'Data Vlaue (Cr)'!$C:$FB,91)</f>
        <v>302</v>
      </c>
      <c r="I56" s="91">
        <f>VLOOKUP($A56,'Data Vlaue (Cr)'!$C:$FB,93)</f>
        <v>28</v>
      </c>
      <c r="J56" s="92">
        <f>VLOOKUP($A56,'Data Vlaue (Cr)'!$C:$FB,94)</f>
        <v>0.1021</v>
      </c>
      <c r="K56" s="91">
        <f>VLOOKUP($A56,'Data Vlaue (Cr)'!$C:$FB,95)</f>
        <v>222</v>
      </c>
      <c r="L56" s="91">
        <f>VLOOKUP($A56,'Data Vlaue (Cr)'!$C:$FB,97)</f>
        <v>40</v>
      </c>
      <c r="M56" s="92">
        <f>VLOOKUP($A56,'Data Vlaue (Cr)'!$C:$FB,98)</f>
        <v>0.22120000000000001</v>
      </c>
      <c r="N56" s="91">
        <f>VLOOKUP($A56,'Data Vlaue (Cr)'!$C:$FB,79)</f>
        <v>1181</v>
      </c>
      <c r="O56" s="92">
        <f>VLOOKUP($A56,'Data Vlaue (Cr)'!$C:$FB,82)</f>
        <v>-6.4999999999999997E-3</v>
      </c>
    </row>
    <row r="57" spans="1:15" x14ac:dyDescent="0.25">
      <c r="A57" s="97" t="str">
        <f>'Data Vlaue (Cr)'!C52</f>
        <v>CROMPTON</v>
      </c>
      <c r="B57" s="142">
        <f>VLOOKUP(A57,'Data Vlaue (Cr)'!C52:CW266,99,0)</f>
        <v>2224</v>
      </c>
      <c r="C57" s="90">
        <f>VLOOKUP(A57,'Data Vlaue (Cr)'!C52:CY266,101,0)</f>
        <v>95</v>
      </c>
      <c r="D57" s="139">
        <f>VLOOKUP(A57,'Data Vlaue (Cr)'!C52:CZ266,102,0)</f>
        <v>4.4699999999999997E-2</v>
      </c>
      <c r="E57" s="91">
        <f>VLOOKUP($A57,'Data Vlaue (Cr)'!$C:$FB,75)</f>
        <v>1577</v>
      </c>
      <c r="F57" s="91">
        <f>VLOOKUP($A57,'Data Vlaue (Cr)'!$C:$FB,77)</f>
        <v>56</v>
      </c>
      <c r="G57" s="92">
        <f>VLOOKUP(A57,'Data Vlaue (Cr)'!C52:CB266,78,0)</f>
        <v>3.6799999999999999E-2</v>
      </c>
      <c r="H57" s="91">
        <f>VLOOKUP($A57,'Data Vlaue (Cr)'!$C:$FB,91)</f>
        <v>441</v>
      </c>
      <c r="I57" s="91">
        <f>VLOOKUP($A57,'Data Vlaue (Cr)'!$C:$FB,93)</f>
        <v>29</v>
      </c>
      <c r="J57" s="92">
        <f>VLOOKUP($A57,'Data Vlaue (Cr)'!$C:$FB,94)</f>
        <v>6.9500000000000006E-2</v>
      </c>
      <c r="K57" s="91">
        <f>VLOOKUP($A57,'Data Vlaue (Cr)'!$C:$FB,95)</f>
        <v>206</v>
      </c>
      <c r="L57" s="91">
        <f>VLOOKUP($A57,'Data Vlaue (Cr)'!$C:$FB,97)</f>
        <v>11</v>
      </c>
      <c r="M57" s="92">
        <f>VLOOKUP($A57,'Data Vlaue (Cr)'!$C:$FB,98)</f>
        <v>5.3699999999999998E-2</v>
      </c>
      <c r="N57" s="91">
        <f>VLOOKUP($A57,'Data Vlaue (Cr)'!$C:$FB,79)</f>
        <v>1552</v>
      </c>
      <c r="O57" s="92">
        <f>VLOOKUP($A57,'Data Vlaue (Cr)'!$C:$FB,82)</f>
        <v>3.61E-2</v>
      </c>
    </row>
    <row r="58" spans="1:15" x14ac:dyDescent="0.25">
      <c r="A58" s="97" t="str">
        <f>'Data Vlaue (Cr)'!C53</f>
        <v>CUMMINSIND</v>
      </c>
      <c r="B58" s="142">
        <f>VLOOKUP(A58,'Data Vlaue (Cr)'!C53:CW267,99,0)</f>
        <v>2769</v>
      </c>
      <c r="C58" s="90">
        <f>VLOOKUP(A58,'Data Vlaue (Cr)'!C53:CY267,101,0)</f>
        <v>40</v>
      </c>
      <c r="D58" s="139">
        <f>VLOOKUP(A58,'Data Vlaue (Cr)'!C53:CZ267,102,0)</f>
        <v>1.47E-2</v>
      </c>
      <c r="E58" s="91">
        <f>VLOOKUP($A58,'Data Vlaue (Cr)'!$C:$FB,75)</f>
        <v>2131</v>
      </c>
      <c r="F58" s="91">
        <f>VLOOKUP($A58,'Data Vlaue (Cr)'!$C:$FB,77)</f>
        <v>-33</v>
      </c>
      <c r="G58" s="92">
        <f>VLOOKUP(A58,'Data Vlaue (Cr)'!C53:CB267,78,0)</f>
        <v>-1.4999999999999999E-2</v>
      </c>
      <c r="H58" s="91">
        <f>VLOOKUP($A58,'Data Vlaue (Cr)'!$C:$FB,91)</f>
        <v>373</v>
      </c>
      <c r="I58" s="91">
        <f>VLOOKUP($A58,'Data Vlaue (Cr)'!$C:$FB,93)</f>
        <v>41</v>
      </c>
      <c r="J58" s="92">
        <f>VLOOKUP($A58,'Data Vlaue (Cr)'!$C:$FB,94)</f>
        <v>0.12379999999999999</v>
      </c>
      <c r="K58" s="91">
        <f>VLOOKUP($A58,'Data Vlaue (Cr)'!$C:$FB,95)</f>
        <v>265</v>
      </c>
      <c r="L58" s="91">
        <f>VLOOKUP($A58,'Data Vlaue (Cr)'!$C:$FB,97)</f>
        <v>32</v>
      </c>
      <c r="M58" s="92">
        <f>VLOOKUP($A58,'Data Vlaue (Cr)'!$C:$FB,98)</f>
        <v>0.1356</v>
      </c>
      <c r="N58" s="91">
        <f>VLOOKUP($A58,'Data Vlaue (Cr)'!$C:$FB,79)</f>
        <v>1965</v>
      </c>
      <c r="O58" s="92">
        <f>VLOOKUP($A58,'Data Vlaue (Cr)'!$C:$FB,82)</f>
        <v>-1.8200000000000001E-2</v>
      </c>
    </row>
    <row r="59" spans="1:15" x14ac:dyDescent="0.25">
      <c r="A59" s="97" t="str">
        <f>'Data Vlaue (Cr)'!C54</f>
        <v>DABUR</v>
      </c>
      <c r="B59" s="142">
        <f>VLOOKUP(A59,'Data Vlaue (Cr)'!C54:CW268,99,0)</f>
        <v>1992</v>
      </c>
      <c r="C59" s="90">
        <f>VLOOKUP(A59,'Data Vlaue (Cr)'!C54:CY268,101,0)</f>
        <v>94</v>
      </c>
      <c r="D59" s="139">
        <f>VLOOKUP(A59,'Data Vlaue (Cr)'!C54:CZ268,102,0)</f>
        <v>4.9299999999999997E-2</v>
      </c>
      <c r="E59" s="91">
        <f>VLOOKUP($A59,'Data Vlaue (Cr)'!$C:$FB,75)</f>
        <v>1283</v>
      </c>
      <c r="F59" s="91">
        <f>VLOOKUP($A59,'Data Vlaue (Cr)'!$C:$FB,77)</f>
        <v>-39</v>
      </c>
      <c r="G59" s="92">
        <f>VLOOKUP(A59,'Data Vlaue (Cr)'!C54:CB268,78,0)</f>
        <v>-2.92E-2</v>
      </c>
      <c r="H59" s="91">
        <f>VLOOKUP($A59,'Data Vlaue (Cr)'!$C:$FB,91)</f>
        <v>455</v>
      </c>
      <c r="I59" s="91">
        <f>VLOOKUP($A59,'Data Vlaue (Cr)'!$C:$FB,93)</f>
        <v>109</v>
      </c>
      <c r="J59" s="92">
        <f>VLOOKUP($A59,'Data Vlaue (Cr)'!$C:$FB,94)</f>
        <v>0.31409999999999999</v>
      </c>
      <c r="K59" s="91">
        <f>VLOOKUP($A59,'Data Vlaue (Cr)'!$C:$FB,95)</f>
        <v>254</v>
      </c>
      <c r="L59" s="91">
        <f>VLOOKUP($A59,'Data Vlaue (Cr)'!$C:$FB,97)</f>
        <v>24</v>
      </c>
      <c r="M59" s="92">
        <f>VLOOKUP($A59,'Data Vlaue (Cr)'!$C:$FB,98)</f>
        <v>0.1019</v>
      </c>
      <c r="N59" s="91">
        <f>VLOOKUP($A59,'Data Vlaue (Cr)'!$C:$FB,79)</f>
        <v>1251</v>
      </c>
      <c r="O59" s="92">
        <f>VLOOKUP($A59,'Data Vlaue (Cr)'!$C:$FB,82)</f>
        <v>-3.1800000000000002E-2</v>
      </c>
    </row>
    <row r="60" spans="1:15" x14ac:dyDescent="0.25">
      <c r="A60" s="97" t="str">
        <f>'Data Vlaue (Cr)'!C55</f>
        <v>DALBHARAT</v>
      </c>
      <c r="B60" s="142">
        <f>VLOOKUP(A60,'Data Vlaue (Cr)'!C55:CW269,99,0)</f>
        <v>862</v>
      </c>
      <c r="C60" s="90">
        <f>VLOOKUP(A60,'Data Vlaue (Cr)'!C55:CY269,101,0)</f>
        <v>46</v>
      </c>
      <c r="D60" s="139">
        <f>VLOOKUP(A60,'Data Vlaue (Cr)'!C55:CZ269,102,0)</f>
        <v>5.6899999999999999E-2</v>
      </c>
      <c r="E60" s="91">
        <f>VLOOKUP($A60,'Data Vlaue (Cr)'!$C:$FB,75)</f>
        <v>554</v>
      </c>
      <c r="F60" s="91">
        <f>VLOOKUP($A60,'Data Vlaue (Cr)'!$C:$FB,77)</f>
        <v>15</v>
      </c>
      <c r="G60" s="92">
        <f>VLOOKUP(A60,'Data Vlaue (Cr)'!C55:CB269,78,0)</f>
        <v>2.7E-2</v>
      </c>
      <c r="H60" s="91">
        <f>VLOOKUP($A60,'Data Vlaue (Cr)'!$C:$FB,91)</f>
        <v>203</v>
      </c>
      <c r="I60" s="91">
        <f>VLOOKUP($A60,'Data Vlaue (Cr)'!$C:$FB,93)</f>
        <v>31</v>
      </c>
      <c r="J60" s="92">
        <f>VLOOKUP($A60,'Data Vlaue (Cr)'!$C:$FB,94)</f>
        <v>0.1802</v>
      </c>
      <c r="K60" s="91">
        <f>VLOOKUP($A60,'Data Vlaue (Cr)'!$C:$FB,95)</f>
        <v>105</v>
      </c>
      <c r="L60" s="91">
        <f>VLOOKUP($A60,'Data Vlaue (Cr)'!$C:$FB,97)</f>
        <v>1</v>
      </c>
      <c r="M60" s="92">
        <f>VLOOKUP($A60,'Data Vlaue (Cr)'!$C:$FB,98)</f>
        <v>8.0000000000000002E-3</v>
      </c>
      <c r="N60" s="91">
        <f>VLOOKUP($A60,'Data Vlaue (Cr)'!$C:$FB,79)</f>
        <v>549</v>
      </c>
      <c r="O60" s="92">
        <f>VLOOKUP($A60,'Data Vlaue (Cr)'!$C:$FB,82)</f>
        <v>2.69E-2</v>
      </c>
    </row>
    <row r="61" spans="1:15" x14ac:dyDescent="0.25">
      <c r="A61" s="97" t="str">
        <f>'Data Vlaue (Cr)'!C56</f>
        <v>DELHIVERY</v>
      </c>
      <c r="B61" s="142">
        <f>VLOOKUP(A61,'Data Vlaue (Cr)'!C56:CW270,99,0)</f>
        <v>1921</v>
      </c>
      <c r="C61" s="90">
        <f>VLOOKUP(A61,'Data Vlaue (Cr)'!C56:CY270,101,0)</f>
        <v>-37</v>
      </c>
      <c r="D61" s="139">
        <f>VLOOKUP(A61,'Data Vlaue (Cr)'!C56:CZ270,102,0)</f>
        <v>-1.89E-2</v>
      </c>
      <c r="E61" s="91">
        <f>VLOOKUP($A61,'Data Vlaue (Cr)'!$C:$FB,75)</f>
        <v>1384</v>
      </c>
      <c r="F61" s="91">
        <f>VLOOKUP($A61,'Data Vlaue (Cr)'!$C:$FB,77)</f>
        <v>-62</v>
      </c>
      <c r="G61" s="92">
        <f>VLOOKUP(A61,'Data Vlaue (Cr)'!C56:CB270,78,0)</f>
        <v>-4.3099999999999999E-2</v>
      </c>
      <c r="H61" s="91">
        <f>VLOOKUP($A61,'Data Vlaue (Cr)'!$C:$FB,91)</f>
        <v>338</v>
      </c>
      <c r="I61" s="91">
        <f>VLOOKUP($A61,'Data Vlaue (Cr)'!$C:$FB,93)</f>
        <v>28</v>
      </c>
      <c r="J61" s="92">
        <f>VLOOKUP($A61,'Data Vlaue (Cr)'!$C:$FB,94)</f>
        <v>8.9599999999999999E-2</v>
      </c>
      <c r="K61" s="91">
        <f>VLOOKUP($A61,'Data Vlaue (Cr)'!$C:$FB,95)</f>
        <v>199</v>
      </c>
      <c r="L61" s="91">
        <f>VLOOKUP($A61,'Data Vlaue (Cr)'!$C:$FB,97)</f>
        <v>-2</v>
      </c>
      <c r="M61" s="92">
        <f>VLOOKUP($A61,'Data Vlaue (Cr)'!$C:$FB,98)</f>
        <v>-1.17E-2</v>
      </c>
      <c r="N61" s="91">
        <f>VLOOKUP($A61,'Data Vlaue (Cr)'!$C:$FB,79)</f>
        <v>1368</v>
      </c>
      <c r="O61" s="92">
        <f>VLOOKUP($A61,'Data Vlaue (Cr)'!$C:$FB,82)</f>
        <v>-4.41E-2</v>
      </c>
    </row>
    <row r="62" spans="1:15" x14ac:dyDescent="0.25">
      <c r="A62" s="97" t="str">
        <f>'Data Vlaue (Cr)'!C57</f>
        <v>DIVISLAB</v>
      </c>
      <c r="B62" s="142">
        <f>VLOOKUP(A62,'Data Vlaue (Cr)'!C57:CW271,99,0)</f>
        <v>2425</v>
      </c>
      <c r="C62" s="90">
        <f>VLOOKUP(A62,'Data Vlaue (Cr)'!C57:CY271,101,0)</f>
        <v>70</v>
      </c>
      <c r="D62" s="139">
        <f>VLOOKUP(A62,'Data Vlaue (Cr)'!C57:CZ271,102,0)</f>
        <v>2.9600000000000001E-2</v>
      </c>
      <c r="E62" s="91">
        <f>VLOOKUP($A62,'Data Vlaue (Cr)'!$C:$FB,75)</f>
        <v>1626</v>
      </c>
      <c r="F62" s="91">
        <f>VLOOKUP($A62,'Data Vlaue (Cr)'!$C:$FB,77)</f>
        <v>-17</v>
      </c>
      <c r="G62" s="92">
        <f>VLOOKUP(A62,'Data Vlaue (Cr)'!C57:CB271,78,0)</f>
        <v>-1.03E-2</v>
      </c>
      <c r="H62" s="91">
        <f>VLOOKUP($A62,'Data Vlaue (Cr)'!$C:$FB,91)</f>
        <v>477</v>
      </c>
      <c r="I62" s="91">
        <f>VLOOKUP($A62,'Data Vlaue (Cr)'!$C:$FB,93)</f>
        <v>44</v>
      </c>
      <c r="J62" s="92">
        <f>VLOOKUP($A62,'Data Vlaue (Cr)'!$C:$FB,94)</f>
        <v>0.10199999999999999</v>
      </c>
      <c r="K62" s="91">
        <f>VLOOKUP($A62,'Data Vlaue (Cr)'!$C:$FB,95)</f>
        <v>322</v>
      </c>
      <c r="L62" s="91">
        <f>VLOOKUP($A62,'Data Vlaue (Cr)'!$C:$FB,97)</f>
        <v>43</v>
      </c>
      <c r="M62" s="92">
        <f>VLOOKUP($A62,'Data Vlaue (Cr)'!$C:$FB,98)</f>
        <v>0.15240000000000001</v>
      </c>
      <c r="N62" s="91">
        <f>VLOOKUP($A62,'Data Vlaue (Cr)'!$C:$FB,79)</f>
        <v>1430</v>
      </c>
      <c r="O62" s="92">
        <f>VLOOKUP($A62,'Data Vlaue (Cr)'!$C:$FB,82)</f>
        <v>-1.12E-2</v>
      </c>
    </row>
    <row r="63" spans="1:15" x14ac:dyDescent="0.25">
      <c r="A63" s="97" t="str">
        <f>'Data Vlaue (Cr)'!C58</f>
        <v>DIXON</v>
      </c>
      <c r="B63" s="142">
        <f>VLOOKUP(A63,'Data Vlaue (Cr)'!C58:CW272,99,0)</f>
        <v>6075</v>
      </c>
      <c r="C63" s="90">
        <f>VLOOKUP(A63,'Data Vlaue (Cr)'!C58:CY272,101,0)</f>
        <v>218</v>
      </c>
      <c r="D63" s="139">
        <f>VLOOKUP(A63,'Data Vlaue (Cr)'!C58:CZ272,102,0)</f>
        <v>3.7199999999999997E-2</v>
      </c>
      <c r="E63" s="91">
        <f>VLOOKUP($A63,'Data Vlaue (Cr)'!$C:$FB,75)</f>
        <v>3570</v>
      </c>
      <c r="F63" s="91">
        <f>VLOOKUP($A63,'Data Vlaue (Cr)'!$C:$FB,77)</f>
        <v>53</v>
      </c>
      <c r="G63" s="92">
        <f>VLOOKUP(A63,'Data Vlaue (Cr)'!C58:CB272,78,0)</f>
        <v>1.5100000000000001E-2</v>
      </c>
      <c r="H63" s="91">
        <f>VLOOKUP($A63,'Data Vlaue (Cr)'!$C:$FB,91)</f>
        <v>1348</v>
      </c>
      <c r="I63" s="91">
        <f>VLOOKUP($A63,'Data Vlaue (Cr)'!$C:$FB,93)</f>
        <v>131</v>
      </c>
      <c r="J63" s="92">
        <f>VLOOKUP($A63,'Data Vlaue (Cr)'!$C:$FB,94)</f>
        <v>0.1075</v>
      </c>
      <c r="K63" s="91">
        <f>VLOOKUP($A63,'Data Vlaue (Cr)'!$C:$FB,95)</f>
        <v>1156</v>
      </c>
      <c r="L63" s="91">
        <f>VLOOKUP($A63,'Data Vlaue (Cr)'!$C:$FB,97)</f>
        <v>34</v>
      </c>
      <c r="M63" s="92">
        <f>VLOOKUP($A63,'Data Vlaue (Cr)'!$C:$FB,98)</f>
        <v>3.0099999999999998E-2</v>
      </c>
      <c r="N63" s="91">
        <f>VLOOKUP($A63,'Data Vlaue (Cr)'!$C:$FB,79)</f>
        <v>3352</v>
      </c>
      <c r="O63" s="92">
        <f>VLOOKUP($A63,'Data Vlaue (Cr)'!$C:$FB,82)</f>
        <v>1.15E-2</v>
      </c>
    </row>
    <row r="64" spans="1:15" x14ac:dyDescent="0.25">
      <c r="A64" s="97" t="str">
        <f>'Data Vlaue (Cr)'!C59</f>
        <v>DLF</v>
      </c>
      <c r="B64" s="142">
        <f>VLOOKUP(A64,'Data Vlaue (Cr)'!C59:CW273,99,0)</f>
        <v>3674</v>
      </c>
      <c r="C64" s="90">
        <f>VLOOKUP(A64,'Data Vlaue (Cr)'!C59:CY273,101,0)</f>
        <v>8</v>
      </c>
      <c r="D64" s="139">
        <f>VLOOKUP(A64,'Data Vlaue (Cr)'!C59:CZ273,102,0)</f>
        <v>2.0999999999999999E-3</v>
      </c>
      <c r="E64" s="91">
        <f>VLOOKUP($A64,'Data Vlaue (Cr)'!$C:$FB,75)</f>
        <v>2808</v>
      </c>
      <c r="F64" s="91">
        <f>VLOOKUP($A64,'Data Vlaue (Cr)'!$C:$FB,77)</f>
        <v>1</v>
      </c>
      <c r="G64" s="92">
        <f>VLOOKUP(A64,'Data Vlaue (Cr)'!C59:CB273,78,0)</f>
        <v>5.0000000000000001E-4</v>
      </c>
      <c r="H64" s="91">
        <f>VLOOKUP($A64,'Data Vlaue (Cr)'!$C:$FB,91)</f>
        <v>500</v>
      </c>
      <c r="I64" s="91">
        <f>VLOOKUP($A64,'Data Vlaue (Cr)'!$C:$FB,93)</f>
        <v>1</v>
      </c>
      <c r="J64" s="92">
        <f>VLOOKUP($A64,'Data Vlaue (Cr)'!$C:$FB,94)</f>
        <v>2.3999999999999998E-3</v>
      </c>
      <c r="K64" s="91">
        <f>VLOOKUP($A64,'Data Vlaue (Cr)'!$C:$FB,95)</f>
        <v>366</v>
      </c>
      <c r="L64" s="91">
        <f>VLOOKUP($A64,'Data Vlaue (Cr)'!$C:$FB,97)</f>
        <v>5</v>
      </c>
      <c r="M64" s="92">
        <f>VLOOKUP($A64,'Data Vlaue (Cr)'!$C:$FB,98)</f>
        <v>1.4500000000000001E-2</v>
      </c>
      <c r="N64" s="91">
        <f>VLOOKUP($A64,'Data Vlaue (Cr)'!$C:$FB,79)</f>
        <v>2619</v>
      </c>
      <c r="O64" s="92">
        <f>VLOOKUP($A64,'Data Vlaue (Cr)'!$C:$FB,82)</f>
        <v>-6.9999999999999999E-4</v>
      </c>
    </row>
    <row r="65" spans="1:15" x14ac:dyDescent="0.25">
      <c r="A65" s="97" t="str">
        <f>'Data Vlaue (Cr)'!C60</f>
        <v>DMART</v>
      </c>
      <c r="B65" s="142">
        <f>VLOOKUP(A65,'Data Vlaue (Cr)'!C60:CW274,99,0)</f>
        <v>2868</v>
      </c>
      <c r="C65" s="90">
        <f>VLOOKUP(A65,'Data Vlaue (Cr)'!C60:CY274,101,0)</f>
        <v>-134</v>
      </c>
      <c r="D65" s="139">
        <f>VLOOKUP(A65,'Data Vlaue (Cr)'!C60:CZ274,102,0)</f>
        <v>-4.4499999999999998E-2</v>
      </c>
      <c r="E65" s="91">
        <f>VLOOKUP($A65,'Data Vlaue (Cr)'!$C:$FB,75)</f>
        <v>1764</v>
      </c>
      <c r="F65" s="91">
        <f>VLOOKUP($A65,'Data Vlaue (Cr)'!$C:$FB,77)</f>
        <v>-15</v>
      </c>
      <c r="G65" s="92">
        <f>VLOOKUP(A65,'Data Vlaue (Cr)'!C60:CB274,78,0)</f>
        <v>-8.3999999999999995E-3</v>
      </c>
      <c r="H65" s="91">
        <f>VLOOKUP($A65,'Data Vlaue (Cr)'!$C:$FB,91)</f>
        <v>723</v>
      </c>
      <c r="I65" s="91">
        <f>VLOOKUP($A65,'Data Vlaue (Cr)'!$C:$FB,93)</f>
        <v>-121</v>
      </c>
      <c r="J65" s="92">
        <f>VLOOKUP($A65,'Data Vlaue (Cr)'!$C:$FB,94)</f>
        <v>-0.1434</v>
      </c>
      <c r="K65" s="91">
        <f>VLOOKUP($A65,'Data Vlaue (Cr)'!$C:$FB,95)</f>
        <v>380</v>
      </c>
      <c r="L65" s="91">
        <f>VLOOKUP($A65,'Data Vlaue (Cr)'!$C:$FB,97)</f>
        <v>2</v>
      </c>
      <c r="M65" s="92">
        <f>VLOOKUP($A65,'Data Vlaue (Cr)'!$C:$FB,98)</f>
        <v>6.4999999999999997E-3</v>
      </c>
      <c r="N65" s="91">
        <f>VLOOKUP($A65,'Data Vlaue (Cr)'!$C:$FB,79)</f>
        <v>1721</v>
      </c>
      <c r="O65" s="92">
        <f>VLOOKUP($A65,'Data Vlaue (Cr)'!$C:$FB,82)</f>
        <v>-6.3E-3</v>
      </c>
    </row>
    <row r="66" spans="1:15" x14ac:dyDescent="0.25">
      <c r="A66" s="97" t="str">
        <f>'Data Vlaue (Cr)'!C61</f>
        <v>DRREDDY</v>
      </c>
      <c r="B66" s="142">
        <f>VLOOKUP(A66,'Data Vlaue (Cr)'!C61:CW275,99,0)</f>
        <v>4372</v>
      </c>
      <c r="C66" s="90">
        <f>VLOOKUP(A66,'Data Vlaue (Cr)'!C61:CY275,101,0)</f>
        <v>325</v>
      </c>
      <c r="D66" s="139">
        <f>VLOOKUP(A66,'Data Vlaue (Cr)'!C61:CZ275,102,0)</f>
        <v>8.0399999999999999E-2</v>
      </c>
      <c r="E66" s="91">
        <f>VLOOKUP($A66,'Data Vlaue (Cr)'!$C:$FB,75)</f>
        <v>2376</v>
      </c>
      <c r="F66" s="91">
        <f>VLOOKUP($A66,'Data Vlaue (Cr)'!$C:$FB,77)</f>
        <v>151</v>
      </c>
      <c r="G66" s="92">
        <f>VLOOKUP(A66,'Data Vlaue (Cr)'!C61:CB275,78,0)</f>
        <v>6.8099999999999994E-2</v>
      </c>
      <c r="H66" s="91">
        <f>VLOOKUP($A66,'Data Vlaue (Cr)'!$C:$FB,91)</f>
        <v>1314</v>
      </c>
      <c r="I66" s="91">
        <f>VLOOKUP($A66,'Data Vlaue (Cr)'!$C:$FB,93)</f>
        <v>65</v>
      </c>
      <c r="J66" s="92">
        <f>VLOOKUP($A66,'Data Vlaue (Cr)'!$C:$FB,94)</f>
        <v>5.2200000000000003E-2</v>
      </c>
      <c r="K66" s="91">
        <f>VLOOKUP($A66,'Data Vlaue (Cr)'!$C:$FB,95)</f>
        <v>682</v>
      </c>
      <c r="L66" s="91">
        <f>VLOOKUP($A66,'Data Vlaue (Cr)'!$C:$FB,97)</f>
        <v>109</v>
      </c>
      <c r="M66" s="92">
        <f>VLOOKUP($A66,'Data Vlaue (Cr)'!$C:$FB,98)</f>
        <v>0.18959999999999999</v>
      </c>
      <c r="N66" s="91">
        <f>VLOOKUP($A66,'Data Vlaue (Cr)'!$C:$FB,79)</f>
        <v>2304</v>
      </c>
      <c r="O66" s="92">
        <f>VLOOKUP($A66,'Data Vlaue (Cr)'!$C:$FB,82)</f>
        <v>6.4399999999999999E-2</v>
      </c>
    </row>
    <row r="67" spans="1:15" x14ac:dyDescent="0.25">
      <c r="A67" s="97" t="str">
        <f>'Data Vlaue (Cr)'!C62</f>
        <v>EICHERMOT</v>
      </c>
      <c r="B67" s="142">
        <f>VLOOKUP(A67,'Data Vlaue (Cr)'!C62:CW276,99,0)</f>
        <v>3950</v>
      </c>
      <c r="C67" s="90">
        <f>VLOOKUP(A67,'Data Vlaue (Cr)'!C62:CY276,101,0)</f>
        <v>-68</v>
      </c>
      <c r="D67" s="139">
        <f>VLOOKUP(A67,'Data Vlaue (Cr)'!C62:CZ276,102,0)</f>
        <v>-1.6899999999999998E-2</v>
      </c>
      <c r="E67" s="91">
        <f>VLOOKUP($A67,'Data Vlaue (Cr)'!$C:$FB,75)</f>
        <v>2499</v>
      </c>
      <c r="F67" s="91">
        <f>VLOOKUP($A67,'Data Vlaue (Cr)'!$C:$FB,77)</f>
        <v>-125</v>
      </c>
      <c r="G67" s="92">
        <f>VLOOKUP(A67,'Data Vlaue (Cr)'!C62:CB276,78,0)</f>
        <v>-4.7600000000000003E-2</v>
      </c>
      <c r="H67" s="91">
        <f>VLOOKUP($A67,'Data Vlaue (Cr)'!$C:$FB,91)</f>
        <v>824</v>
      </c>
      <c r="I67" s="91">
        <f>VLOOKUP($A67,'Data Vlaue (Cr)'!$C:$FB,93)</f>
        <v>58</v>
      </c>
      <c r="J67" s="92">
        <f>VLOOKUP($A67,'Data Vlaue (Cr)'!$C:$FB,94)</f>
        <v>7.5300000000000006E-2</v>
      </c>
      <c r="K67" s="91">
        <f>VLOOKUP($A67,'Data Vlaue (Cr)'!$C:$FB,95)</f>
        <v>627</v>
      </c>
      <c r="L67" s="91">
        <f>VLOOKUP($A67,'Data Vlaue (Cr)'!$C:$FB,97)</f>
        <v>-1</v>
      </c>
      <c r="M67" s="92">
        <f>VLOOKUP($A67,'Data Vlaue (Cr)'!$C:$FB,98)</f>
        <v>-1.1999999999999999E-3</v>
      </c>
      <c r="N67" s="91">
        <f>VLOOKUP($A67,'Data Vlaue (Cr)'!$C:$FB,79)</f>
        <v>2093</v>
      </c>
      <c r="O67" s="92">
        <f>VLOOKUP($A67,'Data Vlaue (Cr)'!$C:$FB,82)</f>
        <v>-5.8200000000000002E-2</v>
      </c>
    </row>
    <row r="68" spans="1:15" x14ac:dyDescent="0.25">
      <c r="A68" s="97" t="str">
        <f>'Data Vlaue (Cr)'!C63</f>
        <v>ETERNAL</v>
      </c>
      <c r="B68" s="142">
        <f>VLOOKUP(A68,'Data Vlaue (Cr)'!C63:CW277,99,0)</f>
        <v>9058</v>
      </c>
      <c r="C68" s="90">
        <f>VLOOKUP(A68,'Data Vlaue (Cr)'!C63:CY277,101,0)</f>
        <v>-112</v>
      </c>
      <c r="D68" s="139">
        <f>VLOOKUP(A68,'Data Vlaue (Cr)'!C63:CZ277,102,0)</f>
        <v>-1.2200000000000001E-2</v>
      </c>
      <c r="E68" s="91">
        <f>VLOOKUP($A68,'Data Vlaue (Cr)'!$C:$FB,75)</f>
        <v>5442</v>
      </c>
      <c r="F68" s="91">
        <f>VLOOKUP($A68,'Data Vlaue (Cr)'!$C:$FB,77)</f>
        <v>50</v>
      </c>
      <c r="G68" s="92">
        <f>VLOOKUP(A68,'Data Vlaue (Cr)'!C63:CB277,78,0)</f>
        <v>9.2999999999999992E-3</v>
      </c>
      <c r="H68" s="91">
        <f>VLOOKUP($A68,'Data Vlaue (Cr)'!$C:$FB,91)</f>
        <v>2303</v>
      </c>
      <c r="I68" s="91">
        <f>VLOOKUP($A68,'Data Vlaue (Cr)'!$C:$FB,93)</f>
        <v>-140</v>
      </c>
      <c r="J68" s="92">
        <f>VLOOKUP($A68,'Data Vlaue (Cr)'!$C:$FB,94)</f>
        <v>-5.7200000000000001E-2</v>
      </c>
      <c r="K68" s="91">
        <f>VLOOKUP($A68,'Data Vlaue (Cr)'!$C:$FB,95)</f>
        <v>1314</v>
      </c>
      <c r="L68" s="91">
        <f>VLOOKUP($A68,'Data Vlaue (Cr)'!$C:$FB,97)</f>
        <v>-23</v>
      </c>
      <c r="M68" s="92">
        <f>VLOOKUP($A68,'Data Vlaue (Cr)'!$C:$FB,98)</f>
        <v>-1.7100000000000001E-2</v>
      </c>
      <c r="N68" s="91">
        <f>VLOOKUP($A68,'Data Vlaue (Cr)'!$C:$FB,79)</f>
        <v>4928</v>
      </c>
      <c r="O68" s="92">
        <f>VLOOKUP($A68,'Data Vlaue (Cr)'!$C:$FB,82)</f>
        <v>2.5999999999999999E-3</v>
      </c>
    </row>
    <row r="69" spans="1:15" x14ac:dyDescent="0.25">
      <c r="A69" s="97" t="str">
        <f>'Data Vlaue (Cr)'!C64</f>
        <v>EXIDEIND</v>
      </c>
      <c r="B69" s="142">
        <f>VLOOKUP(A69,'Data Vlaue (Cr)'!C64:CW278,99,0)</f>
        <v>1944</v>
      </c>
      <c r="C69" s="90">
        <f>VLOOKUP(A69,'Data Vlaue (Cr)'!C64:CY278,101,0)</f>
        <v>99</v>
      </c>
      <c r="D69" s="139">
        <f>VLOOKUP(A69,'Data Vlaue (Cr)'!C64:CZ278,102,0)</f>
        <v>5.3400000000000003E-2</v>
      </c>
      <c r="E69" s="91">
        <f>VLOOKUP($A69,'Data Vlaue (Cr)'!$C:$FB,75)</f>
        <v>945</v>
      </c>
      <c r="F69" s="91">
        <f>VLOOKUP($A69,'Data Vlaue (Cr)'!$C:$FB,77)</f>
        <v>-54</v>
      </c>
      <c r="G69" s="92">
        <f>VLOOKUP(A69,'Data Vlaue (Cr)'!C64:CB278,78,0)</f>
        <v>-5.4300000000000001E-2</v>
      </c>
      <c r="H69" s="91">
        <f>VLOOKUP($A69,'Data Vlaue (Cr)'!$C:$FB,91)</f>
        <v>622</v>
      </c>
      <c r="I69" s="91">
        <f>VLOOKUP($A69,'Data Vlaue (Cr)'!$C:$FB,93)</f>
        <v>87</v>
      </c>
      <c r="J69" s="92">
        <f>VLOOKUP($A69,'Data Vlaue (Cr)'!$C:$FB,94)</f>
        <v>0.16320000000000001</v>
      </c>
      <c r="K69" s="91">
        <f>VLOOKUP($A69,'Data Vlaue (Cr)'!$C:$FB,95)</f>
        <v>377</v>
      </c>
      <c r="L69" s="91">
        <f>VLOOKUP($A69,'Data Vlaue (Cr)'!$C:$FB,97)</f>
        <v>65</v>
      </c>
      <c r="M69" s="92">
        <f>VLOOKUP($A69,'Data Vlaue (Cr)'!$C:$FB,98)</f>
        <v>0.20979999999999999</v>
      </c>
      <c r="N69" s="91">
        <f>VLOOKUP($A69,'Data Vlaue (Cr)'!$C:$FB,79)</f>
        <v>894</v>
      </c>
      <c r="O69" s="92">
        <f>VLOOKUP($A69,'Data Vlaue (Cr)'!$C:$FB,82)</f>
        <v>-6.6799999999999998E-2</v>
      </c>
    </row>
    <row r="70" spans="1:15" x14ac:dyDescent="0.25">
      <c r="A70" s="97" t="str">
        <f>'Data Vlaue (Cr)'!C65</f>
        <v>FEDERALBNK</v>
      </c>
      <c r="B70" s="142">
        <f>VLOOKUP(A70,'Data Vlaue (Cr)'!C65:CW279,99,0)</f>
        <v>4148</v>
      </c>
      <c r="C70" s="90">
        <f>VLOOKUP(A70,'Data Vlaue (Cr)'!C65:CY279,101,0)</f>
        <v>78</v>
      </c>
      <c r="D70" s="139">
        <f>VLOOKUP(A70,'Data Vlaue (Cr)'!C65:CZ279,102,0)</f>
        <v>1.9099999999999999E-2</v>
      </c>
      <c r="E70" s="91">
        <f>VLOOKUP($A70,'Data Vlaue (Cr)'!$C:$FB,75)</f>
        <v>2510</v>
      </c>
      <c r="F70" s="91">
        <f>VLOOKUP($A70,'Data Vlaue (Cr)'!$C:$FB,77)</f>
        <v>33</v>
      </c>
      <c r="G70" s="92">
        <f>VLOOKUP(A70,'Data Vlaue (Cr)'!C65:CB279,78,0)</f>
        <v>1.35E-2</v>
      </c>
      <c r="H70" s="91">
        <f>VLOOKUP($A70,'Data Vlaue (Cr)'!$C:$FB,91)</f>
        <v>1042</v>
      </c>
      <c r="I70" s="91">
        <f>VLOOKUP($A70,'Data Vlaue (Cr)'!$C:$FB,93)</f>
        <v>27</v>
      </c>
      <c r="J70" s="92">
        <f>VLOOKUP($A70,'Data Vlaue (Cr)'!$C:$FB,94)</f>
        <v>2.6200000000000001E-2</v>
      </c>
      <c r="K70" s="91">
        <f>VLOOKUP($A70,'Data Vlaue (Cr)'!$C:$FB,95)</f>
        <v>596</v>
      </c>
      <c r="L70" s="91">
        <f>VLOOKUP($A70,'Data Vlaue (Cr)'!$C:$FB,97)</f>
        <v>18</v>
      </c>
      <c r="M70" s="92">
        <f>VLOOKUP($A70,'Data Vlaue (Cr)'!$C:$FB,98)</f>
        <v>3.04E-2</v>
      </c>
      <c r="N70" s="91">
        <f>VLOOKUP($A70,'Data Vlaue (Cr)'!$C:$FB,79)</f>
        <v>2282</v>
      </c>
      <c r="O70" s="92">
        <f>VLOOKUP($A70,'Data Vlaue (Cr)'!$C:$FB,82)</f>
        <v>7.4999999999999997E-3</v>
      </c>
    </row>
    <row r="71" spans="1:15" x14ac:dyDescent="0.25">
      <c r="A71" s="97" t="str">
        <f>'Data Vlaue (Cr)'!C66</f>
        <v>FINNIFTY</v>
      </c>
      <c r="B71" s="142">
        <f>VLOOKUP(A71,'Data Vlaue (Cr)'!C66:CW280,99,0)</f>
        <v>986</v>
      </c>
      <c r="C71" s="90">
        <f>VLOOKUP(A71,'Data Vlaue (Cr)'!C66:CY280,101,0)</f>
        <v>160</v>
      </c>
      <c r="D71" s="139">
        <f>VLOOKUP(A71,'Data Vlaue (Cr)'!C66:CZ280,102,0)</f>
        <v>0.1933</v>
      </c>
      <c r="E71" s="91">
        <f>VLOOKUP($A71,'Data Vlaue (Cr)'!$C:$FB,75)</f>
        <v>75</v>
      </c>
      <c r="F71" s="91">
        <f>VLOOKUP($A71,'Data Vlaue (Cr)'!$C:$FB,77)</f>
        <v>-1</v>
      </c>
      <c r="G71" s="92">
        <f>VLOOKUP(A71,'Data Vlaue (Cr)'!C66:CB280,78,0)</f>
        <v>-1.26E-2</v>
      </c>
      <c r="H71" s="91">
        <f>VLOOKUP($A71,'Data Vlaue (Cr)'!$C:$FB,91)</f>
        <v>508</v>
      </c>
      <c r="I71" s="91">
        <f>VLOOKUP($A71,'Data Vlaue (Cr)'!$C:$FB,93)</f>
        <v>65</v>
      </c>
      <c r="J71" s="92">
        <f>VLOOKUP($A71,'Data Vlaue (Cr)'!$C:$FB,94)</f>
        <v>0.14749999999999999</v>
      </c>
      <c r="K71" s="91">
        <f>VLOOKUP($A71,'Data Vlaue (Cr)'!$C:$FB,95)</f>
        <v>404</v>
      </c>
      <c r="L71" s="91">
        <f>VLOOKUP($A71,'Data Vlaue (Cr)'!$C:$FB,97)</f>
        <v>95</v>
      </c>
      <c r="M71" s="92">
        <f>VLOOKUP($A71,'Data Vlaue (Cr)'!$C:$FB,98)</f>
        <v>0.30969999999999998</v>
      </c>
      <c r="N71" s="91">
        <f>VLOOKUP($A71,'Data Vlaue (Cr)'!$C:$FB,79)</f>
        <v>75</v>
      </c>
      <c r="O71" s="92">
        <f>VLOOKUP($A71,'Data Vlaue (Cr)'!$C:$FB,82)</f>
        <v>-1.26E-2</v>
      </c>
    </row>
    <row r="72" spans="1:15" x14ac:dyDescent="0.25">
      <c r="A72" s="97" t="str">
        <f>'Data Vlaue (Cr)'!C67</f>
        <v>FORCEMOT</v>
      </c>
      <c r="B72" s="142">
        <f>VLOOKUP(A72,'Data Vlaue (Cr)'!C67:CW281,99,0)</f>
        <v>1049</v>
      </c>
      <c r="C72" s="90">
        <f>VLOOKUP(A72,'Data Vlaue (Cr)'!C67:CY281,101,0)</f>
        <v>26</v>
      </c>
      <c r="D72" s="139">
        <f>VLOOKUP(A72,'Data Vlaue (Cr)'!C67:CZ281,102,0)</f>
        <v>2.5600000000000001E-2</v>
      </c>
      <c r="E72" s="91">
        <f>VLOOKUP($A72,'Data Vlaue (Cr)'!$C:$FB,75)</f>
        <v>593</v>
      </c>
      <c r="F72" s="91">
        <f>VLOOKUP($A72,'Data Vlaue (Cr)'!$C:$FB,77)</f>
        <v>4</v>
      </c>
      <c r="G72" s="92">
        <f>VLOOKUP(A72,'Data Vlaue (Cr)'!C67:CB281,78,0)</f>
        <v>6.8999999999999999E-3</v>
      </c>
      <c r="H72" s="91">
        <f>VLOOKUP($A72,'Data Vlaue (Cr)'!$C:$FB,91)</f>
        <v>315</v>
      </c>
      <c r="I72" s="91">
        <f>VLOOKUP($A72,'Data Vlaue (Cr)'!$C:$FB,93)</f>
        <v>-10</v>
      </c>
      <c r="J72" s="92">
        <f>VLOOKUP($A72,'Data Vlaue (Cr)'!$C:$FB,94)</f>
        <v>-3.0499999999999999E-2</v>
      </c>
      <c r="K72" s="91">
        <f>VLOOKUP($A72,'Data Vlaue (Cr)'!$C:$FB,95)</f>
        <v>142</v>
      </c>
      <c r="L72" s="91">
        <f>VLOOKUP($A72,'Data Vlaue (Cr)'!$C:$FB,97)</f>
        <v>32</v>
      </c>
      <c r="M72" s="92">
        <f>VLOOKUP($A72,'Data Vlaue (Cr)'!$C:$FB,98)</f>
        <v>0.29199999999999998</v>
      </c>
      <c r="N72" s="91">
        <f>VLOOKUP($A72,'Data Vlaue (Cr)'!$C:$FB,79)</f>
        <v>542</v>
      </c>
      <c r="O72" s="92">
        <f>VLOOKUP($A72,'Data Vlaue (Cr)'!$C:$FB,82)</f>
        <v>-2.58E-2</v>
      </c>
    </row>
    <row r="73" spans="1:15" x14ac:dyDescent="0.25">
      <c r="A73" s="97" t="str">
        <f>'Data Vlaue (Cr)'!C68</f>
        <v>FORTIS</v>
      </c>
      <c r="B73" s="142">
        <f>VLOOKUP(A73,'Data Vlaue (Cr)'!C68:CW282,99,0)</f>
        <v>1168</v>
      </c>
      <c r="C73" s="90">
        <f>VLOOKUP(A73,'Data Vlaue (Cr)'!C68:CY282,101,0)</f>
        <v>20</v>
      </c>
      <c r="D73" s="139">
        <f>VLOOKUP(A73,'Data Vlaue (Cr)'!C68:CZ282,102,0)</f>
        <v>1.7399999999999999E-2</v>
      </c>
      <c r="E73" s="91">
        <f>VLOOKUP($A73,'Data Vlaue (Cr)'!$C:$FB,75)</f>
        <v>906</v>
      </c>
      <c r="F73" s="91">
        <f>VLOOKUP($A73,'Data Vlaue (Cr)'!$C:$FB,77)</f>
        <v>-3</v>
      </c>
      <c r="G73" s="92">
        <f>VLOOKUP(A73,'Data Vlaue (Cr)'!C68:CB282,78,0)</f>
        <v>-3.5000000000000001E-3</v>
      </c>
      <c r="H73" s="91">
        <f>VLOOKUP($A73,'Data Vlaue (Cr)'!$C:$FB,91)</f>
        <v>187</v>
      </c>
      <c r="I73" s="91">
        <f>VLOOKUP($A73,'Data Vlaue (Cr)'!$C:$FB,93)</f>
        <v>28</v>
      </c>
      <c r="J73" s="92">
        <f>VLOOKUP($A73,'Data Vlaue (Cr)'!$C:$FB,94)</f>
        <v>0.17319999999999999</v>
      </c>
      <c r="K73" s="91">
        <f>VLOOKUP($A73,'Data Vlaue (Cr)'!$C:$FB,95)</f>
        <v>75</v>
      </c>
      <c r="L73" s="91">
        <f>VLOOKUP($A73,'Data Vlaue (Cr)'!$C:$FB,97)</f>
        <v>-4</v>
      </c>
      <c r="M73" s="92">
        <f>VLOOKUP($A73,'Data Vlaue (Cr)'!$C:$FB,98)</f>
        <v>-5.57E-2</v>
      </c>
      <c r="N73" s="91">
        <f>VLOOKUP($A73,'Data Vlaue (Cr)'!$C:$FB,79)</f>
        <v>721</v>
      </c>
      <c r="O73" s="92">
        <f>VLOOKUP($A73,'Data Vlaue (Cr)'!$C:$FB,82)</f>
        <v>-5.3E-3</v>
      </c>
    </row>
    <row r="74" spans="1:15" x14ac:dyDescent="0.25">
      <c r="A74" s="97" t="str">
        <f>'Data Vlaue (Cr)'!C69</f>
        <v>GAIL</v>
      </c>
      <c r="B74" s="142">
        <f>VLOOKUP(A74,'Data Vlaue (Cr)'!C69:CW283,99,0)</f>
        <v>1888</v>
      </c>
      <c r="C74" s="90">
        <f>VLOOKUP(A74,'Data Vlaue (Cr)'!C69:CY283,101,0)</f>
        <v>55</v>
      </c>
      <c r="D74" s="139">
        <f>VLOOKUP(A74,'Data Vlaue (Cr)'!C69:CZ283,102,0)</f>
        <v>3.0099999999999998E-2</v>
      </c>
      <c r="E74" s="91">
        <f>VLOOKUP($A74,'Data Vlaue (Cr)'!$C:$FB,75)</f>
        <v>1238</v>
      </c>
      <c r="F74" s="91">
        <f>VLOOKUP($A74,'Data Vlaue (Cr)'!$C:$FB,77)</f>
        <v>5</v>
      </c>
      <c r="G74" s="92">
        <f>VLOOKUP(A74,'Data Vlaue (Cr)'!C69:CB283,78,0)</f>
        <v>3.8999999999999998E-3</v>
      </c>
      <c r="H74" s="91">
        <f>VLOOKUP($A74,'Data Vlaue (Cr)'!$C:$FB,91)</f>
        <v>333</v>
      </c>
      <c r="I74" s="91">
        <f>VLOOKUP($A74,'Data Vlaue (Cr)'!$C:$FB,93)</f>
        <v>38</v>
      </c>
      <c r="J74" s="92">
        <f>VLOOKUP($A74,'Data Vlaue (Cr)'!$C:$FB,94)</f>
        <v>0.12909999999999999</v>
      </c>
      <c r="K74" s="91">
        <f>VLOOKUP($A74,'Data Vlaue (Cr)'!$C:$FB,95)</f>
        <v>317</v>
      </c>
      <c r="L74" s="91">
        <f>VLOOKUP($A74,'Data Vlaue (Cr)'!$C:$FB,97)</f>
        <v>12</v>
      </c>
      <c r="M74" s="92">
        <f>VLOOKUP($A74,'Data Vlaue (Cr)'!$C:$FB,98)</f>
        <v>4.0099999999999997E-2</v>
      </c>
      <c r="N74" s="91">
        <f>VLOOKUP($A74,'Data Vlaue (Cr)'!$C:$FB,79)</f>
        <v>1137</v>
      </c>
      <c r="O74" s="92">
        <f>VLOOKUP($A74,'Data Vlaue (Cr)'!$C:$FB,82)</f>
        <v>3.3E-3</v>
      </c>
    </row>
    <row r="75" spans="1:15" x14ac:dyDescent="0.25">
      <c r="A75" s="97" t="str">
        <f>'Data Vlaue (Cr)'!C70</f>
        <v>GLENMARK</v>
      </c>
      <c r="B75" s="142">
        <f>VLOOKUP(A75,'Data Vlaue (Cr)'!C70:CW284,99,0)</f>
        <v>3402</v>
      </c>
      <c r="C75" s="90">
        <f>VLOOKUP(A75,'Data Vlaue (Cr)'!C70:CY284,101,0)</f>
        <v>67</v>
      </c>
      <c r="D75" s="139">
        <f>VLOOKUP(A75,'Data Vlaue (Cr)'!C70:CZ284,102,0)</f>
        <v>0.02</v>
      </c>
      <c r="E75" s="91">
        <f>VLOOKUP($A75,'Data Vlaue (Cr)'!$C:$FB,75)</f>
        <v>2634</v>
      </c>
      <c r="F75" s="91">
        <f>VLOOKUP($A75,'Data Vlaue (Cr)'!$C:$FB,77)</f>
        <v>-53</v>
      </c>
      <c r="G75" s="92">
        <f>VLOOKUP(A75,'Data Vlaue (Cr)'!C70:CB284,78,0)</f>
        <v>-1.9900000000000001E-2</v>
      </c>
      <c r="H75" s="91">
        <f>VLOOKUP($A75,'Data Vlaue (Cr)'!$C:$FB,91)</f>
        <v>520</v>
      </c>
      <c r="I75" s="91">
        <f>VLOOKUP($A75,'Data Vlaue (Cr)'!$C:$FB,93)</f>
        <v>108</v>
      </c>
      <c r="J75" s="92">
        <f>VLOOKUP($A75,'Data Vlaue (Cr)'!$C:$FB,94)</f>
        <v>0.26100000000000001</v>
      </c>
      <c r="K75" s="91">
        <f>VLOOKUP($A75,'Data Vlaue (Cr)'!$C:$FB,95)</f>
        <v>249</v>
      </c>
      <c r="L75" s="91">
        <f>VLOOKUP($A75,'Data Vlaue (Cr)'!$C:$FB,97)</f>
        <v>13</v>
      </c>
      <c r="M75" s="92">
        <f>VLOOKUP($A75,'Data Vlaue (Cr)'!$C:$FB,98)</f>
        <v>5.3100000000000001E-2</v>
      </c>
      <c r="N75" s="91">
        <f>VLOOKUP($A75,'Data Vlaue (Cr)'!$C:$FB,79)</f>
        <v>2619</v>
      </c>
      <c r="O75" s="92">
        <f>VLOOKUP($A75,'Data Vlaue (Cr)'!$C:$FB,82)</f>
        <v>-2.0400000000000001E-2</v>
      </c>
    </row>
    <row r="76" spans="1:15" x14ac:dyDescent="0.25">
      <c r="A76" s="97" t="str">
        <f>'Data Vlaue (Cr)'!C71</f>
        <v>GMRAIRPORT</v>
      </c>
      <c r="B76" s="142">
        <f>VLOOKUP(A76,'Data Vlaue (Cr)'!C71:CW285,99,0)</f>
        <v>2415</v>
      </c>
      <c r="C76" s="90">
        <f>VLOOKUP(A76,'Data Vlaue (Cr)'!C71:CY285,101,0)</f>
        <v>98</v>
      </c>
      <c r="D76" s="139">
        <f>VLOOKUP(A76,'Data Vlaue (Cr)'!C71:CZ285,102,0)</f>
        <v>4.2299999999999997E-2</v>
      </c>
      <c r="E76" s="91">
        <f>VLOOKUP($A76,'Data Vlaue (Cr)'!$C:$FB,75)</f>
        <v>1393</v>
      </c>
      <c r="F76" s="91">
        <f>VLOOKUP($A76,'Data Vlaue (Cr)'!$C:$FB,77)</f>
        <v>46</v>
      </c>
      <c r="G76" s="92">
        <f>VLOOKUP(A76,'Data Vlaue (Cr)'!C71:CB285,78,0)</f>
        <v>3.4200000000000001E-2</v>
      </c>
      <c r="H76" s="91">
        <f>VLOOKUP($A76,'Data Vlaue (Cr)'!$C:$FB,91)</f>
        <v>636</v>
      </c>
      <c r="I76" s="91">
        <f>VLOOKUP($A76,'Data Vlaue (Cr)'!$C:$FB,93)</f>
        <v>23</v>
      </c>
      <c r="J76" s="92">
        <f>VLOOKUP($A76,'Data Vlaue (Cr)'!$C:$FB,94)</f>
        <v>3.6700000000000003E-2</v>
      </c>
      <c r="K76" s="91">
        <f>VLOOKUP($A76,'Data Vlaue (Cr)'!$C:$FB,95)</f>
        <v>387</v>
      </c>
      <c r="L76" s="91">
        <f>VLOOKUP($A76,'Data Vlaue (Cr)'!$C:$FB,97)</f>
        <v>29</v>
      </c>
      <c r="M76" s="92">
        <f>VLOOKUP($A76,'Data Vlaue (Cr)'!$C:$FB,98)</f>
        <v>8.2600000000000007E-2</v>
      </c>
      <c r="N76" s="91">
        <f>VLOOKUP($A76,'Data Vlaue (Cr)'!$C:$FB,79)</f>
        <v>1319</v>
      </c>
      <c r="O76" s="92">
        <f>VLOOKUP($A76,'Data Vlaue (Cr)'!$C:$FB,82)</f>
        <v>3.5000000000000003E-2</v>
      </c>
    </row>
    <row r="77" spans="1:15" x14ac:dyDescent="0.25">
      <c r="A77" s="97" t="str">
        <f>'Data Vlaue (Cr)'!C72</f>
        <v>GODFRYPHLP</v>
      </c>
      <c r="B77" s="142">
        <f>VLOOKUP(A77,'Data Vlaue (Cr)'!C72:CW286,99,0)</f>
        <v>676</v>
      </c>
      <c r="C77" s="90">
        <f>VLOOKUP(A77,'Data Vlaue (Cr)'!C72:CY286,101,0)</f>
        <v>90</v>
      </c>
      <c r="D77" s="139">
        <f>VLOOKUP(A77,'Data Vlaue (Cr)'!C72:CZ286,102,0)</f>
        <v>0.153</v>
      </c>
      <c r="E77" s="91">
        <f>VLOOKUP($A77,'Data Vlaue (Cr)'!$C:$FB,75)</f>
        <v>437</v>
      </c>
      <c r="F77" s="91">
        <f>VLOOKUP($A77,'Data Vlaue (Cr)'!$C:$FB,77)</f>
        <v>40</v>
      </c>
      <c r="G77" s="92">
        <f>VLOOKUP(A77,'Data Vlaue (Cr)'!C72:CB286,78,0)</f>
        <v>0.1004</v>
      </c>
      <c r="H77" s="91">
        <f>VLOOKUP($A77,'Data Vlaue (Cr)'!$C:$FB,91)</f>
        <v>150</v>
      </c>
      <c r="I77" s="91">
        <f>VLOOKUP($A77,'Data Vlaue (Cr)'!$C:$FB,93)</f>
        <v>15</v>
      </c>
      <c r="J77" s="92">
        <f>VLOOKUP($A77,'Data Vlaue (Cr)'!$C:$FB,94)</f>
        <v>0.11409999999999999</v>
      </c>
      <c r="K77" s="91">
        <f>VLOOKUP($A77,'Data Vlaue (Cr)'!$C:$FB,95)</f>
        <v>89</v>
      </c>
      <c r="L77" s="91">
        <f>VLOOKUP($A77,'Data Vlaue (Cr)'!$C:$FB,97)</f>
        <v>34</v>
      </c>
      <c r="M77" s="92">
        <f>VLOOKUP($A77,'Data Vlaue (Cr)'!$C:$FB,98)</f>
        <v>0.6341</v>
      </c>
      <c r="N77" s="91">
        <f>VLOOKUP($A77,'Data Vlaue (Cr)'!$C:$FB,79)</f>
        <v>424</v>
      </c>
      <c r="O77" s="92">
        <f>VLOOKUP($A77,'Data Vlaue (Cr)'!$C:$FB,82)</f>
        <v>9.6500000000000002E-2</v>
      </c>
    </row>
    <row r="78" spans="1:15" x14ac:dyDescent="0.25">
      <c r="A78" s="97" t="str">
        <f>'Data Vlaue (Cr)'!C73</f>
        <v>GODREJCP</v>
      </c>
      <c r="B78" s="142">
        <f>VLOOKUP(A78,'Data Vlaue (Cr)'!C73:CW287,99,0)</f>
        <v>1956</v>
      </c>
      <c r="C78" s="90">
        <f>VLOOKUP(A78,'Data Vlaue (Cr)'!C73:CY287,101,0)</f>
        <v>287</v>
      </c>
      <c r="D78" s="139">
        <f>VLOOKUP(A78,'Data Vlaue (Cr)'!C73:CZ287,102,0)</f>
        <v>0.1721</v>
      </c>
      <c r="E78" s="91">
        <f>VLOOKUP($A78,'Data Vlaue (Cr)'!$C:$FB,75)</f>
        <v>1467</v>
      </c>
      <c r="F78" s="91">
        <f>VLOOKUP($A78,'Data Vlaue (Cr)'!$C:$FB,77)</f>
        <v>56</v>
      </c>
      <c r="G78" s="92">
        <f>VLOOKUP(A78,'Data Vlaue (Cr)'!C73:CB287,78,0)</f>
        <v>3.9300000000000002E-2</v>
      </c>
      <c r="H78" s="91">
        <f>VLOOKUP($A78,'Data Vlaue (Cr)'!$C:$FB,91)</f>
        <v>321</v>
      </c>
      <c r="I78" s="91">
        <f>VLOOKUP($A78,'Data Vlaue (Cr)'!$C:$FB,93)</f>
        <v>172</v>
      </c>
      <c r="J78" s="92">
        <f>VLOOKUP($A78,'Data Vlaue (Cr)'!$C:$FB,94)</f>
        <v>1.1523000000000001</v>
      </c>
      <c r="K78" s="91">
        <f>VLOOKUP($A78,'Data Vlaue (Cr)'!$C:$FB,95)</f>
        <v>168</v>
      </c>
      <c r="L78" s="91">
        <f>VLOOKUP($A78,'Data Vlaue (Cr)'!$C:$FB,97)</f>
        <v>60</v>
      </c>
      <c r="M78" s="92">
        <f>VLOOKUP($A78,'Data Vlaue (Cr)'!$C:$FB,98)</f>
        <v>0.55230000000000001</v>
      </c>
      <c r="N78" s="91">
        <f>VLOOKUP($A78,'Data Vlaue (Cr)'!$C:$FB,79)</f>
        <v>1387</v>
      </c>
      <c r="O78" s="92">
        <f>VLOOKUP($A78,'Data Vlaue (Cr)'!$C:$FB,82)</f>
        <v>3.9800000000000002E-2</v>
      </c>
    </row>
    <row r="79" spans="1:15" x14ac:dyDescent="0.25">
      <c r="A79" s="97" t="str">
        <f>'Data Vlaue (Cr)'!C74</f>
        <v>GODREJPROP</v>
      </c>
      <c r="B79" s="142">
        <f>VLOOKUP(A79,'Data Vlaue (Cr)'!C74:CW288,99,0)</f>
        <v>2356</v>
      </c>
      <c r="C79" s="90">
        <f>VLOOKUP(A79,'Data Vlaue (Cr)'!C74:CY288,101,0)</f>
        <v>-151</v>
      </c>
      <c r="D79" s="139">
        <f>VLOOKUP(A79,'Data Vlaue (Cr)'!C74:CZ288,102,0)</f>
        <v>-6.0299999999999999E-2</v>
      </c>
      <c r="E79" s="91">
        <f>VLOOKUP($A79,'Data Vlaue (Cr)'!$C:$FB,75)</f>
        <v>1497</v>
      </c>
      <c r="F79" s="91">
        <f>VLOOKUP($A79,'Data Vlaue (Cr)'!$C:$FB,77)</f>
        <v>-23</v>
      </c>
      <c r="G79" s="92">
        <f>VLOOKUP(A79,'Data Vlaue (Cr)'!C74:CB288,78,0)</f>
        <v>-1.52E-2</v>
      </c>
      <c r="H79" s="91">
        <f>VLOOKUP($A79,'Data Vlaue (Cr)'!$C:$FB,91)</f>
        <v>541</v>
      </c>
      <c r="I79" s="91">
        <f>VLOOKUP($A79,'Data Vlaue (Cr)'!$C:$FB,93)</f>
        <v>-104</v>
      </c>
      <c r="J79" s="92">
        <f>VLOOKUP($A79,'Data Vlaue (Cr)'!$C:$FB,94)</f>
        <v>-0.16159999999999999</v>
      </c>
      <c r="K79" s="91">
        <f>VLOOKUP($A79,'Data Vlaue (Cr)'!$C:$FB,95)</f>
        <v>318</v>
      </c>
      <c r="L79" s="91">
        <f>VLOOKUP($A79,'Data Vlaue (Cr)'!$C:$FB,97)</f>
        <v>-24</v>
      </c>
      <c r="M79" s="92">
        <f>VLOOKUP($A79,'Data Vlaue (Cr)'!$C:$FB,98)</f>
        <v>-7.0099999999999996E-2</v>
      </c>
      <c r="N79" s="91">
        <f>VLOOKUP($A79,'Data Vlaue (Cr)'!$C:$FB,79)</f>
        <v>1340</v>
      </c>
      <c r="O79" s="92">
        <f>VLOOKUP($A79,'Data Vlaue (Cr)'!$C:$FB,82)</f>
        <v>-1.5699999999999999E-2</v>
      </c>
    </row>
    <row r="80" spans="1:15" x14ac:dyDescent="0.25">
      <c r="A80" s="97" t="str">
        <f>'Data Vlaue (Cr)'!C75</f>
        <v>GRASIM</v>
      </c>
      <c r="B80" s="142">
        <f>VLOOKUP(A80,'Data Vlaue (Cr)'!C75:CW289,99,0)</f>
        <v>4986</v>
      </c>
      <c r="C80" s="90">
        <f>VLOOKUP(A80,'Data Vlaue (Cr)'!C75:CY289,101,0)</f>
        <v>79</v>
      </c>
      <c r="D80" s="139">
        <f>VLOOKUP(A80,'Data Vlaue (Cr)'!C75:CZ289,102,0)</f>
        <v>1.6E-2</v>
      </c>
      <c r="E80" s="91">
        <f>VLOOKUP($A80,'Data Vlaue (Cr)'!$C:$FB,75)</f>
        <v>4396</v>
      </c>
      <c r="F80" s="91">
        <f>VLOOKUP($A80,'Data Vlaue (Cr)'!$C:$FB,77)</f>
        <v>62</v>
      </c>
      <c r="G80" s="92">
        <f>VLOOKUP(A80,'Data Vlaue (Cr)'!C75:CB289,78,0)</f>
        <v>1.43E-2</v>
      </c>
      <c r="H80" s="91">
        <f>VLOOKUP($A80,'Data Vlaue (Cr)'!$C:$FB,91)</f>
        <v>349</v>
      </c>
      <c r="I80" s="91">
        <f>VLOOKUP($A80,'Data Vlaue (Cr)'!$C:$FB,93)</f>
        <v>5</v>
      </c>
      <c r="J80" s="92">
        <f>VLOOKUP($A80,'Data Vlaue (Cr)'!$C:$FB,94)</f>
        <v>1.43E-2</v>
      </c>
      <c r="K80" s="91">
        <f>VLOOKUP($A80,'Data Vlaue (Cr)'!$C:$FB,95)</f>
        <v>242</v>
      </c>
      <c r="L80" s="91">
        <f>VLOOKUP($A80,'Data Vlaue (Cr)'!$C:$FB,97)</f>
        <v>12</v>
      </c>
      <c r="M80" s="92">
        <f>VLOOKUP($A80,'Data Vlaue (Cr)'!$C:$FB,98)</f>
        <v>5.1700000000000003E-2</v>
      </c>
      <c r="N80" s="91">
        <f>VLOOKUP($A80,'Data Vlaue (Cr)'!$C:$FB,79)</f>
        <v>4153</v>
      </c>
      <c r="O80" s="92">
        <f>VLOOKUP($A80,'Data Vlaue (Cr)'!$C:$FB,82)</f>
        <v>1.4200000000000001E-2</v>
      </c>
    </row>
    <row r="81" spans="1:15" x14ac:dyDescent="0.25">
      <c r="A81" s="97" t="str">
        <f>'Data Vlaue (Cr)'!C76</f>
        <v>HAL</v>
      </c>
      <c r="B81" s="142">
        <f>VLOOKUP(A81,'Data Vlaue (Cr)'!C76:CW290,99,0)</f>
        <v>5207</v>
      </c>
      <c r="C81" s="90">
        <f>VLOOKUP(A81,'Data Vlaue (Cr)'!C76:CY290,101,0)</f>
        <v>-46</v>
      </c>
      <c r="D81" s="139">
        <f>VLOOKUP(A81,'Data Vlaue (Cr)'!C76:CZ290,102,0)</f>
        <v>-8.6999999999999994E-3</v>
      </c>
      <c r="E81" s="91">
        <f>VLOOKUP($A81,'Data Vlaue (Cr)'!$C:$FB,75)</f>
        <v>3071</v>
      </c>
      <c r="F81" s="91">
        <f>VLOOKUP($A81,'Data Vlaue (Cr)'!$C:$FB,77)</f>
        <v>-42</v>
      </c>
      <c r="G81" s="92">
        <f>VLOOKUP(A81,'Data Vlaue (Cr)'!C76:CB290,78,0)</f>
        <v>-1.35E-2</v>
      </c>
      <c r="H81" s="91">
        <f>VLOOKUP($A81,'Data Vlaue (Cr)'!$C:$FB,91)</f>
        <v>1212</v>
      </c>
      <c r="I81" s="91">
        <f>VLOOKUP($A81,'Data Vlaue (Cr)'!$C:$FB,93)</f>
        <v>29</v>
      </c>
      <c r="J81" s="92">
        <f>VLOOKUP($A81,'Data Vlaue (Cr)'!$C:$FB,94)</f>
        <v>2.4199999999999999E-2</v>
      </c>
      <c r="K81" s="91">
        <f>VLOOKUP($A81,'Data Vlaue (Cr)'!$C:$FB,95)</f>
        <v>924</v>
      </c>
      <c r="L81" s="91">
        <f>VLOOKUP($A81,'Data Vlaue (Cr)'!$C:$FB,97)</f>
        <v>-32</v>
      </c>
      <c r="M81" s="92">
        <f>VLOOKUP($A81,'Data Vlaue (Cr)'!$C:$FB,98)</f>
        <v>-3.39E-2</v>
      </c>
      <c r="N81" s="91">
        <f>VLOOKUP($A81,'Data Vlaue (Cr)'!$C:$FB,79)</f>
        <v>2646</v>
      </c>
      <c r="O81" s="92">
        <f>VLOOKUP($A81,'Data Vlaue (Cr)'!$C:$FB,82)</f>
        <v>-1.78E-2</v>
      </c>
    </row>
    <row r="82" spans="1:15" x14ac:dyDescent="0.25">
      <c r="A82" s="97" t="str">
        <f>'Data Vlaue (Cr)'!C77</f>
        <v>HAVELLS</v>
      </c>
      <c r="B82" s="142">
        <f>VLOOKUP(A82,'Data Vlaue (Cr)'!C77:CW291,99,0)</f>
        <v>2296</v>
      </c>
      <c r="C82" s="90">
        <f>VLOOKUP(A82,'Data Vlaue (Cr)'!C77:CY291,101,0)</f>
        <v>-10</v>
      </c>
      <c r="D82" s="139">
        <f>VLOOKUP(A82,'Data Vlaue (Cr)'!C77:CZ291,102,0)</f>
        <v>-4.1999999999999997E-3</v>
      </c>
      <c r="E82" s="91">
        <f>VLOOKUP($A82,'Data Vlaue (Cr)'!$C:$FB,75)</f>
        <v>1296</v>
      </c>
      <c r="F82" s="91">
        <f>VLOOKUP($A82,'Data Vlaue (Cr)'!$C:$FB,77)</f>
        <v>-35</v>
      </c>
      <c r="G82" s="92">
        <f>VLOOKUP(A82,'Data Vlaue (Cr)'!C77:CB291,78,0)</f>
        <v>-2.64E-2</v>
      </c>
      <c r="H82" s="91">
        <f>VLOOKUP($A82,'Data Vlaue (Cr)'!$C:$FB,91)</f>
        <v>703</v>
      </c>
      <c r="I82" s="91">
        <f>VLOOKUP($A82,'Data Vlaue (Cr)'!$C:$FB,93)</f>
        <v>26</v>
      </c>
      <c r="J82" s="92">
        <f>VLOOKUP($A82,'Data Vlaue (Cr)'!$C:$FB,94)</f>
        <v>3.8399999999999997E-2</v>
      </c>
      <c r="K82" s="91">
        <f>VLOOKUP($A82,'Data Vlaue (Cr)'!$C:$FB,95)</f>
        <v>297</v>
      </c>
      <c r="L82" s="91">
        <f>VLOOKUP($A82,'Data Vlaue (Cr)'!$C:$FB,97)</f>
        <v>-1</v>
      </c>
      <c r="M82" s="92">
        <f>VLOOKUP($A82,'Data Vlaue (Cr)'!$C:$FB,98)</f>
        <v>-1.6999999999999999E-3</v>
      </c>
      <c r="N82" s="91">
        <f>VLOOKUP($A82,'Data Vlaue (Cr)'!$C:$FB,79)</f>
        <v>1231</v>
      </c>
      <c r="O82" s="92">
        <f>VLOOKUP($A82,'Data Vlaue (Cr)'!$C:$FB,82)</f>
        <v>-2.9600000000000001E-2</v>
      </c>
    </row>
    <row r="83" spans="1:15" x14ac:dyDescent="0.25">
      <c r="A83" s="97" t="str">
        <f>'Data Vlaue (Cr)'!C78</f>
        <v>HCLTECH</v>
      </c>
      <c r="B83" s="142">
        <f>VLOOKUP(A83,'Data Vlaue (Cr)'!C78:CW292,99,0)</f>
        <v>9673</v>
      </c>
      <c r="C83" s="90">
        <f>VLOOKUP(A83,'Data Vlaue (Cr)'!C78:CY292,101,0)</f>
        <v>407</v>
      </c>
      <c r="D83" s="139">
        <f>VLOOKUP(A83,'Data Vlaue (Cr)'!C78:CZ292,102,0)</f>
        <v>4.3900000000000002E-2</v>
      </c>
      <c r="E83" s="91">
        <f>VLOOKUP($A83,'Data Vlaue (Cr)'!$C:$FB,75)</f>
        <v>5377</v>
      </c>
      <c r="F83" s="91">
        <f>VLOOKUP($A83,'Data Vlaue (Cr)'!$C:$FB,77)</f>
        <v>150</v>
      </c>
      <c r="G83" s="92">
        <f>VLOOKUP(A83,'Data Vlaue (Cr)'!C78:CB292,78,0)</f>
        <v>2.87E-2</v>
      </c>
      <c r="H83" s="91">
        <f>VLOOKUP($A83,'Data Vlaue (Cr)'!$C:$FB,91)</f>
        <v>2885</v>
      </c>
      <c r="I83" s="91">
        <f>VLOOKUP($A83,'Data Vlaue (Cr)'!$C:$FB,93)</f>
        <v>242</v>
      </c>
      <c r="J83" s="92">
        <f>VLOOKUP($A83,'Data Vlaue (Cr)'!$C:$FB,94)</f>
        <v>9.1600000000000001E-2</v>
      </c>
      <c r="K83" s="91">
        <f>VLOOKUP($A83,'Data Vlaue (Cr)'!$C:$FB,95)</f>
        <v>1411</v>
      </c>
      <c r="L83" s="91">
        <f>VLOOKUP($A83,'Data Vlaue (Cr)'!$C:$FB,97)</f>
        <v>15</v>
      </c>
      <c r="M83" s="92">
        <f>VLOOKUP($A83,'Data Vlaue (Cr)'!$C:$FB,98)</f>
        <v>1.0800000000000001E-2</v>
      </c>
      <c r="N83" s="91">
        <f>VLOOKUP($A83,'Data Vlaue (Cr)'!$C:$FB,79)</f>
        <v>5068</v>
      </c>
      <c r="O83" s="92">
        <f>VLOOKUP($A83,'Data Vlaue (Cr)'!$C:$FB,82)</f>
        <v>2.1600000000000001E-2</v>
      </c>
    </row>
    <row r="84" spans="1:15" x14ac:dyDescent="0.25">
      <c r="A84" s="97" t="str">
        <f>'Data Vlaue (Cr)'!C79</f>
        <v>HDFCAMC</v>
      </c>
      <c r="B84" s="142">
        <f>VLOOKUP(A84,'Data Vlaue (Cr)'!C79:CW293,99,0)</f>
        <v>2291</v>
      </c>
      <c r="C84" s="90">
        <f>VLOOKUP(A84,'Data Vlaue (Cr)'!C79:CY293,101,0)</f>
        <v>71</v>
      </c>
      <c r="D84" s="139">
        <f>VLOOKUP(A84,'Data Vlaue (Cr)'!C79:CZ293,102,0)</f>
        <v>3.1899999999999998E-2</v>
      </c>
      <c r="E84" s="91">
        <f>VLOOKUP($A84,'Data Vlaue (Cr)'!$C:$FB,75)</f>
        <v>1709</v>
      </c>
      <c r="F84" s="91">
        <f>VLOOKUP($A84,'Data Vlaue (Cr)'!$C:$FB,77)</f>
        <v>62</v>
      </c>
      <c r="G84" s="92">
        <f>VLOOKUP(A84,'Data Vlaue (Cr)'!C79:CB293,78,0)</f>
        <v>3.7900000000000003E-2</v>
      </c>
      <c r="H84" s="91">
        <f>VLOOKUP($A84,'Data Vlaue (Cr)'!$C:$FB,91)</f>
        <v>361</v>
      </c>
      <c r="I84" s="91">
        <f>VLOOKUP($A84,'Data Vlaue (Cr)'!$C:$FB,93)</f>
        <v>-7</v>
      </c>
      <c r="J84" s="92">
        <f>VLOOKUP($A84,'Data Vlaue (Cr)'!$C:$FB,94)</f>
        <v>-2.01E-2</v>
      </c>
      <c r="K84" s="91">
        <f>VLOOKUP($A84,'Data Vlaue (Cr)'!$C:$FB,95)</f>
        <v>222</v>
      </c>
      <c r="L84" s="91">
        <f>VLOOKUP($A84,'Data Vlaue (Cr)'!$C:$FB,97)</f>
        <v>16</v>
      </c>
      <c r="M84" s="92">
        <f>VLOOKUP($A84,'Data Vlaue (Cr)'!$C:$FB,98)</f>
        <v>7.6899999999999996E-2</v>
      </c>
      <c r="N84" s="91">
        <f>VLOOKUP($A84,'Data Vlaue (Cr)'!$C:$FB,79)</f>
        <v>1682</v>
      </c>
      <c r="O84" s="92">
        <f>VLOOKUP($A84,'Data Vlaue (Cr)'!$C:$FB,82)</f>
        <v>3.8600000000000002E-2</v>
      </c>
    </row>
    <row r="85" spans="1:15" x14ac:dyDescent="0.25">
      <c r="A85" s="97" t="str">
        <f>'Data Vlaue (Cr)'!C80</f>
        <v>HDFCBANK</v>
      </c>
      <c r="B85" s="142">
        <f>VLOOKUP(A85,'Data Vlaue (Cr)'!C80:CW294,99,0)</f>
        <v>36453</v>
      </c>
      <c r="C85" s="90">
        <f>VLOOKUP(A85,'Data Vlaue (Cr)'!C80:CY294,101,0)</f>
        <v>633</v>
      </c>
      <c r="D85" s="139">
        <f>VLOOKUP(A85,'Data Vlaue (Cr)'!C80:CZ294,102,0)</f>
        <v>1.77E-2</v>
      </c>
      <c r="E85" s="91">
        <f>VLOOKUP($A85,'Data Vlaue (Cr)'!$C:$FB,75)</f>
        <v>27526</v>
      </c>
      <c r="F85" s="91">
        <f>VLOOKUP($A85,'Data Vlaue (Cr)'!$C:$FB,77)</f>
        <v>268</v>
      </c>
      <c r="G85" s="92">
        <f>VLOOKUP(A85,'Data Vlaue (Cr)'!C80:CB294,78,0)</f>
        <v>9.7999999999999997E-3</v>
      </c>
      <c r="H85" s="91">
        <f>VLOOKUP($A85,'Data Vlaue (Cr)'!$C:$FB,91)</f>
        <v>5592</v>
      </c>
      <c r="I85" s="91">
        <f>VLOOKUP($A85,'Data Vlaue (Cr)'!$C:$FB,93)</f>
        <v>61</v>
      </c>
      <c r="J85" s="92">
        <f>VLOOKUP($A85,'Data Vlaue (Cr)'!$C:$FB,94)</f>
        <v>1.0999999999999999E-2</v>
      </c>
      <c r="K85" s="91">
        <f>VLOOKUP($A85,'Data Vlaue (Cr)'!$C:$FB,95)</f>
        <v>3334</v>
      </c>
      <c r="L85" s="91">
        <f>VLOOKUP($A85,'Data Vlaue (Cr)'!$C:$FB,97)</f>
        <v>305</v>
      </c>
      <c r="M85" s="92">
        <f>VLOOKUP($A85,'Data Vlaue (Cr)'!$C:$FB,98)</f>
        <v>0.10059999999999999</v>
      </c>
      <c r="N85" s="91">
        <f>VLOOKUP($A85,'Data Vlaue (Cr)'!$C:$FB,79)</f>
        <v>20769</v>
      </c>
      <c r="O85" s="92">
        <f>VLOOKUP($A85,'Data Vlaue (Cr)'!$C:$FB,82)</f>
        <v>8.0000000000000002E-3</v>
      </c>
    </row>
    <row r="86" spans="1:15" x14ac:dyDescent="0.25">
      <c r="A86" s="97" t="str">
        <f>'Data Vlaue (Cr)'!C81</f>
        <v>HDFCLIFE</v>
      </c>
      <c r="B86" s="142">
        <f>VLOOKUP(A86,'Data Vlaue (Cr)'!C81:CW295,99,0)</f>
        <v>4813</v>
      </c>
      <c r="C86" s="90">
        <f>VLOOKUP(A86,'Data Vlaue (Cr)'!C81:CY295,101,0)</f>
        <v>576</v>
      </c>
      <c r="D86" s="139">
        <f>VLOOKUP(A86,'Data Vlaue (Cr)'!C81:CZ295,102,0)</f>
        <v>0.13589999999999999</v>
      </c>
      <c r="E86" s="91">
        <f>VLOOKUP($A86,'Data Vlaue (Cr)'!$C:$FB,75)</f>
        <v>3157</v>
      </c>
      <c r="F86" s="91">
        <f>VLOOKUP($A86,'Data Vlaue (Cr)'!$C:$FB,77)</f>
        <v>452</v>
      </c>
      <c r="G86" s="92">
        <f>VLOOKUP(A86,'Data Vlaue (Cr)'!C81:CB295,78,0)</f>
        <v>0.16689999999999999</v>
      </c>
      <c r="H86" s="91">
        <f>VLOOKUP($A86,'Data Vlaue (Cr)'!$C:$FB,91)</f>
        <v>1059</v>
      </c>
      <c r="I86" s="91">
        <f>VLOOKUP($A86,'Data Vlaue (Cr)'!$C:$FB,93)</f>
        <v>73</v>
      </c>
      <c r="J86" s="92">
        <f>VLOOKUP($A86,'Data Vlaue (Cr)'!$C:$FB,94)</f>
        <v>7.3999999999999996E-2</v>
      </c>
      <c r="K86" s="91">
        <f>VLOOKUP($A86,'Data Vlaue (Cr)'!$C:$FB,95)</f>
        <v>597</v>
      </c>
      <c r="L86" s="91">
        <f>VLOOKUP($A86,'Data Vlaue (Cr)'!$C:$FB,97)</f>
        <v>51</v>
      </c>
      <c r="M86" s="92">
        <f>VLOOKUP($A86,'Data Vlaue (Cr)'!$C:$FB,98)</f>
        <v>9.3799999999999994E-2</v>
      </c>
      <c r="N86" s="91">
        <f>VLOOKUP($A86,'Data Vlaue (Cr)'!$C:$FB,79)</f>
        <v>2879</v>
      </c>
      <c r="O86" s="92">
        <f>VLOOKUP($A86,'Data Vlaue (Cr)'!$C:$FB,82)</f>
        <v>0.182</v>
      </c>
    </row>
    <row r="87" spans="1:15" x14ac:dyDescent="0.25">
      <c r="A87" s="97" t="str">
        <f>'Data Vlaue (Cr)'!C82</f>
        <v>HEROMOTOCO</v>
      </c>
      <c r="B87" s="142">
        <f>VLOOKUP(A87,'Data Vlaue (Cr)'!C82:CW296,99,0)</f>
        <v>4471</v>
      </c>
      <c r="C87" s="90">
        <f>VLOOKUP(A87,'Data Vlaue (Cr)'!C82:CY296,101,0)</f>
        <v>267</v>
      </c>
      <c r="D87" s="139">
        <f>VLOOKUP(A87,'Data Vlaue (Cr)'!C82:CZ296,102,0)</f>
        <v>6.3399999999999998E-2</v>
      </c>
      <c r="E87" s="91">
        <f>VLOOKUP($A87,'Data Vlaue (Cr)'!$C:$FB,75)</f>
        <v>2335</v>
      </c>
      <c r="F87" s="91">
        <f>VLOOKUP($A87,'Data Vlaue (Cr)'!$C:$FB,77)</f>
        <v>-99</v>
      </c>
      <c r="G87" s="92">
        <f>VLOOKUP(A87,'Data Vlaue (Cr)'!C82:CB296,78,0)</f>
        <v>-4.07E-2</v>
      </c>
      <c r="H87" s="91">
        <f>VLOOKUP($A87,'Data Vlaue (Cr)'!$C:$FB,91)</f>
        <v>1377</v>
      </c>
      <c r="I87" s="91">
        <f>VLOOKUP($A87,'Data Vlaue (Cr)'!$C:$FB,93)</f>
        <v>227</v>
      </c>
      <c r="J87" s="92">
        <f>VLOOKUP($A87,'Data Vlaue (Cr)'!$C:$FB,94)</f>
        <v>0.19769999999999999</v>
      </c>
      <c r="K87" s="91">
        <f>VLOOKUP($A87,'Data Vlaue (Cr)'!$C:$FB,95)</f>
        <v>759</v>
      </c>
      <c r="L87" s="91">
        <f>VLOOKUP($A87,'Data Vlaue (Cr)'!$C:$FB,97)</f>
        <v>138</v>
      </c>
      <c r="M87" s="92">
        <f>VLOOKUP($A87,'Data Vlaue (Cr)'!$C:$FB,98)</f>
        <v>0.2228</v>
      </c>
      <c r="N87" s="91">
        <f>VLOOKUP($A87,'Data Vlaue (Cr)'!$C:$FB,79)</f>
        <v>2156</v>
      </c>
      <c r="O87" s="92">
        <f>VLOOKUP($A87,'Data Vlaue (Cr)'!$C:$FB,82)</f>
        <v>-5.0599999999999999E-2</v>
      </c>
    </row>
    <row r="88" spans="1:15" x14ac:dyDescent="0.25">
      <c r="A88" s="97" t="str">
        <f>'Data Vlaue (Cr)'!C83</f>
        <v>HINDALCO</v>
      </c>
      <c r="B88" s="142">
        <f>VLOOKUP(A88,'Data Vlaue (Cr)'!C83:CW297,99,0)</f>
        <v>4874</v>
      </c>
      <c r="C88" s="90">
        <f>VLOOKUP(A88,'Data Vlaue (Cr)'!C83:CY297,101,0)</f>
        <v>48</v>
      </c>
      <c r="D88" s="139">
        <f>VLOOKUP(A88,'Data Vlaue (Cr)'!C83:CZ297,102,0)</f>
        <v>9.9000000000000008E-3</v>
      </c>
      <c r="E88" s="91">
        <f>VLOOKUP($A88,'Data Vlaue (Cr)'!$C:$FB,75)</f>
        <v>3561</v>
      </c>
      <c r="F88" s="91">
        <f>VLOOKUP($A88,'Data Vlaue (Cr)'!$C:$FB,77)</f>
        <v>-52</v>
      </c>
      <c r="G88" s="92">
        <f>VLOOKUP(A88,'Data Vlaue (Cr)'!C83:CB297,78,0)</f>
        <v>-1.4500000000000001E-2</v>
      </c>
      <c r="H88" s="91">
        <f>VLOOKUP($A88,'Data Vlaue (Cr)'!$C:$FB,91)</f>
        <v>764</v>
      </c>
      <c r="I88" s="91">
        <f>VLOOKUP($A88,'Data Vlaue (Cr)'!$C:$FB,93)</f>
        <v>79</v>
      </c>
      <c r="J88" s="92">
        <f>VLOOKUP($A88,'Data Vlaue (Cr)'!$C:$FB,94)</f>
        <v>0.1159</v>
      </c>
      <c r="K88" s="91">
        <f>VLOOKUP($A88,'Data Vlaue (Cr)'!$C:$FB,95)</f>
        <v>550</v>
      </c>
      <c r="L88" s="91">
        <f>VLOOKUP($A88,'Data Vlaue (Cr)'!$C:$FB,97)</f>
        <v>21</v>
      </c>
      <c r="M88" s="92">
        <f>VLOOKUP($A88,'Data Vlaue (Cr)'!$C:$FB,98)</f>
        <v>3.9E-2</v>
      </c>
      <c r="N88" s="91">
        <f>VLOOKUP($A88,'Data Vlaue (Cr)'!$C:$FB,79)</f>
        <v>3196</v>
      </c>
      <c r="O88" s="92">
        <f>VLOOKUP($A88,'Data Vlaue (Cr)'!$C:$FB,82)</f>
        <v>-1.9900000000000001E-2</v>
      </c>
    </row>
    <row r="89" spans="1:15" x14ac:dyDescent="0.25">
      <c r="A89" s="97" t="str">
        <f>'Data Vlaue (Cr)'!C84</f>
        <v>HINDPETRO</v>
      </c>
      <c r="B89" s="142">
        <f>VLOOKUP(A89,'Data Vlaue (Cr)'!C84:CW298,99,0)</f>
        <v>2615</v>
      </c>
      <c r="C89" s="90">
        <f>VLOOKUP(A89,'Data Vlaue (Cr)'!C84:CY298,101,0)</f>
        <v>194</v>
      </c>
      <c r="D89" s="139">
        <f>VLOOKUP(A89,'Data Vlaue (Cr)'!C84:CZ298,102,0)</f>
        <v>8.0199999999999994E-2</v>
      </c>
      <c r="E89" s="91">
        <f>VLOOKUP($A89,'Data Vlaue (Cr)'!$C:$FB,75)</f>
        <v>1586</v>
      </c>
      <c r="F89" s="91">
        <f>VLOOKUP($A89,'Data Vlaue (Cr)'!$C:$FB,77)</f>
        <v>34</v>
      </c>
      <c r="G89" s="92">
        <f>VLOOKUP(A89,'Data Vlaue (Cr)'!C84:CB298,78,0)</f>
        <v>2.1700000000000001E-2</v>
      </c>
      <c r="H89" s="91">
        <f>VLOOKUP($A89,'Data Vlaue (Cr)'!$C:$FB,91)</f>
        <v>499</v>
      </c>
      <c r="I89" s="91">
        <f>VLOOKUP($A89,'Data Vlaue (Cr)'!$C:$FB,93)</f>
        <v>95</v>
      </c>
      <c r="J89" s="92">
        <f>VLOOKUP($A89,'Data Vlaue (Cr)'!$C:$FB,94)</f>
        <v>0.23599999999999999</v>
      </c>
      <c r="K89" s="91">
        <f>VLOOKUP($A89,'Data Vlaue (Cr)'!$C:$FB,95)</f>
        <v>530</v>
      </c>
      <c r="L89" s="91">
        <f>VLOOKUP($A89,'Data Vlaue (Cr)'!$C:$FB,97)</f>
        <v>65</v>
      </c>
      <c r="M89" s="92">
        <f>VLOOKUP($A89,'Data Vlaue (Cr)'!$C:$FB,98)</f>
        <v>0.14000000000000001</v>
      </c>
      <c r="N89" s="91">
        <f>VLOOKUP($A89,'Data Vlaue (Cr)'!$C:$FB,79)</f>
        <v>1529</v>
      </c>
      <c r="O89" s="92">
        <f>VLOOKUP($A89,'Data Vlaue (Cr)'!$C:$FB,82)</f>
        <v>2.07E-2</v>
      </c>
    </row>
    <row r="90" spans="1:15" x14ac:dyDescent="0.25">
      <c r="A90" s="97" t="str">
        <f>'Data Vlaue (Cr)'!C85</f>
        <v>HINDUNILVR</v>
      </c>
      <c r="B90" s="142">
        <f>VLOOKUP(A90,'Data Vlaue (Cr)'!C85:CW299,99,0)</f>
        <v>6383</v>
      </c>
      <c r="C90" s="90">
        <f>VLOOKUP(A90,'Data Vlaue (Cr)'!C85:CY299,101,0)</f>
        <v>135</v>
      </c>
      <c r="D90" s="139">
        <f>VLOOKUP(A90,'Data Vlaue (Cr)'!C85:CZ299,102,0)</f>
        <v>2.1700000000000001E-2</v>
      </c>
      <c r="E90" s="91">
        <f>VLOOKUP($A90,'Data Vlaue (Cr)'!$C:$FB,75)</f>
        <v>3552</v>
      </c>
      <c r="F90" s="91">
        <f>VLOOKUP($A90,'Data Vlaue (Cr)'!$C:$FB,77)</f>
        <v>51</v>
      </c>
      <c r="G90" s="92">
        <f>VLOOKUP(A90,'Data Vlaue (Cr)'!C85:CB299,78,0)</f>
        <v>1.4500000000000001E-2</v>
      </c>
      <c r="H90" s="91">
        <f>VLOOKUP($A90,'Data Vlaue (Cr)'!$C:$FB,91)</f>
        <v>1856</v>
      </c>
      <c r="I90" s="91">
        <f>VLOOKUP($A90,'Data Vlaue (Cr)'!$C:$FB,93)</f>
        <v>104</v>
      </c>
      <c r="J90" s="92">
        <f>VLOOKUP($A90,'Data Vlaue (Cr)'!$C:$FB,94)</f>
        <v>5.9299999999999999E-2</v>
      </c>
      <c r="K90" s="91">
        <f>VLOOKUP($A90,'Data Vlaue (Cr)'!$C:$FB,95)</f>
        <v>975</v>
      </c>
      <c r="L90" s="91">
        <f>VLOOKUP($A90,'Data Vlaue (Cr)'!$C:$FB,97)</f>
        <v>-19</v>
      </c>
      <c r="M90" s="92">
        <f>VLOOKUP($A90,'Data Vlaue (Cr)'!$C:$FB,98)</f>
        <v>-1.9300000000000001E-2</v>
      </c>
      <c r="N90" s="91">
        <f>VLOOKUP($A90,'Data Vlaue (Cr)'!$C:$FB,79)</f>
        <v>3379</v>
      </c>
      <c r="O90" s="92">
        <f>VLOOKUP($A90,'Data Vlaue (Cr)'!$C:$FB,82)</f>
        <v>1.11E-2</v>
      </c>
    </row>
    <row r="91" spans="1:15" x14ac:dyDescent="0.25">
      <c r="A91" s="97" t="str">
        <f>'Data Vlaue (Cr)'!C86</f>
        <v>HINDZINC</v>
      </c>
      <c r="B91" s="142">
        <f>VLOOKUP(A91,'Data Vlaue (Cr)'!C86:CW300,99,0)</f>
        <v>4184</v>
      </c>
      <c r="C91" s="90">
        <f>VLOOKUP(A91,'Data Vlaue (Cr)'!C86:CY300,101,0)</f>
        <v>234</v>
      </c>
      <c r="D91" s="139">
        <f>VLOOKUP(A91,'Data Vlaue (Cr)'!C86:CZ300,102,0)</f>
        <v>5.9299999999999999E-2</v>
      </c>
      <c r="E91" s="91">
        <f>VLOOKUP($A91,'Data Vlaue (Cr)'!$C:$FB,75)</f>
        <v>2307</v>
      </c>
      <c r="F91" s="91">
        <f>VLOOKUP($A91,'Data Vlaue (Cr)'!$C:$FB,77)</f>
        <v>96</v>
      </c>
      <c r="G91" s="92">
        <f>VLOOKUP(A91,'Data Vlaue (Cr)'!C86:CB300,78,0)</f>
        <v>4.3400000000000001E-2</v>
      </c>
      <c r="H91" s="91">
        <f>VLOOKUP($A91,'Data Vlaue (Cr)'!$C:$FB,91)</f>
        <v>1083</v>
      </c>
      <c r="I91" s="91">
        <f>VLOOKUP($A91,'Data Vlaue (Cr)'!$C:$FB,93)</f>
        <v>34</v>
      </c>
      <c r="J91" s="92">
        <f>VLOOKUP($A91,'Data Vlaue (Cr)'!$C:$FB,94)</f>
        <v>3.2300000000000002E-2</v>
      </c>
      <c r="K91" s="91">
        <f>VLOOKUP($A91,'Data Vlaue (Cr)'!$C:$FB,95)</f>
        <v>795</v>
      </c>
      <c r="L91" s="91">
        <f>VLOOKUP($A91,'Data Vlaue (Cr)'!$C:$FB,97)</f>
        <v>104</v>
      </c>
      <c r="M91" s="92">
        <f>VLOOKUP($A91,'Data Vlaue (Cr)'!$C:$FB,98)</f>
        <v>0.1512</v>
      </c>
      <c r="N91" s="91">
        <f>VLOOKUP($A91,'Data Vlaue (Cr)'!$C:$FB,79)</f>
        <v>2226</v>
      </c>
      <c r="O91" s="92">
        <f>VLOOKUP($A91,'Data Vlaue (Cr)'!$C:$FB,82)</f>
        <v>4.1399999999999999E-2</v>
      </c>
    </row>
    <row r="92" spans="1:15" x14ac:dyDescent="0.25">
      <c r="A92" s="97" t="str">
        <f>'Data Vlaue (Cr)'!C87</f>
        <v>HYUNDAI</v>
      </c>
      <c r="B92" s="142">
        <f>VLOOKUP(A92,'Data Vlaue (Cr)'!C87:CW301,99,0)</f>
        <v>2153</v>
      </c>
      <c r="C92" s="90">
        <f>VLOOKUP(A92,'Data Vlaue (Cr)'!C87:CY301,101,0)</f>
        <v>41</v>
      </c>
      <c r="D92" s="139">
        <f>VLOOKUP(A92,'Data Vlaue (Cr)'!C87:CZ301,102,0)</f>
        <v>1.9599999999999999E-2</v>
      </c>
      <c r="E92" s="91">
        <f>VLOOKUP($A92,'Data Vlaue (Cr)'!$C:$FB,75)</f>
        <v>1768</v>
      </c>
      <c r="F92" s="91">
        <f>VLOOKUP($A92,'Data Vlaue (Cr)'!$C:$FB,77)</f>
        <v>25</v>
      </c>
      <c r="G92" s="92">
        <f>VLOOKUP(A92,'Data Vlaue (Cr)'!C87:CB301,78,0)</f>
        <v>1.41E-2</v>
      </c>
      <c r="H92" s="91">
        <f>VLOOKUP($A92,'Data Vlaue (Cr)'!$C:$FB,91)</f>
        <v>207</v>
      </c>
      <c r="I92" s="91">
        <f>VLOOKUP($A92,'Data Vlaue (Cr)'!$C:$FB,93)</f>
        <v>-7</v>
      </c>
      <c r="J92" s="92">
        <f>VLOOKUP($A92,'Data Vlaue (Cr)'!$C:$FB,94)</f>
        <v>-3.4500000000000003E-2</v>
      </c>
      <c r="K92" s="91">
        <f>VLOOKUP($A92,'Data Vlaue (Cr)'!$C:$FB,95)</f>
        <v>179</v>
      </c>
      <c r="L92" s="91">
        <f>VLOOKUP($A92,'Data Vlaue (Cr)'!$C:$FB,97)</f>
        <v>24</v>
      </c>
      <c r="M92" s="92">
        <f>VLOOKUP($A92,'Data Vlaue (Cr)'!$C:$FB,98)</f>
        <v>0.15509999999999999</v>
      </c>
      <c r="N92" s="91">
        <f>VLOOKUP($A92,'Data Vlaue (Cr)'!$C:$FB,79)</f>
        <v>1531</v>
      </c>
      <c r="O92" s="92">
        <f>VLOOKUP($A92,'Data Vlaue (Cr)'!$C:$FB,82)</f>
        <v>-1.09E-2</v>
      </c>
    </row>
    <row r="93" spans="1:15" x14ac:dyDescent="0.25">
      <c r="A93" s="97" t="str">
        <f>'Data Vlaue (Cr)'!C88</f>
        <v>ICICIBANK</v>
      </c>
      <c r="B93" s="142">
        <f>VLOOKUP(A93,'Data Vlaue (Cr)'!C88:CW302,99,0)</f>
        <v>26850</v>
      </c>
      <c r="C93" s="90">
        <f>VLOOKUP(A93,'Data Vlaue (Cr)'!C88:CY302,101,0)</f>
        <v>675</v>
      </c>
      <c r="D93" s="139">
        <f>VLOOKUP(A93,'Data Vlaue (Cr)'!C88:CZ302,102,0)</f>
        <v>2.58E-2</v>
      </c>
      <c r="E93" s="91">
        <f>VLOOKUP($A93,'Data Vlaue (Cr)'!$C:$FB,75)</f>
        <v>19505</v>
      </c>
      <c r="F93" s="91">
        <f>VLOOKUP($A93,'Data Vlaue (Cr)'!$C:$FB,77)</f>
        <v>692</v>
      </c>
      <c r="G93" s="92">
        <f>VLOOKUP(A93,'Data Vlaue (Cr)'!C88:CB302,78,0)</f>
        <v>3.6799999999999999E-2</v>
      </c>
      <c r="H93" s="91">
        <f>VLOOKUP($A93,'Data Vlaue (Cr)'!$C:$FB,91)</f>
        <v>4580</v>
      </c>
      <c r="I93" s="91">
        <f>VLOOKUP($A93,'Data Vlaue (Cr)'!$C:$FB,93)</f>
        <v>-75</v>
      </c>
      <c r="J93" s="92">
        <f>VLOOKUP($A93,'Data Vlaue (Cr)'!$C:$FB,94)</f>
        <v>-1.61E-2</v>
      </c>
      <c r="K93" s="91">
        <f>VLOOKUP($A93,'Data Vlaue (Cr)'!$C:$FB,95)</f>
        <v>2765</v>
      </c>
      <c r="L93" s="91">
        <f>VLOOKUP($A93,'Data Vlaue (Cr)'!$C:$FB,97)</f>
        <v>58</v>
      </c>
      <c r="M93" s="92">
        <f>VLOOKUP($A93,'Data Vlaue (Cr)'!$C:$FB,98)</f>
        <v>2.1299999999999999E-2</v>
      </c>
      <c r="N93" s="91">
        <f>VLOOKUP($A93,'Data Vlaue (Cr)'!$C:$FB,79)</f>
        <v>15624</v>
      </c>
      <c r="O93" s="92">
        <f>VLOOKUP($A93,'Data Vlaue (Cr)'!$C:$FB,82)</f>
        <v>3.5700000000000003E-2</v>
      </c>
    </row>
    <row r="94" spans="1:15" x14ac:dyDescent="0.25">
      <c r="A94" s="97" t="str">
        <f>'Data Vlaue (Cr)'!C89</f>
        <v>ICICIGI</v>
      </c>
      <c r="B94" s="142">
        <f>VLOOKUP(A94,'Data Vlaue (Cr)'!C89:CW303,99,0)</f>
        <v>1165</v>
      </c>
      <c r="C94" s="90">
        <f>VLOOKUP(A94,'Data Vlaue (Cr)'!C89:CY303,101,0)</f>
        <v>17</v>
      </c>
      <c r="D94" s="139">
        <f>VLOOKUP(A94,'Data Vlaue (Cr)'!C89:CZ303,102,0)</f>
        <v>1.4999999999999999E-2</v>
      </c>
      <c r="E94" s="91">
        <f>VLOOKUP($A94,'Data Vlaue (Cr)'!$C:$FB,75)</f>
        <v>956</v>
      </c>
      <c r="F94" s="91">
        <f>VLOOKUP($A94,'Data Vlaue (Cr)'!$C:$FB,77)</f>
        <v>-9</v>
      </c>
      <c r="G94" s="92">
        <f>VLOOKUP(A94,'Data Vlaue (Cr)'!C89:CB303,78,0)</f>
        <v>-8.8000000000000005E-3</v>
      </c>
      <c r="H94" s="91">
        <f>VLOOKUP($A94,'Data Vlaue (Cr)'!$C:$FB,91)</f>
        <v>143</v>
      </c>
      <c r="I94" s="91">
        <f>VLOOKUP($A94,'Data Vlaue (Cr)'!$C:$FB,93)</f>
        <v>21</v>
      </c>
      <c r="J94" s="92">
        <f>VLOOKUP($A94,'Data Vlaue (Cr)'!$C:$FB,94)</f>
        <v>0.17030000000000001</v>
      </c>
      <c r="K94" s="91">
        <f>VLOOKUP($A94,'Data Vlaue (Cr)'!$C:$FB,95)</f>
        <v>66</v>
      </c>
      <c r="L94" s="91">
        <f>VLOOKUP($A94,'Data Vlaue (Cr)'!$C:$FB,97)</f>
        <v>5</v>
      </c>
      <c r="M94" s="92">
        <f>VLOOKUP($A94,'Data Vlaue (Cr)'!$C:$FB,98)</f>
        <v>7.9399999999999998E-2</v>
      </c>
      <c r="N94" s="91">
        <f>VLOOKUP($A94,'Data Vlaue (Cr)'!$C:$FB,79)</f>
        <v>901</v>
      </c>
      <c r="O94" s="92">
        <f>VLOOKUP($A94,'Data Vlaue (Cr)'!$C:$FB,82)</f>
        <v>-9.2999999999999992E-3</v>
      </c>
    </row>
    <row r="95" spans="1:15" x14ac:dyDescent="0.25">
      <c r="A95" s="97" t="str">
        <f>'Data Vlaue (Cr)'!C90</f>
        <v>ICICIPRULI</v>
      </c>
      <c r="B95" s="142">
        <f>VLOOKUP(A95,'Data Vlaue (Cr)'!C90:CW304,99,0)</f>
        <v>1579</v>
      </c>
      <c r="C95" s="90">
        <f>VLOOKUP(A95,'Data Vlaue (Cr)'!C90:CY304,101,0)</f>
        <v>-13</v>
      </c>
      <c r="D95" s="139">
        <f>VLOOKUP(A95,'Data Vlaue (Cr)'!C90:CZ304,102,0)</f>
        <v>-8.3000000000000001E-3</v>
      </c>
      <c r="E95" s="91">
        <f>VLOOKUP($A95,'Data Vlaue (Cr)'!$C:$FB,75)</f>
        <v>1129</v>
      </c>
      <c r="F95" s="91">
        <f>VLOOKUP($A95,'Data Vlaue (Cr)'!$C:$FB,77)</f>
        <v>-10</v>
      </c>
      <c r="G95" s="92">
        <f>VLOOKUP(A95,'Data Vlaue (Cr)'!C90:CB304,78,0)</f>
        <v>-8.6E-3</v>
      </c>
      <c r="H95" s="91">
        <f>VLOOKUP($A95,'Data Vlaue (Cr)'!$C:$FB,91)</f>
        <v>244</v>
      </c>
      <c r="I95" s="91">
        <f>VLOOKUP($A95,'Data Vlaue (Cr)'!$C:$FB,93)</f>
        <v>-12</v>
      </c>
      <c r="J95" s="92">
        <f>VLOOKUP($A95,'Data Vlaue (Cr)'!$C:$FB,94)</f>
        <v>-4.8399999999999999E-2</v>
      </c>
      <c r="K95" s="91">
        <f>VLOOKUP($A95,'Data Vlaue (Cr)'!$C:$FB,95)</f>
        <v>205</v>
      </c>
      <c r="L95" s="91">
        <f>VLOOKUP($A95,'Data Vlaue (Cr)'!$C:$FB,97)</f>
        <v>9</v>
      </c>
      <c r="M95" s="92">
        <f>VLOOKUP($A95,'Data Vlaue (Cr)'!$C:$FB,98)</f>
        <v>4.65E-2</v>
      </c>
      <c r="N95" s="91">
        <f>VLOOKUP($A95,'Data Vlaue (Cr)'!$C:$FB,79)</f>
        <v>1116</v>
      </c>
      <c r="O95" s="92">
        <f>VLOOKUP($A95,'Data Vlaue (Cr)'!$C:$FB,82)</f>
        <v>-9.4000000000000004E-3</v>
      </c>
    </row>
    <row r="96" spans="1:15" x14ac:dyDescent="0.25">
      <c r="A96" s="97" t="str">
        <f>'Data Vlaue (Cr)'!C91</f>
        <v>IDEA</v>
      </c>
      <c r="B96" s="142">
        <f>VLOOKUP(A96,'Data Vlaue (Cr)'!C91:CW305,99,0)</f>
        <v>10394</v>
      </c>
      <c r="C96" s="90">
        <f>VLOOKUP(A96,'Data Vlaue (Cr)'!C91:CY305,101,0)</f>
        <v>-127</v>
      </c>
      <c r="D96" s="139">
        <f>VLOOKUP(A96,'Data Vlaue (Cr)'!C91:CZ305,102,0)</f>
        <v>-1.2E-2</v>
      </c>
      <c r="E96" s="91">
        <f>VLOOKUP($A96,'Data Vlaue (Cr)'!$C:$FB,75)</f>
        <v>7616</v>
      </c>
      <c r="F96" s="91">
        <f>VLOOKUP($A96,'Data Vlaue (Cr)'!$C:$FB,77)</f>
        <v>-143</v>
      </c>
      <c r="G96" s="92">
        <f>VLOOKUP(A96,'Data Vlaue (Cr)'!C91:CB305,78,0)</f>
        <v>-1.8499999999999999E-2</v>
      </c>
      <c r="H96" s="91">
        <f>VLOOKUP($A96,'Data Vlaue (Cr)'!$C:$FB,91)</f>
        <v>1788</v>
      </c>
      <c r="I96" s="91">
        <f>VLOOKUP($A96,'Data Vlaue (Cr)'!$C:$FB,93)</f>
        <v>-25</v>
      </c>
      <c r="J96" s="92">
        <f>VLOOKUP($A96,'Data Vlaue (Cr)'!$C:$FB,94)</f>
        <v>-1.3899999999999999E-2</v>
      </c>
      <c r="K96" s="91">
        <f>VLOOKUP($A96,'Data Vlaue (Cr)'!$C:$FB,95)</f>
        <v>990</v>
      </c>
      <c r="L96" s="91">
        <f>VLOOKUP($A96,'Data Vlaue (Cr)'!$C:$FB,97)</f>
        <v>42</v>
      </c>
      <c r="M96" s="92">
        <f>VLOOKUP($A96,'Data Vlaue (Cr)'!$C:$FB,98)</f>
        <v>4.3999999999999997E-2</v>
      </c>
      <c r="N96" s="91">
        <f>VLOOKUP($A96,'Data Vlaue (Cr)'!$C:$FB,79)</f>
        <v>7360</v>
      </c>
      <c r="O96" s="92">
        <f>VLOOKUP($A96,'Data Vlaue (Cr)'!$C:$FB,82)</f>
        <v>-1.8800000000000001E-2</v>
      </c>
    </row>
    <row r="97" spans="1:15" x14ac:dyDescent="0.25">
      <c r="A97" s="97" t="str">
        <f>'Data Vlaue (Cr)'!C92</f>
        <v>IDFCFIRSTB</v>
      </c>
      <c r="B97" s="142">
        <f>VLOOKUP(A97,'Data Vlaue (Cr)'!C92:CW306,99,0)</f>
        <v>4292</v>
      </c>
      <c r="C97" s="90">
        <f>VLOOKUP(A97,'Data Vlaue (Cr)'!C92:CY306,101,0)</f>
        <v>173</v>
      </c>
      <c r="D97" s="139">
        <f>VLOOKUP(A97,'Data Vlaue (Cr)'!C92:CZ306,102,0)</f>
        <v>4.19E-2</v>
      </c>
      <c r="E97" s="91">
        <f>VLOOKUP($A97,'Data Vlaue (Cr)'!$C:$FB,75)</f>
        <v>2954</v>
      </c>
      <c r="F97" s="91">
        <f>VLOOKUP($A97,'Data Vlaue (Cr)'!$C:$FB,77)</f>
        <v>77</v>
      </c>
      <c r="G97" s="92">
        <f>VLOOKUP(A97,'Data Vlaue (Cr)'!C92:CB306,78,0)</f>
        <v>2.6700000000000002E-2</v>
      </c>
      <c r="H97" s="91">
        <f>VLOOKUP($A97,'Data Vlaue (Cr)'!$C:$FB,91)</f>
        <v>734</v>
      </c>
      <c r="I97" s="91">
        <f>VLOOKUP($A97,'Data Vlaue (Cr)'!$C:$FB,93)</f>
        <v>75</v>
      </c>
      <c r="J97" s="92">
        <f>VLOOKUP($A97,'Data Vlaue (Cr)'!$C:$FB,94)</f>
        <v>0.1135</v>
      </c>
      <c r="K97" s="91">
        <f>VLOOKUP($A97,'Data Vlaue (Cr)'!$C:$FB,95)</f>
        <v>604</v>
      </c>
      <c r="L97" s="91">
        <f>VLOOKUP($A97,'Data Vlaue (Cr)'!$C:$FB,97)</f>
        <v>21</v>
      </c>
      <c r="M97" s="92">
        <f>VLOOKUP($A97,'Data Vlaue (Cr)'!$C:$FB,98)</f>
        <v>3.56E-2</v>
      </c>
      <c r="N97" s="91">
        <f>VLOOKUP($A97,'Data Vlaue (Cr)'!$C:$FB,79)</f>
        <v>2616</v>
      </c>
      <c r="O97" s="92">
        <f>VLOOKUP($A97,'Data Vlaue (Cr)'!$C:$FB,82)</f>
        <v>2.1399999999999999E-2</v>
      </c>
    </row>
    <row r="98" spans="1:15" x14ac:dyDescent="0.25">
      <c r="A98" s="97" t="str">
        <f>'Data Vlaue (Cr)'!C93</f>
        <v>IEX</v>
      </c>
      <c r="B98" s="142">
        <f>VLOOKUP(A98,'Data Vlaue (Cr)'!C93:CW307,99,0)</f>
        <v>1861</v>
      </c>
      <c r="C98" s="90">
        <f>VLOOKUP(A98,'Data Vlaue (Cr)'!C93:CY307,101,0)</f>
        <v>27</v>
      </c>
      <c r="D98" s="139">
        <f>VLOOKUP(A98,'Data Vlaue (Cr)'!C93:CZ307,102,0)</f>
        <v>1.47E-2</v>
      </c>
      <c r="E98" s="91">
        <f>VLOOKUP($A98,'Data Vlaue (Cr)'!$C:$FB,75)</f>
        <v>909</v>
      </c>
      <c r="F98" s="91">
        <f>VLOOKUP($A98,'Data Vlaue (Cr)'!$C:$FB,77)</f>
        <v>-19</v>
      </c>
      <c r="G98" s="92">
        <f>VLOOKUP(A98,'Data Vlaue (Cr)'!C93:CB307,78,0)</f>
        <v>-2.0799999999999999E-2</v>
      </c>
      <c r="H98" s="91">
        <f>VLOOKUP($A98,'Data Vlaue (Cr)'!$C:$FB,91)</f>
        <v>581</v>
      </c>
      <c r="I98" s="91">
        <f>VLOOKUP($A98,'Data Vlaue (Cr)'!$C:$FB,93)</f>
        <v>17</v>
      </c>
      <c r="J98" s="92">
        <f>VLOOKUP($A98,'Data Vlaue (Cr)'!$C:$FB,94)</f>
        <v>2.93E-2</v>
      </c>
      <c r="K98" s="91">
        <f>VLOOKUP($A98,'Data Vlaue (Cr)'!$C:$FB,95)</f>
        <v>371</v>
      </c>
      <c r="L98" s="91">
        <f>VLOOKUP($A98,'Data Vlaue (Cr)'!$C:$FB,97)</f>
        <v>30</v>
      </c>
      <c r="M98" s="92">
        <f>VLOOKUP($A98,'Data Vlaue (Cr)'!$C:$FB,98)</f>
        <v>8.7300000000000003E-2</v>
      </c>
      <c r="N98" s="91">
        <f>VLOOKUP($A98,'Data Vlaue (Cr)'!$C:$FB,79)</f>
        <v>868</v>
      </c>
      <c r="O98" s="92">
        <f>VLOOKUP($A98,'Data Vlaue (Cr)'!$C:$FB,82)</f>
        <v>-2.1000000000000001E-2</v>
      </c>
    </row>
    <row r="99" spans="1:15" x14ac:dyDescent="0.25">
      <c r="A99" s="97" t="str">
        <f>'Data Vlaue (Cr)'!C94</f>
        <v>INDHOTEL</v>
      </c>
      <c r="B99" s="142">
        <f>VLOOKUP(A99,'Data Vlaue (Cr)'!C94:CW308,99,0)</f>
        <v>2186</v>
      </c>
      <c r="C99" s="90">
        <f>VLOOKUP(A99,'Data Vlaue (Cr)'!C94:CY308,101,0)</f>
        <v>28</v>
      </c>
      <c r="D99" s="139">
        <f>VLOOKUP(A99,'Data Vlaue (Cr)'!C94:CZ308,102,0)</f>
        <v>1.2999999999999999E-2</v>
      </c>
      <c r="E99" s="91">
        <f>VLOOKUP($A99,'Data Vlaue (Cr)'!$C:$FB,75)</f>
        <v>1477</v>
      </c>
      <c r="F99" s="91">
        <f>VLOOKUP($A99,'Data Vlaue (Cr)'!$C:$FB,77)</f>
        <v>-25</v>
      </c>
      <c r="G99" s="92">
        <f>VLOOKUP(A99,'Data Vlaue (Cr)'!C94:CB308,78,0)</f>
        <v>-1.6299999999999999E-2</v>
      </c>
      <c r="H99" s="91">
        <f>VLOOKUP($A99,'Data Vlaue (Cr)'!$C:$FB,91)</f>
        <v>357</v>
      </c>
      <c r="I99" s="91">
        <f>VLOOKUP($A99,'Data Vlaue (Cr)'!$C:$FB,93)</f>
        <v>40</v>
      </c>
      <c r="J99" s="92">
        <f>VLOOKUP($A99,'Data Vlaue (Cr)'!$C:$FB,94)</f>
        <v>0.1245</v>
      </c>
      <c r="K99" s="91">
        <f>VLOOKUP($A99,'Data Vlaue (Cr)'!$C:$FB,95)</f>
        <v>353</v>
      </c>
      <c r="L99" s="91">
        <f>VLOOKUP($A99,'Data Vlaue (Cr)'!$C:$FB,97)</f>
        <v>13</v>
      </c>
      <c r="M99" s="92">
        <f>VLOOKUP($A99,'Data Vlaue (Cr)'!$C:$FB,98)</f>
        <v>3.85E-2</v>
      </c>
      <c r="N99" s="91">
        <f>VLOOKUP($A99,'Data Vlaue (Cr)'!$C:$FB,79)</f>
        <v>1352</v>
      </c>
      <c r="O99" s="92">
        <f>VLOOKUP($A99,'Data Vlaue (Cr)'!$C:$FB,82)</f>
        <v>-2.23E-2</v>
      </c>
    </row>
    <row r="100" spans="1:15" x14ac:dyDescent="0.25">
      <c r="A100" s="97" t="str">
        <f>'Data Vlaue (Cr)'!C95</f>
        <v>INDIANB</v>
      </c>
      <c r="B100" s="142">
        <f>VLOOKUP(A100,'Data Vlaue (Cr)'!C95:CW309,99,0)</f>
        <v>2166</v>
      </c>
      <c r="C100" s="90">
        <f>VLOOKUP(A100,'Data Vlaue (Cr)'!C95:CY309,101,0)</f>
        <v>29</v>
      </c>
      <c r="D100" s="139">
        <f>VLOOKUP(A100,'Data Vlaue (Cr)'!C95:CZ309,102,0)</f>
        <v>1.37E-2</v>
      </c>
      <c r="E100" s="91">
        <f>VLOOKUP($A100,'Data Vlaue (Cr)'!$C:$FB,75)</f>
        <v>1219</v>
      </c>
      <c r="F100" s="91">
        <f>VLOOKUP($A100,'Data Vlaue (Cr)'!$C:$FB,77)</f>
        <v>30</v>
      </c>
      <c r="G100" s="92">
        <f>VLOOKUP(A100,'Data Vlaue (Cr)'!C95:CB309,78,0)</f>
        <v>2.5100000000000001E-2</v>
      </c>
      <c r="H100" s="91">
        <f>VLOOKUP($A100,'Data Vlaue (Cr)'!$C:$FB,91)</f>
        <v>612</v>
      </c>
      <c r="I100" s="91">
        <f>VLOOKUP($A100,'Data Vlaue (Cr)'!$C:$FB,93)</f>
        <v>-10</v>
      </c>
      <c r="J100" s="92">
        <f>VLOOKUP($A100,'Data Vlaue (Cr)'!$C:$FB,94)</f>
        <v>-1.55E-2</v>
      </c>
      <c r="K100" s="91">
        <f>VLOOKUP($A100,'Data Vlaue (Cr)'!$C:$FB,95)</f>
        <v>335</v>
      </c>
      <c r="L100" s="91">
        <f>VLOOKUP($A100,'Data Vlaue (Cr)'!$C:$FB,97)</f>
        <v>9</v>
      </c>
      <c r="M100" s="92">
        <f>VLOOKUP($A100,'Data Vlaue (Cr)'!$C:$FB,98)</f>
        <v>2.7900000000000001E-2</v>
      </c>
      <c r="N100" s="91">
        <f>VLOOKUP($A100,'Data Vlaue (Cr)'!$C:$FB,79)</f>
        <v>1171</v>
      </c>
      <c r="O100" s="92">
        <f>VLOOKUP($A100,'Data Vlaue (Cr)'!$C:$FB,82)</f>
        <v>2.4899999999999999E-2</v>
      </c>
    </row>
    <row r="101" spans="1:15" x14ac:dyDescent="0.25">
      <c r="A101" s="97" t="str">
        <f>'Data Vlaue (Cr)'!C96</f>
        <v>INDIAVIX</v>
      </c>
      <c r="B101" s="142">
        <f>VLOOKUP(A101,'Data Vlaue (Cr)'!C96:CW310,99,0)</f>
        <v>0</v>
      </c>
      <c r="C101" s="90">
        <f>VLOOKUP(A101,'Data Vlaue (Cr)'!C96:CY310,101,0)</f>
        <v>0</v>
      </c>
      <c r="D101" s="139">
        <f>VLOOKUP(A101,'Data Vlaue (Cr)'!C96:CZ310,102,0)</f>
        <v>0</v>
      </c>
      <c r="E101" s="91">
        <f>VLOOKUP($A101,'Data Vlaue (Cr)'!$C:$FB,75)</f>
        <v>0</v>
      </c>
      <c r="F101" s="91">
        <f>VLOOKUP($A101,'Data Vlaue (Cr)'!$C:$FB,77)</f>
        <v>0</v>
      </c>
      <c r="G101" s="92">
        <f>VLOOKUP(A101,'Data Vlaue (Cr)'!C96:CB310,78,0)</f>
        <v>0</v>
      </c>
      <c r="H101" s="91">
        <f>VLOOKUP($A101,'Data Vlaue (Cr)'!$C:$FB,91)</f>
        <v>0</v>
      </c>
      <c r="I101" s="91">
        <f>VLOOKUP($A101,'Data Vlaue (Cr)'!$C:$FB,93)</f>
        <v>0</v>
      </c>
      <c r="J101" s="92">
        <f>VLOOKUP($A101,'Data Vlaue (Cr)'!$C:$FB,94)</f>
        <v>0</v>
      </c>
      <c r="K101" s="91">
        <f>VLOOKUP($A101,'Data Vlaue (Cr)'!$C:$FB,95)</f>
        <v>0</v>
      </c>
      <c r="L101" s="91">
        <f>VLOOKUP($A101,'Data Vlaue (Cr)'!$C:$FB,97)</f>
        <v>0</v>
      </c>
      <c r="M101" s="92">
        <f>VLOOKUP($A101,'Data Vlaue (Cr)'!$C:$FB,98)</f>
        <v>0</v>
      </c>
      <c r="N101" s="91">
        <f>VLOOKUP($A101,'Data Vlaue (Cr)'!$C:$FB,79)</f>
        <v>0</v>
      </c>
      <c r="O101" s="92">
        <f>VLOOKUP($A101,'Data Vlaue (Cr)'!$C:$FB,82)</f>
        <v>0</v>
      </c>
    </row>
    <row r="102" spans="1:15" x14ac:dyDescent="0.25">
      <c r="A102" s="97" t="str">
        <f>'Data Vlaue (Cr)'!C97</f>
        <v>INDIGO</v>
      </c>
      <c r="B102" s="142">
        <f>VLOOKUP(A102,'Data Vlaue (Cr)'!C97:CW311,99,0)</f>
        <v>6650</v>
      </c>
      <c r="C102" s="90">
        <f>VLOOKUP(A102,'Data Vlaue (Cr)'!C97:CY311,101,0)</f>
        <v>402</v>
      </c>
      <c r="D102" s="139">
        <f>VLOOKUP(A102,'Data Vlaue (Cr)'!C97:CZ311,102,0)</f>
        <v>6.4299999999999996E-2</v>
      </c>
      <c r="E102" s="91">
        <f>VLOOKUP($A102,'Data Vlaue (Cr)'!$C:$FB,75)</f>
        <v>3526</v>
      </c>
      <c r="F102" s="91">
        <f>VLOOKUP($A102,'Data Vlaue (Cr)'!$C:$FB,77)</f>
        <v>-69</v>
      </c>
      <c r="G102" s="92">
        <f>VLOOKUP(A102,'Data Vlaue (Cr)'!C97:CB311,78,0)</f>
        <v>-1.9300000000000001E-2</v>
      </c>
      <c r="H102" s="91">
        <f>VLOOKUP($A102,'Data Vlaue (Cr)'!$C:$FB,91)</f>
        <v>1953</v>
      </c>
      <c r="I102" s="91">
        <f>VLOOKUP($A102,'Data Vlaue (Cr)'!$C:$FB,93)</f>
        <v>247</v>
      </c>
      <c r="J102" s="92">
        <f>VLOOKUP($A102,'Data Vlaue (Cr)'!$C:$FB,94)</f>
        <v>0.14460000000000001</v>
      </c>
      <c r="K102" s="91">
        <f>VLOOKUP($A102,'Data Vlaue (Cr)'!$C:$FB,95)</f>
        <v>1171</v>
      </c>
      <c r="L102" s="91">
        <f>VLOOKUP($A102,'Data Vlaue (Cr)'!$C:$FB,97)</f>
        <v>224</v>
      </c>
      <c r="M102" s="92">
        <f>VLOOKUP($A102,'Data Vlaue (Cr)'!$C:$FB,98)</f>
        <v>0.23710000000000001</v>
      </c>
      <c r="N102" s="91">
        <f>VLOOKUP($A102,'Data Vlaue (Cr)'!$C:$FB,79)</f>
        <v>3404</v>
      </c>
      <c r="O102" s="92">
        <f>VLOOKUP($A102,'Data Vlaue (Cr)'!$C:$FB,82)</f>
        <v>-2.01E-2</v>
      </c>
    </row>
    <row r="103" spans="1:15" x14ac:dyDescent="0.25">
      <c r="A103" s="97" t="str">
        <f>'Data Vlaue (Cr)'!C98</f>
        <v>INDUSINDBK</v>
      </c>
      <c r="B103" s="142">
        <f>VLOOKUP(A103,'Data Vlaue (Cr)'!C98:CW312,99,0)</f>
        <v>4685</v>
      </c>
      <c r="C103" s="90">
        <f>VLOOKUP(A103,'Data Vlaue (Cr)'!C98:CY312,101,0)</f>
        <v>95</v>
      </c>
      <c r="D103" s="139">
        <f>VLOOKUP(A103,'Data Vlaue (Cr)'!C98:CZ312,102,0)</f>
        <v>2.07E-2</v>
      </c>
      <c r="E103" s="91">
        <f>VLOOKUP($A103,'Data Vlaue (Cr)'!$C:$FB,75)</f>
        <v>3486</v>
      </c>
      <c r="F103" s="91">
        <f>VLOOKUP($A103,'Data Vlaue (Cr)'!$C:$FB,77)</f>
        <v>12</v>
      </c>
      <c r="G103" s="92">
        <f>VLOOKUP(A103,'Data Vlaue (Cr)'!C98:CB312,78,0)</f>
        <v>3.5000000000000001E-3</v>
      </c>
      <c r="H103" s="91">
        <f>VLOOKUP($A103,'Data Vlaue (Cr)'!$C:$FB,91)</f>
        <v>627</v>
      </c>
      <c r="I103" s="91">
        <f>VLOOKUP($A103,'Data Vlaue (Cr)'!$C:$FB,93)</f>
        <v>33</v>
      </c>
      <c r="J103" s="92">
        <f>VLOOKUP($A103,'Data Vlaue (Cr)'!$C:$FB,94)</f>
        <v>5.5100000000000003E-2</v>
      </c>
      <c r="K103" s="91">
        <f>VLOOKUP($A103,'Data Vlaue (Cr)'!$C:$FB,95)</f>
        <v>571</v>
      </c>
      <c r="L103" s="91">
        <f>VLOOKUP($A103,'Data Vlaue (Cr)'!$C:$FB,97)</f>
        <v>50</v>
      </c>
      <c r="M103" s="92">
        <f>VLOOKUP($A103,'Data Vlaue (Cr)'!$C:$FB,98)</f>
        <v>9.6799999999999997E-2</v>
      </c>
      <c r="N103" s="91">
        <f>VLOOKUP($A103,'Data Vlaue (Cr)'!$C:$FB,79)</f>
        <v>3287</v>
      </c>
      <c r="O103" s="92">
        <f>VLOOKUP($A103,'Data Vlaue (Cr)'!$C:$FB,82)</f>
        <v>-4.1000000000000003E-3</v>
      </c>
    </row>
    <row r="104" spans="1:15" x14ac:dyDescent="0.25">
      <c r="A104" s="97" t="str">
        <f>'Data Vlaue (Cr)'!C99</f>
        <v>INDUSTOWER</v>
      </c>
      <c r="B104" s="142">
        <f>VLOOKUP(A104,'Data Vlaue (Cr)'!C99:CW313,99,0)</f>
        <v>5478</v>
      </c>
      <c r="C104" s="90">
        <f>VLOOKUP(A104,'Data Vlaue (Cr)'!C99:CY313,101,0)</f>
        <v>-23</v>
      </c>
      <c r="D104" s="139">
        <f>VLOOKUP(A104,'Data Vlaue (Cr)'!C99:CZ313,102,0)</f>
        <v>-4.1999999999999997E-3</v>
      </c>
      <c r="E104" s="91">
        <f>VLOOKUP($A104,'Data Vlaue (Cr)'!$C:$FB,75)</f>
        <v>3442</v>
      </c>
      <c r="F104" s="91">
        <f>VLOOKUP($A104,'Data Vlaue (Cr)'!$C:$FB,77)</f>
        <v>36</v>
      </c>
      <c r="G104" s="92">
        <f>VLOOKUP(A104,'Data Vlaue (Cr)'!C99:CB313,78,0)</f>
        <v>1.0500000000000001E-2</v>
      </c>
      <c r="H104" s="91">
        <f>VLOOKUP($A104,'Data Vlaue (Cr)'!$C:$FB,91)</f>
        <v>1200</v>
      </c>
      <c r="I104" s="91">
        <f>VLOOKUP($A104,'Data Vlaue (Cr)'!$C:$FB,93)</f>
        <v>-48</v>
      </c>
      <c r="J104" s="92">
        <f>VLOOKUP($A104,'Data Vlaue (Cr)'!$C:$FB,94)</f>
        <v>-3.8399999999999997E-2</v>
      </c>
      <c r="K104" s="91">
        <f>VLOOKUP($A104,'Data Vlaue (Cr)'!$C:$FB,95)</f>
        <v>836</v>
      </c>
      <c r="L104" s="91">
        <f>VLOOKUP($A104,'Data Vlaue (Cr)'!$C:$FB,97)</f>
        <v>-11</v>
      </c>
      <c r="M104" s="92">
        <f>VLOOKUP($A104,'Data Vlaue (Cr)'!$C:$FB,98)</f>
        <v>-1.3100000000000001E-2</v>
      </c>
      <c r="N104" s="91">
        <f>VLOOKUP($A104,'Data Vlaue (Cr)'!$C:$FB,79)</f>
        <v>3283</v>
      </c>
      <c r="O104" s="92">
        <f>VLOOKUP($A104,'Data Vlaue (Cr)'!$C:$FB,82)</f>
        <v>9.7999999999999997E-3</v>
      </c>
    </row>
    <row r="105" spans="1:15" x14ac:dyDescent="0.25">
      <c r="A105" s="97" t="str">
        <f>'Data Vlaue (Cr)'!C100</f>
        <v>INFY</v>
      </c>
      <c r="B105" s="142">
        <f>VLOOKUP(A105,'Data Vlaue (Cr)'!C100:CW314,99,0)</f>
        <v>17476</v>
      </c>
      <c r="C105" s="90">
        <f>VLOOKUP(A105,'Data Vlaue (Cr)'!C100:CY314,101,0)</f>
        <v>1097</v>
      </c>
      <c r="D105" s="139">
        <f>VLOOKUP(A105,'Data Vlaue (Cr)'!C100:CZ314,102,0)</f>
        <v>6.7000000000000004E-2</v>
      </c>
      <c r="E105" s="91">
        <f>VLOOKUP($A105,'Data Vlaue (Cr)'!$C:$FB,75)</f>
        <v>10056</v>
      </c>
      <c r="F105" s="91">
        <f>VLOOKUP($A105,'Data Vlaue (Cr)'!$C:$FB,77)</f>
        <v>348</v>
      </c>
      <c r="G105" s="92">
        <f>VLOOKUP(A105,'Data Vlaue (Cr)'!C100:CB314,78,0)</f>
        <v>3.5799999999999998E-2</v>
      </c>
      <c r="H105" s="91">
        <f>VLOOKUP($A105,'Data Vlaue (Cr)'!$C:$FB,91)</f>
        <v>4738</v>
      </c>
      <c r="I105" s="91">
        <f>VLOOKUP($A105,'Data Vlaue (Cr)'!$C:$FB,93)</f>
        <v>530</v>
      </c>
      <c r="J105" s="92">
        <f>VLOOKUP($A105,'Data Vlaue (Cr)'!$C:$FB,94)</f>
        <v>0.1258</v>
      </c>
      <c r="K105" s="91">
        <f>VLOOKUP($A105,'Data Vlaue (Cr)'!$C:$FB,95)</f>
        <v>2681</v>
      </c>
      <c r="L105" s="91">
        <f>VLOOKUP($A105,'Data Vlaue (Cr)'!$C:$FB,97)</f>
        <v>219</v>
      </c>
      <c r="M105" s="92">
        <f>VLOOKUP($A105,'Data Vlaue (Cr)'!$C:$FB,98)</f>
        <v>8.9200000000000002E-2</v>
      </c>
      <c r="N105" s="91">
        <f>VLOOKUP($A105,'Data Vlaue (Cr)'!$C:$FB,79)</f>
        <v>9355</v>
      </c>
      <c r="O105" s="92">
        <f>VLOOKUP($A105,'Data Vlaue (Cr)'!$C:$FB,82)</f>
        <v>3.15E-2</v>
      </c>
    </row>
    <row r="106" spans="1:15" x14ac:dyDescent="0.25">
      <c r="A106" s="97" t="str">
        <f>'Data Vlaue (Cr)'!C101</f>
        <v>INOXWIND</v>
      </c>
      <c r="B106" s="142">
        <f>VLOOKUP(A106,'Data Vlaue (Cr)'!C101:CW315,99,0)</f>
        <v>1418</v>
      </c>
      <c r="C106" s="90">
        <f>VLOOKUP(A106,'Data Vlaue (Cr)'!C101:CY315,101,0)</f>
        <v>14</v>
      </c>
      <c r="D106" s="139">
        <f>VLOOKUP(A106,'Data Vlaue (Cr)'!C101:CZ315,102,0)</f>
        <v>1.0200000000000001E-2</v>
      </c>
      <c r="E106" s="91">
        <f>VLOOKUP($A106,'Data Vlaue (Cr)'!$C:$FB,75)</f>
        <v>988</v>
      </c>
      <c r="F106" s="91">
        <f>VLOOKUP($A106,'Data Vlaue (Cr)'!$C:$FB,77)</f>
        <v>-20</v>
      </c>
      <c r="G106" s="92">
        <f>VLOOKUP(A106,'Data Vlaue (Cr)'!C101:CB315,78,0)</f>
        <v>-1.9400000000000001E-2</v>
      </c>
      <c r="H106" s="91">
        <f>VLOOKUP($A106,'Data Vlaue (Cr)'!$C:$FB,91)</f>
        <v>285</v>
      </c>
      <c r="I106" s="91">
        <f>VLOOKUP($A106,'Data Vlaue (Cr)'!$C:$FB,93)</f>
        <v>24</v>
      </c>
      <c r="J106" s="92">
        <f>VLOOKUP($A106,'Data Vlaue (Cr)'!$C:$FB,94)</f>
        <v>9.1300000000000006E-2</v>
      </c>
      <c r="K106" s="91">
        <f>VLOOKUP($A106,'Data Vlaue (Cr)'!$C:$FB,95)</f>
        <v>145</v>
      </c>
      <c r="L106" s="91">
        <f>VLOOKUP($A106,'Data Vlaue (Cr)'!$C:$FB,97)</f>
        <v>10</v>
      </c>
      <c r="M106" s="92">
        <f>VLOOKUP($A106,'Data Vlaue (Cr)'!$C:$FB,98)</f>
        <v>7.4499999999999997E-2</v>
      </c>
      <c r="N106" s="91">
        <f>VLOOKUP($A106,'Data Vlaue (Cr)'!$C:$FB,79)</f>
        <v>953</v>
      </c>
      <c r="O106" s="92">
        <f>VLOOKUP($A106,'Data Vlaue (Cr)'!$C:$FB,82)</f>
        <v>-1.95E-2</v>
      </c>
    </row>
    <row r="107" spans="1:15" x14ac:dyDescent="0.25">
      <c r="A107" s="97" t="str">
        <f>'Data Vlaue (Cr)'!C102</f>
        <v>IOC</v>
      </c>
      <c r="B107" s="142">
        <f>VLOOKUP(A107,'Data Vlaue (Cr)'!C102:CW316,99,0)</f>
        <v>2886</v>
      </c>
      <c r="C107" s="90">
        <f>VLOOKUP(A107,'Data Vlaue (Cr)'!C102:CY316,101,0)</f>
        <v>105</v>
      </c>
      <c r="D107" s="139">
        <f>VLOOKUP(A107,'Data Vlaue (Cr)'!C102:CZ316,102,0)</f>
        <v>3.78E-2</v>
      </c>
      <c r="E107" s="91">
        <f>VLOOKUP($A107,'Data Vlaue (Cr)'!$C:$FB,75)</f>
        <v>1683</v>
      </c>
      <c r="F107" s="91">
        <f>VLOOKUP($A107,'Data Vlaue (Cr)'!$C:$FB,77)</f>
        <v>-8</v>
      </c>
      <c r="G107" s="92">
        <f>VLOOKUP(A107,'Data Vlaue (Cr)'!C102:CB316,78,0)</f>
        <v>-4.7999999999999996E-3</v>
      </c>
      <c r="H107" s="91">
        <f>VLOOKUP($A107,'Data Vlaue (Cr)'!$C:$FB,91)</f>
        <v>715</v>
      </c>
      <c r="I107" s="91">
        <f>VLOOKUP($A107,'Data Vlaue (Cr)'!$C:$FB,93)</f>
        <v>92</v>
      </c>
      <c r="J107" s="92">
        <f>VLOOKUP($A107,'Data Vlaue (Cr)'!$C:$FB,94)</f>
        <v>0.14860000000000001</v>
      </c>
      <c r="K107" s="91">
        <f>VLOOKUP($A107,'Data Vlaue (Cr)'!$C:$FB,95)</f>
        <v>488</v>
      </c>
      <c r="L107" s="91">
        <f>VLOOKUP($A107,'Data Vlaue (Cr)'!$C:$FB,97)</f>
        <v>21</v>
      </c>
      <c r="M107" s="92">
        <f>VLOOKUP($A107,'Data Vlaue (Cr)'!$C:$FB,98)</f>
        <v>4.4600000000000001E-2</v>
      </c>
      <c r="N107" s="91">
        <f>VLOOKUP($A107,'Data Vlaue (Cr)'!$C:$FB,79)</f>
        <v>1551</v>
      </c>
      <c r="O107" s="92">
        <f>VLOOKUP($A107,'Data Vlaue (Cr)'!$C:$FB,82)</f>
        <v>-7.6E-3</v>
      </c>
    </row>
    <row r="108" spans="1:15" x14ac:dyDescent="0.25">
      <c r="A108" s="97" t="str">
        <f>'Data Vlaue (Cr)'!C103</f>
        <v>IREDA</v>
      </c>
      <c r="B108" s="142">
        <f>VLOOKUP(A108,'Data Vlaue (Cr)'!C103:CW317,99,0)</f>
        <v>1066</v>
      </c>
      <c r="C108" s="90">
        <f>VLOOKUP(A108,'Data Vlaue (Cr)'!C103:CY317,101,0)</f>
        <v>25</v>
      </c>
      <c r="D108" s="139">
        <f>VLOOKUP(A108,'Data Vlaue (Cr)'!C103:CZ317,102,0)</f>
        <v>2.4500000000000001E-2</v>
      </c>
      <c r="E108" s="91">
        <f>VLOOKUP($A108,'Data Vlaue (Cr)'!$C:$FB,75)</f>
        <v>662</v>
      </c>
      <c r="F108" s="91">
        <f>VLOOKUP($A108,'Data Vlaue (Cr)'!$C:$FB,77)</f>
        <v>11</v>
      </c>
      <c r="G108" s="92">
        <f>VLOOKUP(A108,'Data Vlaue (Cr)'!C103:CB317,78,0)</f>
        <v>1.6500000000000001E-2</v>
      </c>
      <c r="H108" s="91">
        <f>VLOOKUP($A108,'Data Vlaue (Cr)'!$C:$FB,91)</f>
        <v>239</v>
      </c>
      <c r="I108" s="91">
        <f>VLOOKUP($A108,'Data Vlaue (Cr)'!$C:$FB,93)</f>
        <v>9</v>
      </c>
      <c r="J108" s="92">
        <f>VLOOKUP($A108,'Data Vlaue (Cr)'!$C:$FB,94)</f>
        <v>4.0500000000000001E-2</v>
      </c>
      <c r="K108" s="91">
        <f>VLOOKUP($A108,'Data Vlaue (Cr)'!$C:$FB,95)</f>
        <v>165</v>
      </c>
      <c r="L108" s="91">
        <f>VLOOKUP($A108,'Data Vlaue (Cr)'!$C:$FB,97)</f>
        <v>5</v>
      </c>
      <c r="M108" s="92">
        <f>VLOOKUP($A108,'Data Vlaue (Cr)'!$C:$FB,98)</f>
        <v>3.4000000000000002E-2</v>
      </c>
      <c r="N108" s="91">
        <f>VLOOKUP($A108,'Data Vlaue (Cr)'!$C:$FB,79)</f>
        <v>567</v>
      </c>
      <c r="O108" s="92">
        <f>VLOOKUP($A108,'Data Vlaue (Cr)'!$C:$FB,82)</f>
        <v>9.2999999999999992E-3</v>
      </c>
    </row>
    <row r="109" spans="1:15" x14ac:dyDescent="0.25">
      <c r="A109" s="97" t="str">
        <f>'Data Vlaue (Cr)'!C104</f>
        <v>IRFC</v>
      </c>
      <c r="B109" s="142">
        <f>VLOOKUP(A109,'Data Vlaue (Cr)'!C104:CW318,99,0)</f>
        <v>1242</v>
      </c>
      <c r="C109" s="90">
        <f>VLOOKUP(A109,'Data Vlaue (Cr)'!C104:CY318,101,0)</f>
        <v>24</v>
      </c>
      <c r="D109" s="139">
        <f>VLOOKUP(A109,'Data Vlaue (Cr)'!C104:CZ318,102,0)</f>
        <v>1.9599999999999999E-2</v>
      </c>
      <c r="E109" s="91">
        <f>VLOOKUP($A109,'Data Vlaue (Cr)'!$C:$FB,75)</f>
        <v>589</v>
      </c>
      <c r="F109" s="91">
        <f>VLOOKUP($A109,'Data Vlaue (Cr)'!$C:$FB,77)</f>
        <v>2</v>
      </c>
      <c r="G109" s="92">
        <f>VLOOKUP(A109,'Data Vlaue (Cr)'!C104:CB318,78,0)</f>
        <v>2.8E-3</v>
      </c>
      <c r="H109" s="91">
        <f>VLOOKUP($A109,'Data Vlaue (Cr)'!$C:$FB,91)</f>
        <v>372</v>
      </c>
      <c r="I109" s="91">
        <f>VLOOKUP($A109,'Data Vlaue (Cr)'!$C:$FB,93)</f>
        <v>-2</v>
      </c>
      <c r="J109" s="92">
        <f>VLOOKUP($A109,'Data Vlaue (Cr)'!$C:$FB,94)</f>
        <v>-6.1000000000000004E-3</v>
      </c>
      <c r="K109" s="91">
        <f>VLOOKUP($A109,'Data Vlaue (Cr)'!$C:$FB,95)</f>
        <v>281</v>
      </c>
      <c r="L109" s="91">
        <f>VLOOKUP($A109,'Data Vlaue (Cr)'!$C:$FB,97)</f>
        <v>24</v>
      </c>
      <c r="M109" s="92">
        <f>VLOOKUP($A109,'Data Vlaue (Cr)'!$C:$FB,98)</f>
        <v>9.5399999999999999E-2</v>
      </c>
      <c r="N109" s="91">
        <f>VLOOKUP($A109,'Data Vlaue (Cr)'!$C:$FB,79)</f>
        <v>525</v>
      </c>
      <c r="O109" s="92">
        <f>VLOOKUP($A109,'Data Vlaue (Cr)'!$C:$FB,82)</f>
        <v>-5.9999999999999995E-4</v>
      </c>
    </row>
    <row r="110" spans="1:15" x14ac:dyDescent="0.25">
      <c r="A110" s="97" t="str">
        <f>'Data Vlaue (Cr)'!C105</f>
        <v>ITC</v>
      </c>
      <c r="B110" s="142">
        <f>VLOOKUP(A110,'Data Vlaue (Cr)'!C105:CW319,99,0)</f>
        <v>10229</v>
      </c>
      <c r="C110" s="90">
        <f>VLOOKUP(A110,'Data Vlaue (Cr)'!C105:CY319,101,0)</f>
        <v>314</v>
      </c>
      <c r="D110" s="139">
        <f>VLOOKUP(A110,'Data Vlaue (Cr)'!C105:CZ319,102,0)</f>
        <v>3.1699999999999999E-2</v>
      </c>
      <c r="E110" s="91">
        <f>VLOOKUP($A110,'Data Vlaue (Cr)'!$C:$FB,75)</f>
        <v>5591</v>
      </c>
      <c r="F110" s="91">
        <f>VLOOKUP($A110,'Data Vlaue (Cr)'!$C:$FB,77)</f>
        <v>76</v>
      </c>
      <c r="G110" s="92">
        <f>VLOOKUP(A110,'Data Vlaue (Cr)'!C105:CB319,78,0)</f>
        <v>1.38E-2</v>
      </c>
      <c r="H110" s="91">
        <f>VLOOKUP($A110,'Data Vlaue (Cr)'!$C:$FB,91)</f>
        <v>3423</v>
      </c>
      <c r="I110" s="91">
        <f>VLOOKUP($A110,'Data Vlaue (Cr)'!$C:$FB,93)</f>
        <v>238</v>
      </c>
      <c r="J110" s="92">
        <f>VLOOKUP($A110,'Data Vlaue (Cr)'!$C:$FB,94)</f>
        <v>7.4800000000000005E-2</v>
      </c>
      <c r="K110" s="91">
        <f>VLOOKUP($A110,'Data Vlaue (Cr)'!$C:$FB,95)</f>
        <v>1214</v>
      </c>
      <c r="L110" s="91">
        <f>VLOOKUP($A110,'Data Vlaue (Cr)'!$C:$FB,97)</f>
        <v>0</v>
      </c>
      <c r="M110" s="92">
        <f>VLOOKUP($A110,'Data Vlaue (Cr)'!$C:$FB,98)</f>
        <v>2.0000000000000001E-4</v>
      </c>
      <c r="N110" s="91">
        <f>VLOOKUP($A110,'Data Vlaue (Cr)'!$C:$FB,79)</f>
        <v>4880</v>
      </c>
      <c r="O110" s="92">
        <f>VLOOKUP($A110,'Data Vlaue (Cr)'!$C:$FB,82)</f>
        <v>9.4000000000000004E-3</v>
      </c>
    </row>
    <row r="111" spans="1:15" x14ac:dyDescent="0.25">
      <c r="A111" s="97" t="str">
        <f>'Data Vlaue (Cr)'!C106</f>
        <v>JINDALSTEL</v>
      </c>
      <c r="B111" s="142">
        <f>VLOOKUP(A111,'Data Vlaue (Cr)'!C106:CW320,99,0)</f>
        <v>2407</v>
      </c>
      <c r="C111" s="90">
        <f>VLOOKUP(A111,'Data Vlaue (Cr)'!C106:CY320,101,0)</f>
        <v>0</v>
      </c>
      <c r="D111" s="139">
        <f>VLOOKUP(A111,'Data Vlaue (Cr)'!C106:CZ320,102,0)</f>
        <v>2.0000000000000001E-4</v>
      </c>
      <c r="E111" s="91">
        <f>VLOOKUP($A111,'Data Vlaue (Cr)'!$C:$FB,75)</f>
        <v>1617</v>
      </c>
      <c r="F111" s="91">
        <f>VLOOKUP($A111,'Data Vlaue (Cr)'!$C:$FB,77)</f>
        <v>-29</v>
      </c>
      <c r="G111" s="92">
        <f>VLOOKUP(A111,'Data Vlaue (Cr)'!C106:CB320,78,0)</f>
        <v>-1.7899999999999999E-2</v>
      </c>
      <c r="H111" s="91">
        <f>VLOOKUP($A111,'Data Vlaue (Cr)'!$C:$FB,91)</f>
        <v>459</v>
      </c>
      <c r="I111" s="91">
        <f>VLOOKUP($A111,'Data Vlaue (Cr)'!$C:$FB,93)</f>
        <v>14</v>
      </c>
      <c r="J111" s="92">
        <f>VLOOKUP($A111,'Data Vlaue (Cr)'!$C:$FB,94)</f>
        <v>3.2000000000000001E-2</v>
      </c>
      <c r="K111" s="91">
        <f>VLOOKUP($A111,'Data Vlaue (Cr)'!$C:$FB,95)</f>
        <v>331</v>
      </c>
      <c r="L111" s="91">
        <f>VLOOKUP($A111,'Data Vlaue (Cr)'!$C:$FB,97)</f>
        <v>16</v>
      </c>
      <c r="M111" s="92">
        <f>VLOOKUP($A111,'Data Vlaue (Cr)'!$C:$FB,98)</f>
        <v>4.9399999999999999E-2</v>
      </c>
      <c r="N111" s="91">
        <f>VLOOKUP($A111,'Data Vlaue (Cr)'!$C:$FB,79)</f>
        <v>1604</v>
      </c>
      <c r="O111" s="92">
        <f>VLOOKUP($A111,'Data Vlaue (Cr)'!$C:$FB,82)</f>
        <v>-1.8599999999999998E-2</v>
      </c>
    </row>
    <row r="112" spans="1:15" x14ac:dyDescent="0.25">
      <c r="A112" s="97" t="str">
        <f>'Data Vlaue (Cr)'!C107</f>
        <v>JIOFIN</v>
      </c>
      <c r="B112" s="142">
        <f>VLOOKUP(A112,'Data Vlaue (Cr)'!C107:CW321,99,0)</f>
        <v>7626</v>
      </c>
      <c r="C112" s="90">
        <f>VLOOKUP(A112,'Data Vlaue (Cr)'!C107:CY321,101,0)</f>
        <v>-3</v>
      </c>
      <c r="D112" s="139">
        <f>VLOOKUP(A112,'Data Vlaue (Cr)'!C107:CZ321,102,0)</f>
        <v>-4.0000000000000002E-4</v>
      </c>
      <c r="E112" s="91">
        <f>VLOOKUP($A112,'Data Vlaue (Cr)'!$C:$FB,75)</f>
        <v>5021</v>
      </c>
      <c r="F112" s="91">
        <f>VLOOKUP($A112,'Data Vlaue (Cr)'!$C:$FB,77)</f>
        <v>-69</v>
      </c>
      <c r="G112" s="92">
        <f>VLOOKUP(A112,'Data Vlaue (Cr)'!C107:CB321,78,0)</f>
        <v>-1.3599999999999999E-2</v>
      </c>
      <c r="H112" s="91">
        <f>VLOOKUP($A112,'Data Vlaue (Cr)'!$C:$FB,91)</f>
        <v>1586</v>
      </c>
      <c r="I112" s="91">
        <f>VLOOKUP($A112,'Data Vlaue (Cr)'!$C:$FB,93)</f>
        <v>37</v>
      </c>
      <c r="J112" s="92">
        <f>VLOOKUP($A112,'Data Vlaue (Cr)'!$C:$FB,94)</f>
        <v>2.4199999999999999E-2</v>
      </c>
      <c r="K112" s="91">
        <f>VLOOKUP($A112,'Data Vlaue (Cr)'!$C:$FB,95)</f>
        <v>1019</v>
      </c>
      <c r="L112" s="91">
        <f>VLOOKUP($A112,'Data Vlaue (Cr)'!$C:$FB,97)</f>
        <v>29</v>
      </c>
      <c r="M112" s="92">
        <f>VLOOKUP($A112,'Data Vlaue (Cr)'!$C:$FB,98)</f>
        <v>2.93E-2</v>
      </c>
      <c r="N112" s="91">
        <f>VLOOKUP($A112,'Data Vlaue (Cr)'!$C:$FB,79)</f>
        <v>4463</v>
      </c>
      <c r="O112" s="92">
        <f>VLOOKUP($A112,'Data Vlaue (Cr)'!$C:$FB,82)</f>
        <v>-1.7999999999999999E-2</v>
      </c>
    </row>
    <row r="113" spans="1:15" x14ac:dyDescent="0.25">
      <c r="A113" s="97" t="str">
        <f>'Data Vlaue (Cr)'!C108</f>
        <v>JSWENERGY</v>
      </c>
      <c r="B113" s="142">
        <f>VLOOKUP(A113,'Data Vlaue (Cr)'!C108:CW322,99,0)</f>
        <v>1914</v>
      </c>
      <c r="C113" s="90">
        <f>VLOOKUP(A113,'Data Vlaue (Cr)'!C108:CY322,101,0)</f>
        <v>-4</v>
      </c>
      <c r="D113" s="139">
        <f>VLOOKUP(A113,'Data Vlaue (Cr)'!C108:CZ322,102,0)</f>
        <v>-1.8E-3</v>
      </c>
      <c r="E113" s="91">
        <f>VLOOKUP($A113,'Data Vlaue (Cr)'!$C:$FB,75)</f>
        <v>1351</v>
      </c>
      <c r="F113" s="91">
        <f>VLOOKUP($A113,'Data Vlaue (Cr)'!$C:$FB,77)</f>
        <v>-32</v>
      </c>
      <c r="G113" s="92">
        <f>VLOOKUP(A113,'Data Vlaue (Cr)'!C108:CB322,78,0)</f>
        <v>-2.35E-2</v>
      </c>
      <c r="H113" s="91">
        <f>VLOOKUP($A113,'Data Vlaue (Cr)'!$C:$FB,91)</f>
        <v>334</v>
      </c>
      <c r="I113" s="91">
        <f>VLOOKUP($A113,'Data Vlaue (Cr)'!$C:$FB,93)</f>
        <v>17</v>
      </c>
      <c r="J113" s="92">
        <f>VLOOKUP($A113,'Data Vlaue (Cr)'!$C:$FB,94)</f>
        <v>5.4600000000000003E-2</v>
      </c>
      <c r="K113" s="91">
        <f>VLOOKUP($A113,'Data Vlaue (Cr)'!$C:$FB,95)</f>
        <v>229</v>
      </c>
      <c r="L113" s="91">
        <f>VLOOKUP($A113,'Data Vlaue (Cr)'!$C:$FB,97)</f>
        <v>12</v>
      </c>
      <c r="M113" s="92">
        <f>VLOOKUP($A113,'Data Vlaue (Cr)'!$C:$FB,98)</f>
        <v>5.3499999999999999E-2</v>
      </c>
      <c r="N113" s="91">
        <f>VLOOKUP($A113,'Data Vlaue (Cr)'!$C:$FB,79)</f>
        <v>1328</v>
      </c>
      <c r="O113" s="92">
        <f>VLOOKUP($A113,'Data Vlaue (Cr)'!$C:$FB,82)</f>
        <v>-2.3900000000000001E-2</v>
      </c>
    </row>
    <row r="114" spans="1:15" x14ac:dyDescent="0.25">
      <c r="A114" s="97" t="str">
        <f>'Data Vlaue (Cr)'!C109</f>
        <v>JSWSTEEL</v>
      </c>
      <c r="B114" s="142">
        <f>VLOOKUP(A114,'Data Vlaue (Cr)'!C109:CW323,99,0)</f>
        <v>7384</v>
      </c>
      <c r="C114" s="90">
        <f>VLOOKUP(A114,'Data Vlaue (Cr)'!C109:CY323,101,0)</f>
        <v>-34</v>
      </c>
      <c r="D114" s="139">
        <f>VLOOKUP(A114,'Data Vlaue (Cr)'!C109:CZ323,102,0)</f>
        <v>-4.5999999999999999E-3</v>
      </c>
      <c r="E114" s="91">
        <f>VLOOKUP($A114,'Data Vlaue (Cr)'!$C:$FB,75)</f>
        <v>6381</v>
      </c>
      <c r="F114" s="91">
        <f>VLOOKUP($A114,'Data Vlaue (Cr)'!$C:$FB,77)</f>
        <v>8</v>
      </c>
      <c r="G114" s="92">
        <f>VLOOKUP(A114,'Data Vlaue (Cr)'!C109:CB323,78,0)</f>
        <v>1.1999999999999999E-3</v>
      </c>
      <c r="H114" s="91">
        <f>VLOOKUP($A114,'Data Vlaue (Cr)'!$C:$FB,91)</f>
        <v>582</v>
      </c>
      <c r="I114" s="91">
        <f>VLOOKUP($A114,'Data Vlaue (Cr)'!$C:$FB,93)</f>
        <v>-34</v>
      </c>
      <c r="J114" s="92">
        <f>VLOOKUP($A114,'Data Vlaue (Cr)'!$C:$FB,94)</f>
        <v>-5.4800000000000001E-2</v>
      </c>
      <c r="K114" s="91">
        <f>VLOOKUP($A114,'Data Vlaue (Cr)'!$C:$FB,95)</f>
        <v>421</v>
      </c>
      <c r="L114" s="91">
        <f>VLOOKUP($A114,'Data Vlaue (Cr)'!$C:$FB,97)</f>
        <v>-8</v>
      </c>
      <c r="M114" s="92">
        <f>VLOOKUP($A114,'Data Vlaue (Cr)'!$C:$FB,98)</f>
        <v>-1.95E-2</v>
      </c>
      <c r="N114" s="91">
        <f>VLOOKUP($A114,'Data Vlaue (Cr)'!$C:$FB,79)</f>
        <v>6237</v>
      </c>
      <c r="O114" s="92">
        <f>VLOOKUP($A114,'Data Vlaue (Cr)'!$C:$FB,82)</f>
        <v>6.9999999999999999E-4</v>
      </c>
    </row>
    <row r="115" spans="1:15" x14ac:dyDescent="0.25">
      <c r="A115" s="97" t="str">
        <f>'Data Vlaue (Cr)'!C110</f>
        <v>JUBLFOOD</v>
      </c>
      <c r="B115" s="142">
        <f>VLOOKUP(A115,'Data Vlaue (Cr)'!C110:CW324,99,0)</f>
        <v>2401</v>
      </c>
      <c r="C115" s="90">
        <f>VLOOKUP(A115,'Data Vlaue (Cr)'!C110:CY324,101,0)</f>
        <v>-12</v>
      </c>
      <c r="D115" s="139">
        <f>VLOOKUP(A115,'Data Vlaue (Cr)'!C110:CZ324,102,0)</f>
        <v>-4.7999999999999996E-3</v>
      </c>
      <c r="E115" s="91">
        <f>VLOOKUP($A115,'Data Vlaue (Cr)'!$C:$FB,75)</f>
        <v>1857</v>
      </c>
      <c r="F115" s="91">
        <f>VLOOKUP($A115,'Data Vlaue (Cr)'!$C:$FB,77)</f>
        <v>-40</v>
      </c>
      <c r="G115" s="92">
        <f>VLOOKUP(A115,'Data Vlaue (Cr)'!C110:CB324,78,0)</f>
        <v>-2.0899999999999998E-2</v>
      </c>
      <c r="H115" s="91">
        <f>VLOOKUP($A115,'Data Vlaue (Cr)'!$C:$FB,91)</f>
        <v>334</v>
      </c>
      <c r="I115" s="91">
        <f>VLOOKUP($A115,'Data Vlaue (Cr)'!$C:$FB,93)</f>
        <v>17</v>
      </c>
      <c r="J115" s="92">
        <f>VLOOKUP($A115,'Data Vlaue (Cr)'!$C:$FB,94)</f>
        <v>5.3600000000000002E-2</v>
      </c>
      <c r="K115" s="91">
        <f>VLOOKUP($A115,'Data Vlaue (Cr)'!$C:$FB,95)</f>
        <v>210</v>
      </c>
      <c r="L115" s="91">
        <f>VLOOKUP($A115,'Data Vlaue (Cr)'!$C:$FB,97)</f>
        <v>11</v>
      </c>
      <c r="M115" s="92">
        <f>VLOOKUP($A115,'Data Vlaue (Cr)'!$C:$FB,98)</f>
        <v>5.5300000000000002E-2</v>
      </c>
      <c r="N115" s="91">
        <f>VLOOKUP($A115,'Data Vlaue (Cr)'!$C:$FB,79)</f>
        <v>1765</v>
      </c>
      <c r="O115" s="92">
        <f>VLOOKUP($A115,'Data Vlaue (Cr)'!$C:$FB,82)</f>
        <v>-2.4899999999999999E-2</v>
      </c>
    </row>
    <row r="116" spans="1:15" x14ac:dyDescent="0.25">
      <c r="A116" s="97" t="str">
        <f>'Data Vlaue (Cr)'!C111</f>
        <v>KALYANKJIL</v>
      </c>
      <c r="B116" s="142">
        <f>VLOOKUP(A116,'Data Vlaue (Cr)'!C111:CW325,99,0)</f>
        <v>1617</v>
      </c>
      <c r="C116" s="90">
        <f>VLOOKUP(A116,'Data Vlaue (Cr)'!C111:CY325,101,0)</f>
        <v>84</v>
      </c>
      <c r="D116" s="139">
        <f>VLOOKUP(A116,'Data Vlaue (Cr)'!C111:CZ325,102,0)</f>
        <v>5.4899999999999997E-2</v>
      </c>
      <c r="E116" s="91">
        <f>VLOOKUP($A116,'Data Vlaue (Cr)'!$C:$FB,75)</f>
        <v>1153</v>
      </c>
      <c r="F116" s="91">
        <f>VLOOKUP($A116,'Data Vlaue (Cr)'!$C:$FB,77)</f>
        <v>28</v>
      </c>
      <c r="G116" s="92">
        <f>VLOOKUP(A116,'Data Vlaue (Cr)'!C111:CB325,78,0)</f>
        <v>2.5000000000000001E-2</v>
      </c>
      <c r="H116" s="91">
        <f>VLOOKUP($A116,'Data Vlaue (Cr)'!$C:$FB,91)</f>
        <v>296</v>
      </c>
      <c r="I116" s="91">
        <f>VLOOKUP($A116,'Data Vlaue (Cr)'!$C:$FB,93)</f>
        <v>35</v>
      </c>
      <c r="J116" s="92">
        <f>VLOOKUP($A116,'Data Vlaue (Cr)'!$C:$FB,94)</f>
        <v>0.1361</v>
      </c>
      <c r="K116" s="91">
        <f>VLOOKUP($A116,'Data Vlaue (Cr)'!$C:$FB,95)</f>
        <v>168</v>
      </c>
      <c r="L116" s="91">
        <f>VLOOKUP($A116,'Data Vlaue (Cr)'!$C:$FB,97)</f>
        <v>21</v>
      </c>
      <c r="M116" s="92">
        <f>VLOOKUP($A116,'Data Vlaue (Cr)'!$C:$FB,98)</f>
        <v>0.1396</v>
      </c>
      <c r="N116" s="91">
        <f>VLOOKUP($A116,'Data Vlaue (Cr)'!$C:$FB,79)</f>
        <v>1128</v>
      </c>
      <c r="O116" s="92">
        <f>VLOOKUP($A116,'Data Vlaue (Cr)'!$C:$FB,82)</f>
        <v>2.2800000000000001E-2</v>
      </c>
    </row>
    <row r="117" spans="1:15" x14ac:dyDescent="0.25">
      <c r="A117" s="97" t="str">
        <f>'Data Vlaue (Cr)'!C112</f>
        <v>KAYNES</v>
      </c>
      <c r="B117" s="142">
        <f>VLOOKUP(A117,'Data Vlaue (Cr)'!C112:CW326,99,0)</f>
        <v>1897</v>
      </c>
      <c r="C117" s="90">
        <f>VLOOKUP(A117,'Data Vlaue (Cr)'!C112:CY326,101,0)</f>
        <v>-42</v>
      </c>
      <c r="D117" s="139">
        <f>VLOOKUP(A117,'Data Vlaue (Cr)'!C112:CZ326,102,0)</f>
        <v>-2.1600000000000001E-2</v>
      </c>
      <c r="E117" s="91">
        <f>VLOOKUP($A117,'Data Vlaue (Cr)'!$C:$FB,75)</f>
        <v>1158</v>
      </c>
      <c r="F117" s="91">
        <f>VLOOKUP($A117,'Data Vlaue (Cr)'!$C:$FB,77)</f>
        <v>-18</v>
      </c>
      <c r="G117" s="92">
        <f>VLOOKUP(A117,'Data Vlaue (Cr)'!C112:CB326,78,0)</f>
        <v>-1.5100000000000001E-2</v>
      </c>
      <c r="H117" s="91">
        <f>VLOOKUP($A117,'Data Vlaue (Cr)'!$C:$FB,91)</f>
        <v>435</v>
      </c>
      <c r="I117" s="91">
        <f>VLOOKUP($A117,'Data Vlaue (Cr)'!$C:$FB,93)</f>
        <v>-28</v>
      </c>
      <c r="J117" s="92">
        <f>VLOOKUP($A117,'Data Vlaue (Cr)'!$C:$FB,94)</f>
        <v>-5.9900000000000002E-2</v>
      </c>
      <c r="K117" s="91">
        <f>VLOOKUP($A117,'Data Vlaue (Cr)'!$C:$FB,95)</f>
        <v>305</v>
      </c>
      <c r="L117" s="91">
        <f>VLOOKUP($A117,'Data Vlaue (Cr)'!$C:$FB,97)</f>
        <v>4</v>
      </c>
      <c r="M117" s="92">
        <f>VLOOKUP($A117,'Data Vlaue (Cr)'!$C:$FB,98)</f>
        <v>1.1599999999999999E-2</v>
      </c>
      <c r="N117" s="91">
        <f>VLOOKUP($A117,'Data Vlaue (Cr)'!$C:$FB,79)</f>
        <v>1080</v>
      </c>
      <c r="O117" s="92">
        <f>VLOOKUP($A117,'Data Vlaue (Cr)'!$C:$FB,82)</f>
        <v>-2.1000000000000001E-2</v>
      </c>
    </row>
    <row r="118" spans="1:15" x14ac:dyDescent="0.25">
      <c r="A118" s="97" t="str">
        <f>'Data Vlaue (Cr)'!C113</f>
        <v>KEI</v>
      </c>
      <c r="B118" s="142">
        <f>VLOOKUP(A118,'Data Vlaue (Cr)'!C113:CW327,99,0)</f>
        <v>1553</v>
      </c>
      <c r="C118" s="90">
        <f>VLOOKUP(A118,'Data Vlaue (Cr)'!C113:CY327,101,0)</f>
        <v>-16</v>
      </c>
      <c r="D118" s="139">
        <f>VLOOKUP(A118,'Data Vlaue (Cr)'!C113:CZ327,102,0)</f>
        <v>-1.04E-2</v>
      </c>
      <c r="E118" s="91">
        <f>VLOOKUP($A118,'Data Vlaue (Cr)'!$C:$FB,75)</f>
        <v>873</v>
      </c>
      <c r="F118" s="91">
        <f>VLOOKUP($A118,'Data Vlaue (Cr)'!$C:$FB,77)</f>
        <v>-10</v>
      </c>
      <c r="G118" s="92">
        <f>VLOOKUP(A118,'Data Vlaue (Cr)'!C113:CB327,78,0)</f>
        <v>-1.1299999999999999E-2</v>
      </c>
      <c r="H118" s="91">
        <f>VLOOKUP($A118,'Data Vlaue (Cr)'!$C:$FB,91)</f>
        <v>376</v>
      </c>
      <c r="I118" s="91">
        <f>VLOOKUP($A118,'Data Vlaue (Cr)'!$C:$FB,93)</f>
        <v>-13</v>
      </c>
      <c r="J118" s="92">
        <f>VLOOKUP($A118,'Data Vlaue (Cr)'!$C:$FB,94)</f>
        <v>-3.3599999999999998E-2</v>
      </c>
      <c r="K118" s="91">
        <f>VLOOKUP($A118,'Data Vlaue (Cr)'!$C:$FB,95)</f>
        <v>304</v>
      </c>
      <c r="L118" s="91">
        <f>VLOOKUP($A118,'Data Vlaue (Cr)'!$C:$FB,97)</f>
        <v>7</v>
      </c>
      <c r="M118" s="92">
        <f>VLOOKUP($A118,'Data Vlaue (Cr)'!$C:$FB,98)</f>
        <v>2.2599999999999999E-2</v>
      </c>
      <c r="N118" s="91">
        <f>VLOOKUP($A118,'Data Vlaue (Cr)'!$C:$FB,79)</f>
        <v>855</v>
      </c>
      <c r="O118" s="92">
        <f>VLOOKUP($A118,'Data Vlaue (Cr)'!$C:$FB,82)</f>
        <v>-1.37E-2</v>
      </c>
    </row>
    <row r="119" spans="1:15" x14ac:dyDescent="0.25">
      <c r="A119" s="97" t="str">
        <f>'Data Vlaue (Cr)'!C114</f>
        <v>KFINTECH</v>
      </c>
      <c r="B119" s="142">
        <f>VLOOKUP(A119,'Data Vlaue (Cr)'!C114:CW328,99,0)</f>
        <v>1049</v>
      </c>
      <c r="C119" s="90">
        <f>VLOOKUP(A119,'Data Vlaue (Cr)'!C114:CY328,101,0)</f>
        <v>-103</v>
      </c>
      <c r="D119" s="139">
        <f>VLOOKUP(A119,'Data Vlaue (Cr)'!C114:CZ328,102,0)</f>
        <v>-8.9300000000000004E-2</v>
      </c>
      <c r="E119" s="91">
        <f>VLOOKUP($A119,'Data Vlaue (Cr)'!$C:$FB,75)</f>
        <v>515</v>
      </c>
      <c r="F119" s="91">
        <f>VLOOKUP($A119,'Data Vlaue (Cr)'!$C:$FB,77)</f>
        <v>-8</v>
      </c>
      <c r="G119" s="92">
        <f>VLOOKUP(A119,'Data Vlaue (Cr)'!C114:CB328,78,0)</f>
        <v>-1.44E-2</v>
      </c>
      <c r="H119" s="91">
        <f>VLOOKUP($A119,'Data Vlaue (Cr)'!$C:$FB,91)</f>
        <v>315</v>
      </c>
      <c r="I119" s="91">
        <f>VLOOKUP($A119,'Data Vlaue (Cr)'!$C:$FB,93)</f>
        <v>-81</v>
      </c>
      <c r="J119" s="92">
        <f>VLOOKUP($A119,'Data Vlaue (Cr)'!$C:$FB,94)</f>
        <v>-0.20549999999999999</v>
      </c>
      <c r="K119" s="91">
        <f>VLOOKUP($A119,'Data Vlaue (Cr)'!$C:$FB,95)</f>
        <v>218</v>
      </c>
      <c r="L119" s="91">
        <f>VLOOKUP($A119,'Data Vlaue (Cr)'!$C:$FB,97)</f>
        <v>-14</v>
      </c>
      <c r="M119" s="92">
        <f>VLOOKUP($A119,'Data Vlaue (Cr)'!$C:$FB,98)</f>
        <v>-5.9499999999999997E-2</v>
      </c>
      <c r="N119" s="91">
        <f>VLOOKUP($A119,'Data Vlaue (Cr)'!$C:$FB,79)</f>
        <v>451</v>
      </c>
      <c r="O119" s="92">
        <f>VLOOKUP($A119,'Data Vlaue (Cr)'!$C:$FB,82)</f>
        <v>-3.32E-2</v>
      </c>
    </row>
    <row r="120" spans="1:15" x14ac:dyDescent="0.25">
      <c r="A120" s="97" t="str">
        <f>'Data Vlaue (Cr)'!C115</f>
        <v>KOTAKBANK</v>
      </c>
      <c r="B120" s="142">
        <f>VLOOKUP(A120,'Data Vlaue (Cr)'!C115:CW329,99,0)</f>
        <v>11353</v>
      </c>
      <c r="C120" s="90">
        <f>VLOOKUP(A120,'Data Vlaue (Cr)'!C115:CY329,101,0)</f>
        <v>-57</v>
      </c>
      <c r="D120" s="139">
        <f>VLOOKUP(A120,'Data Vlaue (Cr)'!C115:CZ329,102,0)</f>
        <v>-5.0000000000000001E-3</v>
      </c>
      <c r="E120" s="91">
        <f>VLOOKUP($A120,'Data Vlaue (Cr)'!$C:$FB,75)</f>
        <v>8444</v>
      </c>
      <c r="F120" s="91">
        <f>VLOOKUP($A120,'Data Vlaue (Cr)'!$C:$FB,77)</f>
        <v>67</v>
      </c>
      <c r="G120" s="92">
        <f>VLOOKUP(A120,'Data Vlaue (Cr)'!C115:CB329,78,0)</f>
        <v>8.0000000000000002E-3</v>
      </c>
      <c r="H120" s="91">
        <f>VLOOKUP($A120,'Data Vlaue (Cr)'!$C:$FB,91)</f>
        <v>1809</v>
      </c>
      <c r="I120" s="91">
        <f>VLOOKUP($A120,'Data Vlaue (Cr)'!$C:$FB,93)</f>
        <v>-31</v>
      </c>
      <c r="J120" s="92">
        <f>VLOOKUP($A120,'Data Vlaue (Cr)'!$C:$FB,94)</f>
        <v>-1.7100000000000001E-2</v>
      </c>
      <c r="K120" s="91">
        <f>VLOOKUP($A120,'Data Vlaue (Cr)'!$C:$FB,95)</f>
        <v>1100</v>
      </c>
      <c r="L120" s="91">
        <f>VLOOKUP($A120,'Data Vlaue (Cr)'!$C:$FB,97)</f>
        <v>-93</v>
      </c>
      <c r="M120" s="92">
        <f>VLOOKUP($A120,'Data Vlaue (Cr)'!$C:$FB,98)</f>
        <v>-7.7700000000000005E-2</v>
      </c>
      <c r="N120" s="91">
        <f>VLOOKUP($A120,'Data Vlaue (Cr)'!$C:$FB,79)</f>
        <v>6768</v>
      </c>
      <c r="O120" s="92">
        <f>VLOOKUP($A120,'Data Vlaue (Cr)'!$C:$FB,82)</f>
        <v>0</v>
      </c>
    </row>
    <row r="121" spans="1:15" x14ac:dyDescent="0.25">
      <c r="A121" s="97" t="str">
        <f>'Data Vlaue (Cr)'!C116</f>
        <v>KPITTECH</v>
      </c>
      <c r="B121" s="142">
        <f>VLOOKUP(A121,'Data Vlaue (Cr)'!C116:CW330,99,0)</f>
        <v>1142</v>
      </c>
      <c r="C121" s="90">
        <f>VLOOKUP(A121,'Data Vlaue (Cr)'!C116:CY330,101,0)</f>
        <v>357</v>
      </c>
      <c r="D121" s="139">
        <f>VLOOKUP(A121,'Data Vlaue (Cr)'!C116:CZ330,102,0)</f>
        <v>0.4546</v>
      </c>
      <c r="E121" s="91">
        <f>VLOOKUP($A121,'Data Vlaue (Cr)'!$C:$FB,75)</f>
        <v>501</v>
      </c>
      <c r="F121" s="91">
        <f>VLOOKUP($A121,'Data Vlaue (Cr)'!$C:$FB,77)</f>
        <v>33</v>
      </c>
      <c r="G121" s="92">
        <f>VLOOKUP(A121,'Data Vlaue (Cr)'!C116:CB330,78,0)</f>
        <v>7.1499999999999994E-2</v>
      </c>
      <c r="H121" s="91">
        <f>VLOOKUP($A121,'Data Vlaue (Cr)'!$C:$FB,91)</f>
        <v>415</v>
      </c>
      <c r="I121" s="91">
        <f>VLOOKUP($A121,'Data Vlaue (Cr)'!$C:$FB,93)</f>
        <v>215</v>
      </c>
      <c r="J121" s="92">
        <f>VLOOKUP($A121,'Data Vlaue (Cr)'!$C:$FB,94)</f>
        <v>1.0747</v>
      </c>
      <c r="K121" s="91">
        <f>VLOOKUP($A121,'Data Vlaue (Cr)'!$C:$FB,95)</f>
        <v>226</v>
      </c>
      <c r="L121" s="91">
        <f>VLOOKUP($A121,'Data Vlaue (Cr)'!$C:$FB,97)</f>
        <v>109</v>
      </c>
      <c r="M121" s="92">
        <f>VLOOKUP($A121,'Data Vlaue (Cr)'!$C:$FB,98)</f>
        <v>0.92479999999999996</v>
      </c>
      <c r="N121" s="91">
        <f>VLOOKUP($A121,'Data Vlaue (Cr)'!$C:$FB,79)</f>
        <v>476</v>
      </c>
      <c r="O121" s="92">
        <f>VLOOKUP($A121,'Data Vlaue (Cr)'!$C:$FB,82)</f>
        <v>5.5800000000000002E-2</v>
      </c>
    </row>
    <row r="122" spans="1:15" x14ac:dyDescent="0.25">
      <c r="A122" s="97" t="str">
        <f>'Data Vlaue (Cr)'!C117</f>
        <v>LAURUSLABS</v>
      </c>
      <c r="B122" s="142">
        <f>VLOOKUP(A122,'Data Vlaue (Cr)'!C117:CW331,99,0)</f>
        <v>3600</v>
      </c>
      <c r="C122" s="90">
        <f>VLOOKUP(A122,'Data Vlaue (Cr)'!C117:CY331,101,0)</f>
        <v>109</v>
      </c>
      <c r="D122" s="139">
        <f>VLOOKUP(A122,'Data Vlaue (Cr)'!C117:CZ331,102,0)</f>
        <v>3.1199999999999999E-2</v>
      </c>
      <c r="E122" s="91">
        <f>VLOOKUP($A122,'Data Vlaue (Cr)'!$C:$FB,75)</f>
        <v>2362</v>
      </c>
      <c r="F122" s="91">
        <f>VLOOKUP($A122,'Data Vlaue (Cr)'!$C:$FB,77)</f>
        <v>78</v>
      </c>
      <c r="G122" s="92">
        <f>VLOOKUP(A122,'Data Vlaue (Cr)'!C117:CB331,78,0)</f>
        <v>3.39E-2</v>
      </c>
      <c r="H122" s="91">
        <f>VLOOKUP($A122,'Data Vlaue (Cr)'!$C:$FB,91)</f>
        <v>768</v>
      </c>
      <c r="I122" s="91">
        <f>VLOOKUP($A122,'Data Vlaue (Cr)'!$C:$FB,93)</f>
        <v>17</v>
      </c>
      <c r="J122" s="92">
        <f>VLOOKUP($A122,'Data Vlaue (Cr)'!$C:$FB,94)</f>
        <v>2.2700000000000001E-2</v>
      </c>
      <c r="K122" s="91">
        <f>VLOOKUP($A122,'Data Vlaue (Cr)'!$C:$FB,95)</f>
        <v>470</v>
      </c>
      <c r="L122" s="91">
        <f>VLOOKUP($A122,'Data Vlaue (Cr)'!$C:$FB,97)</f>
        <v>14</v>
      </c>
      <c r="M122" s="92">
        <f>VLOOKUP($A122,'Data Vlaue (Cr)'!$C:$FB,98)</f>
        <v>3.1600000000000003E-2</v>
      </c>
      <c r="N122" s="91">
        <f>VLOOKUP($A122,'Data Vlaue (Cr)'!$C:$FB,79)</f>
        <v>2332</v>
      </c>
      <c r="O122" s="92">
        <f>VLOOKUP($A122,'Data Vlaue (Cr)'!$C:$FB,82)</f>
        <v>3.3599999999999998E-2</v>
      </c>
    </row>
    <row r="123" spans="1:15" x14ac:dyDescent="0.25">
      <c r="A123" s="97" t="str">
        <f>'Data Vlaue (Cr)'!C118</f>
        <v>LICHSGFIN</v>
      </c>
      <c r="B123" s="142">
        <f>VLOOKUP(A123,'Data Vlaue (Cr)'!C118:CW332,99,0)</f>
        <v>2445</v>
      </c>
      <c r="C123" s="90">
        <f>VLOOKUP(A123,'Data Vlaue (Cr)'!C118:CY332,101,0)</f>
        <v>147</v>
      </c>
      <c r="D123" s="139">
        <f>VLOOKUP(A123,'Data Vlaue (Cr)'!C118:CZ332,102,0)</f>
        <v>6.4100000000000004E-2</v>
      </c>
      <c r="E123" s="91">
        <f>VLOOKUP($A123,'Data Vlaue (Cr)'!$C:$FB,75)</f>
        <v>1828</v>
      </c>
      <c r="F123" s="91">
        <f>VLOOKUP($A123,'Data Vlaue (Cr)'!$C:$FB,77)</f>
        <v>58</v>
      </c>
      <c r="G123" s="92">
        <f>VLOOKUP(A123,'Data Vlaue (Cr)'!C118:CB332,78,0)</f>
        <v>3.3000000000000002E-2</v>
      </c>
      <c r="H123" s="91">
        <f>VLOOKUP($A123,'Data Vlaue (Cr)'!$C:$FB,91)</f>
        <v>362</v>
      </c>
      <c r="I123" s="91">
        <f>VLOOKUP($A123,'Data Vlaue (Cr)'!$C:$FB,93)</f>
        <v>40</v>
      </c>
      <c r="J123" s="92">
        <f>VLOOKUP($A123,'Data Vlaue (Cr)'!$C:$FB,94)</f>
        <v>0.125</v>
      </c>
      <c r="K123" s="91">
        <f>VLOOKUP($A123,'Data Vlaue (Cr)'!$C:$FB,95)</f>
        <v>255</v>
      </c>
      <c r="L123" s="91">
        <f>VLOOKUP($A123,'Data Vlaue (Cr)'!$C:$FB,97)</f>
        <v>49</v>
      </c>
      <c r="M123" s="92">
        <f>VLOOKUP($A123,'Data Vlaue (Cr)'!$C:$FB,98)</f>
        <v>0.23599999999999999</v>
      </c>
      <c r="N123" s="91">
        <f>VLOOKUP($A123,'Data Vlaue (Cr)'!$C:$FB,79)</f>
        <v>1801</v>
      </c>
      <c r="O123" s="92">
        <f>VLOOKUP($A123,'Data Vlaue (Cr)'!$C:$FB,82)</f>
        <v>3.2300000000000002E-2</v>
      </c>
    </row>
    <row r="124" spans="1:15" x14ac:dyDescent="0.25">
      <c r="A124" s="97" t="str">
        <f>'Data Vlaue (Cr)'!C119</f>
        <v>LICI</v>
      </c>
      <c r="B124" s="142">
        <f>VLOOKUP(A124,'Data Vlaue (Cr)'!C119:CW333,99,0)</f>
        <v>1575</v>
      </c>
      <c r="C124" s="90">
        <f>VLOOKUP(A124,'Data Vlaue (Cr)'!C119:CY333,101,0)</f>
        <v>-24</v>
      </c>
      <c r="D124" s="139">
        <f>VLOOKUP(A124,'Data Vlaue (Cr)'!C119:CZ333,102,0)</f>
        <v>-1.5299999999999999E-2</v>
      </c>
      <c r="E124" s="91">
        <f>VLOOKUP($A124,'Data Vlaue (Cr)'!$C:$FB,75)</f>
        <v>804</v>
      </c>
      <c r="F124" s="91">
        <f>VLOOKUP($A124,'Data Vlaue (Cr)'!$C:$FB,77)</f>
        <v>-8</v>
      </c>
      <c r="G124" s="92">
        <f>VLOOKUP(A124,'Data Vlaue (Cr)'!C119:CB333,78,0)</f>
        <v>-9.4999999999999998E-3</v>
      </c>
      <c r="H124" s="91">
        <f>VLOOKUP($A124,'Data Vlaue (Cr)'!$C:$FB,91)</f>
        <v>487</v>
      </c>
      <c r="I124" s="91">
        <f>VLOOKUP($A124,'Data Vlaue (Cr)'!$C:$FB,93)</f>
        <v>-6</v>
      </c>
      <c r="J124" s="92">
        <f>VLOOKUP($A124,'Data Vlaue (Cr)'!$C:$FB,94)</f>
        <v>-1.1599999999999999E-2</v>
      </c>
      <c r="K124" s="91">
        <f>VLOOKUP($A124,'Data Vlaue (Cr)'!$C:$FB,95)</f>
        <v>283</v>
      </c>
      <c r="L124" s="91">
        <f>VLOOKUP($A124,'Data Vlaue (Cr)'!$C:$FB,97)</f>
        <v>-11</v>
      </c>
      <c r="M124" s="92">
        <f>VLOOKUP($A124,'Data Vlaue (Cr)'!$C:$FB,98)</f>
        <v>-3.7400000000000003E-2</v>
      </c>
      <c r="N124" s="91">
        <f>VLOOKUP($A124,'Data Vlaue (Cr)'!$C:$FB,79)</f>
        <v>711</v>
      </c>
      <c r="O124" s="92">
        <f>VLOOKUP($A124,'Data Vlaue (Cr)'!$C:$FB,82)</f>
        <v>-1.5299999999999999E-2</v>
      </c>
    </row>
    <row r="125" spans="1:15" x14ac:dyDescent="0.25">
      <c r="A125" s="97" t="str">
        <f>'Data Vlaue (Cr)'!C120</f>
        <v>LODHA</v>
      </c>
      <c r="B125" s="142">
        <f>VLOOKUP(A125,'Data Vlaue (Cr)'!C120:CW334,99,0)</f>
        <v>1747</v>
      </c>
      <c r="C125" s="90">
        <f>VLOOKUP(A125,'Data Vlaue (Cr)'!C120:CY334,101,0)</f>
        <v>-68</v>
      </c>
      <c r="D125" s="139">
        <f>VLOOKUP(A125,'Data Vlaue (Cr)'!C120:CZ334,102,0)</f>
        <v>-3.7699999999999997E-2</v>
      </c>
      <c r="E125" s="91">
        <f>VLOOKUP($A125,'Data Vlaue (Cr)'!$C:$FB,75)</f>
        <v>1378</v>
      </c>
      <c r="F125" s="91">
        <f>VLOOKUP($A125,'Data Vlaue (Cr)'!$C:$FB,77)</f>
        <v>-37</v>
      </c>
      <c r="G125" s="92">
        <f>VLOOKUP(A125,'Data Vlaue (Cr)'!C120:CB334,78,0)</f>
        <v>-2.5899999999999999E-2</v>
      </c>
      <c r="H125" s="91">
        <f>VLOOKUP($A125,'Data Vlaue (Cr)'!$C:$FB,91)</f>
        <v>214</v>
      </c>
      <c r="I125" s="91">
        <f>VLOOKUP($A125,'Data Vlaue (Cr)'!$C:$FB,93)</f>
        <v>-25</v>
      </c>
      <c r="J125" s="92">
        <f>VLOOKUP($A125,'Data Vlaue (Cr)'!$C:$FB,94)</f>
        <v>-0.10589999999999999</v>
      </c>
      <c r="K125" s="91">
        <f>VLOOKUP($A125,'Data Vlaue (Cr)'!$C:$FB,95)</f>
        <v>155</v>
      </c>
      <c r="L125" s="91">
        <f>VLOOKUP($A125,'Data Vlaue (Cr)'!$C:$FB,97)</f>
        <v>-6</v>
      </c>
      <c r="M125" s="92">
        <f>VLOOKUP($A125,'Data Vlaue (Cr)'!$C:$FB,98)</f>
        <v>-3.95E-2</v>
      </c>
      <c r="N125" s="91">
        <f>VLOOKUP($A125,'Data Vlaue (Cr)'!$C:$FB,79)</f>
        <v>1254</v>
      </c>
      <c r="O125" s="92">
        <f>VLOOKUP($A125,'Data Vlaue (Cr)'!$C:$FB,82)</f>
        <v>-2.7799999999999998E-2</v>
      </c>
    </row>
    <row r="126" spans="1:15" x14ac:dyDescent="0.25">
      <c r="A126" s="97" t="str">
        <f>'Data Vlaue (Cr)'!C121</f>
        <v>LT</v>
      </c>
      <c r="B126" s="142">
        <f>VLOOKUP(A126,'Data Vlaue (Cr)'!C121:CW335,99,0)</f>
        <v>12371</v>
      </c>
      <c r="C126" s="90">
        <f>VLOOKUP(A126,'Data Vlaue (Cr)'!C121:CY335,101,0)</f>
        <v>2353</v>
      </c>
      <c r="D126" s="139">
        <f>VLOOKUP(A126,'Data Vlaue (Cr)'!C121:CZ335,102,0)</f>
        <v>0.2349</v>
      </c>
      <c r="E126" s="91">
        <f>VLOOKUP($A126,'Data Vlaue (Cr)'!$C:$FB,75)</f>
        <v>6966</v>
      </c>
      <c r="F126" s="91">
        <f>VLOOKUP($A126,'Data Vlaue (Cr)'!$C:$FB,77)</f>
        <v>1042</v>
      </c>
      <c r="G126" s="92">
        <f>VLOOKUP(A126,'Data Vlaue (Cr)'!C121:CB335,78,0)</f>
        <v>0.1759</v>
      </c>
      <c r="H126" s="91">
        <f>VLOOKUP($A126,'Data Vlaue (Cr)'!$C:$FB,91)</f>
        <v>3381</v>
      </c>
      <c r="I126" s="91">
        <f>VLOOKUP($A126,'Data Vlaue (Cr)'!$C:$FB,93)</f>
        <v>1088</v>
      </c>
      <c r="J126" s="92">
        <f>VLOOKUP($A126,'Data Vlaue (Cr)'!$C:$FB,94)</f>
        <v>0.47449999999999998</v>
      </c>
      <c r="K126" s="91">
        <f>VLOOKUP($A126,'Data Vlaue (Cr)'!$C:$FB,95)</f>
        <v>2024</v>
      </c>
      <c r="L126" s="91">
        <f>VLOOKUP($A126,'Data Vlaue (Cr)'!$C:$FB,97)</f>
        <v>223</v>
      </c>
      <c r="M126" s="92">
        <f>VLOOKUP($A126,'Data Vlaue (Cr)'!$C:$FB,98)</f>
        <v>0.1237</v>
      </c>
      <c r="N126" s="91">
        <f>VLOOKUP($A126,'Data Vlaue (Cr)'!$C:$FB,79)</f>
        <v>6569</v>
      </c>
      <c r="O126" s="92">
        <f>VLOOKUP($A126,'Data Vlaue (Cr)'!$C:$FB,82)</f>
        <v>0.1691</v>
      </c>
    </row>
    <row r="127" spans="1:15" x14ac:dyDescent="0.25">
      <c r="A127" s="97" t="str">
        <f>'Data Vlaue (Cr)'!C122</f>
        <v>LTF</v>
      </c>
      <c r="B127" s="142">
        <f>VLOOKUP(A127,'Data Vlaue (Cr)'!C122:CW336,99,0)</f>
        <v>2093</v>
      </c>
      <c r="C127" s="90">
        <f>VLOOKUP(A127,'Data Vlaue (Cr)'!C122:CY336,101,0)</f>
        <v>-16</v>
      </c>
      <c r="D127" s="139">
        <f>VLOOKUP(A127,'Data Vlaue (Cr)'!C122:CZ336,102,0)</f>
        <v>-7.7000000000000002E-3</v>
      </c>
      <c r="E127" s="91">
        <f>VLOOKUP($A127,'Data Vlaue (Cr)'!$C:$FB,75)</f>
        <v>1339</v>
      </c>
      <c r="F127" s="91">
        <f>VLOOKUP($A127,'Data Vlaue (Cr)'!$C:$FB,77)</f>
        <v>-9</v>
      </c>
      <c r="G127" s="92">
        <f>VLOOKUP(A127,'Data Vlaue (Cr)'!C122:CB336,78,0)</f>
        <v>-6.4999999999999997E-3</v>
      </c>
      <c r="H127" s="91">
        <f>VLOOKUP($A127,'Data Vlaue (Cr)'!$C:$FB,91)</f>
        <v>433</v>
      </c>
      <c r="I127" s="91">
        <f>VLOOKUP($A127,'Data Vlaue (Cr)'!$C:$FB,93)</f>
        <v>-11</v>
      </c>
      <c r="J127" s="92">
        <f>VLOOKUP($A127,'Data Vlaue (Cr)'!$C:$FB,94)</f>
        <v>-2.5600000000000001E-2</v>
      </c>
      <c r="K127" s="91">
        <f>VLOOKUP($A127,'Data Vlaue (Cr)'!$C:$FB,95)</f>
        <v>321</v>
      </c>
      <c r="L127" s="91">
        <f>VLOOKUP($A127,'Data Vlaue (Cr)'!$C:$FB,97)</f>
        <v>4</v>
      </c>
      <c r="M127" s="92">
        <f>VLOOKUP($A127,'Data Vlaue (Cr)'!$C:$FB,98)</f>
        <v>1.18E-2</v>
      </c>
      <c r="N127" s="91">
        <f>VLOOKUP($A127,'Data Vlaue (Cr)'!$C:$FB,79)</f>
        <v>1298</v>
      </c>
      <c r="O127" s="92">
        <f>VLOOKUP($A127,'Data Vlaue (Cr)'!$C:$FB,82)</f>
        <v>-1.32E-2</v>
      </c>
    </row>
    <row r="128" spans="1:15" x14ac:dyDescent="0.25">
      <c r="A128" s="97" t="str">
        <f>'Data Vlaue (Cr)'!C123</f>
        <v>LTM</v>
      </c>
      <c r="B128" s="142">
        <f>VLOOKUP(A128,'Data Vlaue (Cr)'!C123:CW337,99,0)</f>
        <v>2260</v>
      </c>
      <c r="C128" s="90">
        <f>VLOOKUP(A128,'Data Vlaue (Cr)'!C123:CY337,101,0)</f>
        <v>87</v>
      </c>
      <c r="D128" s="139">
        <f>VLOOKUP(A128,'Data Vlaue (Cr)'!C123:CZ337,102,0)</f>
        <v>3.9800000000000002E-2</v>
      </c>
      <c r="E128" s="91">
        <f>VLOOKUP($A128,'Data Vlaue (Cr)'!$C:$FB,75)</f>
        <v>1541</v>
      </c>
      <c r="F128" s="91">
        <f>VLOOKUP($A128,'Data Vlaue (Cr)'!$C:$FB,77)</f>
        <v>49</v>
      </c>
      <c r="G128" s="92">
        <f>VLOOKUP(A128,'Data Vlaue (Cr)'!C123:CB337,78,0)</f>
        <v>3.27E-2</v>
      </c>
      <c r="H128" s="91">
        <f>VLOOKUP($A128,'Data Vlaue (Cr)'!$C:$FB,91)</f>
        <v>457</v>
      </c>
      <c r="I128" s="91">
        <f>VLOOKUP($A128,'Data Vlaue (Cr)'!$C:$FB,93)</f>
        <v>57</v>
      </c>
      <c r="J128" s="92">
        <f>VLOOKUP($A128,'Data Vlaue (Cr)'!$C:$FB,94)</f>
        <v>0.14380000000000001</v>
      </c>
      <c r="K128" s="91">
        <f>VLOOKUP($A128,'Data Vlaue (Cr)'!$C:$FB,95)</f>
        <v>261</v>
      </c>
      <c r="L128" s="91">
        <f>VLOOKUP($A128,'Data Vlaue (Cr)'!$C:$FB,97)</f>
        <v>-20</v>
      </c>
      <c r="M128" s="92">
        <f>VLOOKUP($A128,'Data Vlaue (Cr)'!$C:$FB,98)</f>
        <v>-7.0300000000000001E-2</v>
      </c>
      <c r="N128" s="91">
        <f>VLOOKUP($A128,'Data Vlaue (Cr)'!$C:$FB,79)</f>
        <v>1371</v>
      </c>
      <c r="O128" s="92">
        <f>VLOOKUP($A128,'Data Vlaue (Cr)'!$C:$FB,82)</f>
        <v>3.5000000000000001E-3</v>
      </c>
    </row>
    <row r="129" spans="1:15" x14ac:dyDescent="0.25">
      <c r="A129" s="97" t="str">
        <f>'Data Vlaue (Cr)'!C124</f>
        <v>LUPIN</v>
      </c>
      <c r="B129" s="142">
        <f>VLOOKUP(A129,'Data Vlaue (Cr)'!C124:CW338,99,0)</f>
        <v>3419</v>
      </c>
      <c r="C129" s="90">
        <f>VLOOKUP(A129,'Data Vlaue (Cr)'!C124:CY338,101,0)</f>
        <v>306</v>
      </c>
      <c r="D129" s="139">
        <f>VLOOKUP(A129,'Data Vlaue (Cr)'!C124:CZ338,102,0)</f>
        <v>9.8400000000000001E-2</v>
      </c>
      <c r="E129" s="91">
        <f>VLOOKUP($A129,'Data Vlaue (Cr)'!$C:$FB,75)</f>
        <v>1896</v>
      </c>
      <c r="F129" s="91">
        <f>VLOOKUP($A129,'Data Vlaue (Cr)'!$C:$FB,77)</f>
        <v>88</v>
      </c>
      <c r="G129" s="92">
        <f>VLOOKUP(A129,'Data Vlaue (Cr)'!C124:CB338,78,0)</f>
        <v>4.87E-2</v>
      </c>
      <c r="H129" s="91">
        <f>VLOOKUP($A129,'Data Vlaue (Cr)'!$C:$FB,91)</f>
        <v>865</v>
      </c>
      <c r="I129" s="91">
        <f>VLOOKUP($A129,'Data Vlaue (Cr)'!$C:$FB,93)</f>
        <v>63</v>
      </c>
      <c r="J129" s="92">
        <f>VLOOKUP($A129,'Data Vlaue (Cr)'!$C:$FB,94)</f>
        <v>7.8299999999999995E-2</v>
      </c>
      <c r="K129" s="91">
        <f>VLOOKUP($A129,'Data Vlaue (Cr)'!$C:$FB,95)</f>
        <v>657</v>
      </c>
      <c r="L129" s="91">
        <f>VLOOKUP($A129,'Data Vlaue (Cr)'!$C:$FB,97)</f>
        <v>155</v>
      </c>
      <c r="M129" s="92">
        <f>VLOOKUP($A129,'Data Vlaue (Cr)'!$C:$FB,98)</f>
        <v>0.30969999999999998</v>
      </c>
      <c r="N129" s="91">
        <f>VLOOKUP($A129,'Data Vlaue (Cr)'!$C:$FB,79)</f>
        <v>1789</v>
      </c>
      <c r="O129" s="92">
        <f>VLOOKUP($A129,'Data Vlaue (Cr)'!$C:$FB,82)</f>
        <v>4.7199999999999999E-2</v>
      </c>
    </row>
    <row r="130" spans="1:15" x14ac:dyDescent="0.25">
      <c r="A130" s="97" t="str">
        <f>'Data Vlaue (Cr)'!C125</f>
        <v>M&amp;M</v>
      </c>
      <c r="B130" s="142">
        <f>VLOOKUP(A130,'Data Vlaue (Cr)'!C125:CW339,99,0)</f>
        <v>10083</v>
      </c>
      <c r="C130" s="90">
        <f>VLOOKUP(A130,'Data Vlaue (Cr)'!C125:CY339,101,0)</f>
        <v>-205</v>
      </c>
      <c r="D130" s="139">
        <f>VLOOKUP(A130,'Data Vlaue (Cr)'!C125:CZ339,102,0)</f>
        <v>-1.9900000000000001E-2</v>
      </c>
      <c r="E130" s="91">
        <f>VLOOKUP($A130,'Data Vlaue (Cr)'!$C:$FB,75)</f>
        <v>6533</v>
      </c>
      <c r="F130" s="91">
        <f>VLOOKUP($A130,'Data Vlaue (Cr)'!$C:$FB,77)</f>
        <v>-261</v>
      </c>
      <c r="G130" s="92">
        <f>VLOOKUP(A130,'Data Vlaue (Cr)'!C125:CB339,78,0)</f>
        <v>-3.85E-2</v>
      </c>
      <c r="H130" s="91">
        <f>VLOOKUP($A130,'Data Vlaue (Cr)'!$C:$FB,91)</f>
        <v>1884</v>
      </c>
      <c r="I130" s="91">
        <f>VLOOKUP($A130,'Data Vlaue (Cr)'!$C:$FB,93)</f>
        <v>-80</v>
      </c>
      <c r="J130" s="92">
        <f>VLOOKUP($A130,'Data Vlaue (Cr)'!$C:$FB,94)</f>
        <v>-4.07E-2</v>
      </c>
      <c r="K130" s="91">
        <f>VLOOKUP($A130,'Data Vlaue (Cr)'!$C:$FB,95)</f>
        <v>1667</v>
      </c>
      <c r="L130" s="91">
        <f>VLOOKUP($A130,'Data Vlaue (Cr)'!$C:$FB,97)</f>
        <v>137</v>
      </c>
      <c r="M130" s="92">
        <f>VLOOKUP($A130,'Data Vlaue (Cr)'!$C:$FB,98)</f>
        <v>8.9399999999999993E-2</v>
      </c>
      <c r="N130" s="91">
        <f>VLOOKUP($A130,'Data Vlaue (Cr)'!$C:$FB,79)</f>
        <v>5466</v>
      </c>
      <c r="O130" s="92">
        <f>VLOOKUP($A130,'Data Vlaue (Cr)'!$C:$FB,82)</f>
        <v>-5.0099999999999999E-2</v>
      </c>
    </row>
    <row r="131" spans="1:15" x14ac:dyDescent="0.25">
      <c r="A131" s="97" t="str">
        <f>'Data Vlaue (Cr)'!C126</f>
        <v>MANAPPURAM</v>
      </c>
      <c r="B131" s="142">
        <f>VLOOKUP(A131,'Data Vlaue (Cr)'!C126:CW340,99,0)</f>
        <v>2197</v>
      </c>
      <c r="C131" s="90">
        <f>VLOOKUP(A131,'Data Vlaue (Cr)'!C126:CY340,101,0)</f>
        <v>-43</v>
      </c>
      <c r="D131" s="139">
        <f>VLOOKUP(A131,'Data Vlaue (Cr)'!C126:CZ340,102,0)</f>
        <v>-1.9199999999999998E-2</v>
      </c>
      <c r="E131" s="91">
        <f>VLOOKUP($A131,'Data Vlaue (Cr)'!$C:$FB,75)</f>
        <v>1542</v>
      </c>
      <c r="F131" s="91">
        <f>VLOOKUP($A131,'Data Vlaue (Cr)'!$C:$FB,77)</f>
        <v>-40</v>
      </c>
      <c r="G131" s="92">
        <f>VLOOKUP(A131,'Data Vlaue (Cr)'!C126:CB340,78,0)</f>
        <v>-2.53E-2</v>
      </c>
      <c r="H131" s="91">
        <f>VLOOKUP($A131,'Data Vlaue (Cr)'!$C:$FB,91)</f>
        <v>380</v>
      </c>
      <c r="I131" s="91">
        <f>VLOOKUP($A131,'Data Vlaue (Cr)'!$C:$FB,93)</f>
        <v>-12</v>
      </c>
      <c r="J131" s="92">
        <f>VLOOKUP($A131,'Data Vlaue (Cr)'!$C:$FB,94)</f>
        <v>-3.0700000000000002E-2</v>
      </c>
      <c r="K131" s="91">
        <f>VLOOKUP($A131,'Data Vlaue (Cr)'!$C:$FB,95)</f>
        <v>275</v>
      </c>
      <c r="L131" s="91">
        <f>VLOOKUP($A131,'Data Vlaue (Cr)'!$C:$FB,97)</f>
        <v>9</v>
      </c>
      <c r="M131" s="92">
        <f>VLOOKUP($A131,'Data Vlaue (Cr)'!$C:$FB,98)</f>
        <v>3.4200000000000001E-2</v>
      </c>
      <c r="N131" s="91">
        <f>VLOOKUP($A131,'Data Vlaue (Cr)'!$C:$FB,79)</f>
        <v>1529</v>
      </c>
      <c r="O131" s="92">
        <f>VLOOKUP($A131,'Data Vlaue (Cr)'!$C:$FB,82)</f>
        <v>-2.6100000000000002E-2</v>
      </c>
    </row>
    <row r="132" spans="1:15" x14ac:dyDescent="0.25">
      <c r="A132" s="97" t="str">
        <f>'Data Vlaue (Cr)'!C127</f>
        <v>MANKIND</v>
      </c>
      <c r="B132" s="142">
        <f>VLOOKUP(A132,'Data Vlaue (Cr)'!C127:CW341,99,0)</f>
        <v>1358</v>
      </c>
      <c r="C132" s="90">
        <f>VLOOKUP(A132,'Data Vlaue (Cr)'!C127:CY341,101,0)</f>
        <v>47</v>
      </c>
      <c r="D132" s="139">
        <f>VLOOKUP(A132,'Data Vlaue (Cr)'!C127:CZ341,102,0)</f>
        <v>3.61E-2</v>
      </c>
      <c r="E132" s="91">
        <f>VLOOKUP($A132,'Data Vlaue (Cr)'!$C:$FB,75)</f>
        <v>925</v>
      </c>
      <c r="F132" s="91">
        <f>VLOOKUP($A132,'Data Vlaue (Cr)'!$C:$FB,77)</f>
        <v>37</v>
      </c>
      <c r="G132" s="92">
        <f>VLOOKUP(A132,'Data Vlaue (Cr)'!C127:CB341,78,0)</f>
        <v>4.1799999999999997E-2</v>
      </c>
      <c r="H132" s="91">
        <f>VLOOKUP($A132,'Data Vlaue (Cr)'!$C:$FB,91)</f>
        <v>250</v>
      </c>
      <c r="I132" s="91">
        <f>VLOOKUP($A132,'Data Vlaue (Cr)'!$C:$FB,93)</f>
        <v>-10</v>
      </c>
      <c r="J132" s="92">
        <f>VLOOKUP($A132,'Data Vlaue (Cr)'!$C:$FB,94)</f>
        <v>-3.9899999999999998E-2</v>
      </c>
      <c r="K132" s="91">
        <f>VLOOKUP($A132,'Data Vlaue (Cr)'!$C:$FB,95)</f>
        <v>183</v>
      </c>
      <c r="L132" s="91">
        <f>VLOOKUP($A132,'Data Vlaue (Cr)'!$C:$FB,97)</f>
        <v>21</v>
      </c>
      <c r="M132" s="92">
        <f>VLOOKUP($A132,'Data Vlaue (Cr)'!$C:$FB,98)</f>
        <v>0.12640000000000001</v>
      </c>
      <c r="N132" s="91">
        <f>VLOOKUP($A132,'Data Vlaue (Cr)'!$C:$FB,79)</f>
        <v>915</v>
      </c>
      <c r="O132" s="92">
        <f>VLOOKUP($A132,'Data Vlaue (Cr)'!$C:$FB,82)</f>
        <v>3.9100000000000003E-2</v>
      </c>
    </row>
    <row r="133" spans="1:15" x14ac:dyDescent="0.25">
      <c r="A133" s="97" t="str">
        <f>'Data Vlaue (Cr)'!C128</f>
        <v>MARICO</v>
      </c>
      <c r="B133" s="142">
        <f>VLOOKUP(A133,'Data Vlaue (Cr)'!C128:CW342,99,0)</f>
        <v>2889</v>
      </c>
      <c r="C133" s="90">
        <f>VLOOKUP(A133,'Data Vlaue (Cr)'!C128:CY342,101,0)</f>
        <v>62</v>
      </c>
      <c r="D133" s="139">
        <f>VLOOKUP(A133,'Data Vlaue (Cr)'!C128:CZ342,102,0)</f>
        <v>2.1999999999999999E-2</v>
      </c>
      <c r="E133" s="91">
        <f>VLOOKUP($A133,'Data Vlaue (Cr)'!$C:$FB,75)</f>
        <v>1758</v>
      </c>
      <c r="F133" s="91">
        <f>VLOOKUP($A133,'Data Vlaue (Cr)'!$C:$FB,77)</f>
        <v>-95</v>
      </c>
      <c r="G133" s="92">
        <f>VLOOKUP(A133,'Data Vlaue (Cr)'!C128:CB342,78,0)</f>
        <v>-5.1299999999999998E-2</v>
      </c>
      <c r="H133" s="91">
        <f>VLOOKUP($A133,'Data Vlaue (Cr)'!$C:$FB,91)</f>
        <v>660</v>
      </c>
      <c r="I133" s="91">
        <f>VLOOKUP($A133,'Data Vlaue (Cr)'!$C:$FB,93)</f>
        <v>101</v>
      </c>
      <c r="J133" s="92">
        <f>VLOOKUP($A133,'Data Vlaue (Cr)'!$C:$FB,94)</f>
        <v>0.18029999999999999</v>
      </c>
      <c r="K133" s="91">
        <f>VLOOKUP($A133,'Data Vlaue (Cr)'!$C:$FB,95)</f>
        <v>470</v>
      </c>
      <c r="L133" s="91">
        <f>VLOOKUP($A133,'Data Vlaue (Cr)'!$C:$FB,97)</f>
        <v>56</v>
      </c>
      <c r="M133" s="92">
        <f>VLOOKUP($A133,'Data Vlaue (Cr)'!$C:$FB,98)</f>
        <v>0.13619999999999999</v>
      </c>
      <c r="N133" s="91">
        <f>VLOOKUP($A133,'Data Vlaue (Cr)'!$C:$FB,79)</f>
        <v>1651</v>
      </c>
      <c r="O133" s="92">
        <f>VLOOKUP($A133,'Data Vlaue (Cr)'!$C:$FB,82)</f>
        <v>-5.57E-2</v>
      </c>
    </row>
    <row r="134" spans="1:15" x14ac:dyDescent="0.25">
      <c r="A134" s="97" t="str">
        <f>'Data Vlaue (Cr)'!C129</f>
        <v>MARUTI</v>
      </c>
      <c r="B134" s="142">
        <f>VLOOKUP(A134,'Data Vlaue (Cr)'!C129:CW343,99,0)</f>
        <v>8552</v>
      </c>
      <c r="C134" s="90">
        <f>VLOOKUP(A134,'Data Vlaue (Cr)'!C129:CY343,101,0)</f>
        <v>-147</v>
      </c>
      <c r="D134" s="139">
        <f>VLOOKUP(A134,'Data Vlaue (Cr)'!C129:CZ343,102,0)</f>
        <v>-1.6899999999999998E-2</v>
      </c>
      <c r="E134" s="91">
        <f>VLOOKUP($A134,'Data Vlaue (Cr)'!$C:$FB,75)</f>
        <v>4349</v>
      </c>
      <c r="F134" s="91">
        <f>VLOOKUP($A134,'Data Vlaue (Cr)'!$C:$FB,77)</f>
        <v>45</v>
      </c>
      <c r="G134" s="92">
        <f>VLOOKUP(A134,'Data Vlaue (Cr)'!C129:CB343,78,0)</f>
        <v>1.04E-2</v>
      </c>
      <c r="H134" s="91">
        <f>VLOOKUP($A134,'Data Vlaue (Cr)'!$C:$FB,91)</f>
        <v>2830</v>
      </c>
      <c r="I134" s="91">
        <f>VLOOKUP($A134,'Data Vlaue (Cr)'!$C:$FB,93)</f>
        <v>-299</v>
      </c>
      <c r="J134" s="92">
        <f>VLOOKUP($A134,'Data Vlaue (Cr)'!$C:$FB,94)</f>
        <v>-9.5699999999999993E-2</v>
      </c>
      <c r="K134" s="91">
        <f>VLOOKUP($A134,'Data Vlaue (Cr)'!$C:$FB,95)</f>
        <v>1372</v>
      </c>
      <c r="L134" s="91">
        <f>VLOOKUP($A134,'Data Vlaue (Cr)'!$C:$FB,97)</f>
        <v>108</v>
      </c>
      <c r="M134" s="92">
        <f>VLOOKUP($A134,'Data Vlaue (Cr)'!$C:$FB,98)</f>
        <v>8.5400000000000004E-2</v>
      </c>
      <c r="N134" s="91">
        <f>VLOOKUP($A134,'Data Vlaue (Cr)'!$C:$FB,79)</f>
        <v>3488</v>
      </c>
      <c r="O134" s="92">
        <f>VLOOKUP($A134,'Data Vlaue (Cr)'!$C:$FB,82)</f>
        <v>1.1599999999999999E-2</v>
      </c>
    </row>
    <row r="135" spans="1:15" x14ac:dyDescent="0.25">
      <c r="A135" s="97" t="str">
        <f>'Data Vlaue (Cr)'!C130</f>
        <v>MAXHEALTH</v>
      </c>
      <c r="B135" s="142">
        <f>VLOOKUP(A135,'Data Vlaue (Cr)'!C130:CW344,99,0)</f>
        <v>1749</v>
      </c>
      <c r="C135" s="90">
        <f>VLOOKUP(A135,'Data Vlaue (Cr)'!C130:CY344,101,0)</f>
        <v>17</v>
      </c>
      <c r="D135" s="139">
        <f>VLOOKUP(A135,'Data Vlaue (Cr)'!C130:CZ344,102,0)</f>
        <v>9.5999999999999992E-3</v>
      </c>
      <c r="E135" s="91">
        <f>VLOOKUP($A135,'Data Vlaue (Cr)'!$C:$FB,75)</f>
        <v>1362</v>
      </c>
      <c r="F135" s="91">
        <f>VLOOKUP($A135,'Data Vlaue (Cr)'!$C:$FB,77)</f>
        <v>-7</v>
      </c>
      <c r="G135" s="92">
        <f>VLOOKUP(A135,'Data Vlaue (Cr)'!C130:CB344,78,0)</f>
        <v>-5.0000000000000001E-3</v>
      </c>
      <c r="H135" s="91">
        <f>VLOOKUP($A135,'Data Vlaue (Cr)'!$C:$FB,91)</f>
        <v>256</v>
      </c>
      <c r="I135" s="91">
        <f>VLOOKUP($A135,'Data Vlaue (Cr)'!$C:$FB,93)</f>
        <v>27</v>
      </c>
      <c r="J135" s="92">
        <f>VLOOKUP($A135,'Data Vlaue (Cr)'!$C:$FB,94)</f>
        <v>0.11840000000000001</v>
      </c>
      <c r="K135" s="91">
        <f>VLOOKUP($A135,'Data Vlaue (Cr)'!$C:$FB,95)</f>
        <v>131</v>
      </c>
      <c r="L135" s="91">
        <f>VLOOKUP($A135,'Data Vlaue (Cr)'!$C:$FB,97)</f>
        <v>-4</v>
      </c>
      <c r="M135" s="92">
        <f>VLOOKUP($A135,'Data Vlaue (Cr)'!$C:$FB,98)</f>
        <v>-2.64E-2</v>
      </c>
      <c r="N135" s="91">
        <f>VLOOKUP($A135,'Data Vlaue (Cr)'!$C:$FB,79)</f>
        <v>1232</v>
      </c>
      <c r="O135" s="92">
        <f>VLOOKUP($A135,'Data Vlaue (Cr)'!$C:$FB,82)</f>
        <v>-7.9000000000000008E-3</v>
      </c>
    </row>
    <row r="136" spans="1:15" x14ac:dyDescent="0.25">
      <c r="A136" s="97" t="str">
        <f>'Data Vlaue (Cr)'!C131</f>
        <v>MAZDOCK</v>
      </c>
      <c r="B136" s="142">
        <f>VLOOKUP(A136,'Data Vlaue (Cr)'!C131:CW345,99,0)</f>
        <v>2963</v>
      </c>
      <c r="C136" s="90">
        <f>VLOOKUP(A136,'Data Vlaue (Cr)'!C131:CY345,101,0)</f>
        <v>10</v>
      </c>
      <c r="D136" s="139">
        <f>VLOOKUP(A136,'Data Vlaue (Cr)'!C131:CZ345,102,0)</f>
        <v>3.3E-3</v>
      </c>
      <c r="E136" s="91">
        <f>VLOOKUP($A136,'Data Vlaue (Cr)'!$C:$FB,75)</f>
        <v>1293</v>
      </c>
      <c r="F136" s="91">
        <f>VLOOKUP($A136,'Data Vlaue (Cr)'!$C:$FB,77)</f>
        <v>1</v>
      </c>
      <c r="G136" s="92">
        <f>VLOOKUP(A136,'Data Vlaue (Cr)'!C131:CB345,78,0)</f>
        <v>1.1000000000000001E-3</v>
      </c>
      <c r="H136" s="91">
        <f>VLOOKUP($A136,'Data Vlaue (Cr)'!$C:$FB,91)</f>
        <v>1177</v>
      </c>
      <c r="I136" s="91">
        <f>VLOOKUP($A136,'Data Vlaue (Cr)'!$C:$FB,93)</f>
        <v>3</v>
      </c>
      <c r="J136" s="92">
        <f>VLOOKUP($A136,'Data Vlaue (Cr)'!$C:$FB,94)</f>
        <v>2.3E-3</v>
      </c>
      <c r="K136" s="91">
        <f>VLOOKUP($A136,'Data Vlaue (Cr)'!$C:$FB,95)</f>
        <v>493</v>
      </c>
      <c r="L136" s="91">
        <f>VLOOKUP($A136,'Data Vlaue (Cr)'!$C:$FB,97)</f>
        <v>6</v>
      </c>
      <c r="M136" s="92">
        <f>VLOOKUP($A136,'Data Vlaue (Cr)'!$C:$FB,98)</f>
        <v>1.15E-2</v>
      </c>
      <c r="N136" s="91">
        <f>VLOOKUP($A136,'Data Vlaue (Cr)'!$C:$FB,79)</f>
        <v>1230</v>
      </c>
      <c r="O136" s="92">
        <f>VLOOKUP($A136,'Data Vlaue (Cr)'!$C:$FB,82)</f>
        <v>1.9E-3</v>
      </c>
    </row>
    <row r="137" spans="1:15" x14ac:dyDescent="0.25">
      <c r="A137" s="97" t="str">
        <f>'Data Vlaue (Cr)'!C132</f>
        <v>MCX</v>
      </c>
      <c r="B137" s="142">
        <f>VLOOKUP(A137,'Data Vlaue (Cr)'!C132:CW346,99,0)</f>
        <v>6341</v>
      </c>
      <c r="C137" s="90">
        <f>VLOOKUP(A137,'Data Vlaue (Cr)'!C132:CY346,101,0)</f>
        <v>-15</v>
      </c>
      <c r="D137" s="139">
        <f>VLOOKUP(A137,'Data Vlaue (Cr)'!C132:CZ346,102,0)</f>
        <v>-2.3999999999999998E-3</v>
      </c>
      <c r="E137" s="91">
        <f>VLOOKUP($A137,'Data Vlaue (Cr)'!$C:$FB,75)</f>
        <v>3787</v>
      </c>
      <c r="F137" s="91">
        <f>VLOOKUP($A137,'Data Vlaue (Cr)'!$C:$FB,77)</f>
        <v>-88</v>
      </c>
      <c r="G137" s="92">
        <f>VLOOKUP(A137,'Data Vlaue (Cr)'!C132:CB346,78,0)</f>
        <v>-2.2800000000000001E-2</v>
      </c>
      <c r="H137" s="91">
        <f>VLOOKUP($A137,'Data Vlaue (Cr)'!$C:$FB,91)</f>
        <v>1438</v>
      </c>
      <c r="I137" s="91">
        <f>VLOOKUP($A137,'Data Vlaue (Cr)'!$C:$FB,93)</f>
        <v>-32</v>
      </c>
      <c r="J137" s="92">
        <f>VLOOKUP($A137,'Data Vlaue (Cr)'!$C:$FB,94)</f>
        <v>-2.1700000000000001E-2</v>
      </c>
      <c r="K137" s="91">
        <f>VLOOKUP($A137,'Data Vlaue (Cr)'!$C:$FB,95)</f>
        <v>1117</v>
      </c>
      <c r="L137" s="91">
        <f>VLOOKUP($A137,'Data Vlaue (Cr)'!$C:$FB,97)</f>
        <v>105</v>
      </c>
      <c r="M137" s="92">
        <f>VLOOKUP($A137,'Data Vlaue (Cr)'!$C:$FB,98)</f>
        <v>0.1037</v>
      </c>
      <c r="N137" s="91">
        <f>VLOOKUP($A137,'Data Vlaue (Cr)'!$C:$FB,79)</f>
        <v>3644</v>
      </c>
      <c r="O137" s="92">
        <f>VLOOKUP($A137,'Data Vlaue (Cr)'!$C:$FB,82)</f>
        <v>-2.2200000000000001E-2</v>
      </c>
    </row>
    <row r="138" spans="1:15" x14ac:dyDescent="0.25">
      <c r="A138" s="97" t="str">
        <f>'Data Vlaue (Cr)'!C133</f>
        <v>MFSL</v>
      </c>
      <c r="B138" s="142">
        <f>VLOOKUP(A138,'Data Vlaue (Cr)'!C133:CW347,99,0)</f>
        <v>1760</v>
      </c>
      <c r="C138" s="90">
        <f>VLOOKUP(A138,'Data Vlaue (Cr)'!C133:CY347,101,0)</f>
        <v>76</v>
      </c>
      <c r="D138" s="139">
        <f>VLOOKUP(A138,'Data Vlaue (Cr)'!C133:CZ347,102,0)</f>
        <v>4.53E-2</v>
      </c>
      <c r="E138" s="91">
        <f>VLOOKUP($A138,'Data Vlaue (Cr)'!$C:$FB,75)</f>
        <v>1568</v>
      </c>
      <c r="F138" s="91">
        <f>VLOOKUP($A138,'Data Vlaue (Cr)'!$C:$FB,77)</f>
        <v>19</v>
      </c>
      <c r="G138" s="92">
        <f>VLOOKUP(A138,'Data Vlaue (Cr)'!C133:CB347,78,0)</f>
        <v>1.24E-2</v>
      </c>
      <c r="H138" s="91">
        <f>VLOOKUP($A138,'Data Vlaue (Cr)'!$C:$FB,91)</f>
        <v>127</v>
      </c>
      <c r="I138" s="91">
        <f>VLOOKUP($A138,'Data Vlaue (Cr)'!$C:$FB,93)</f>
        <v>46</v>
      </c>
      <c r="J138" s="92">
        <f>VLOOKUP($A138,'Data Vlaue (Cr)'!$C:$FB,94)</f>
        <v>0.57179999999999997</v>
      </c>
      <c r="K138" s="91">
        <f>VLOOKUP($A138,'Data Vlaue (Cr)'!$C:$FB,95)</f>
        <v>65</v>
      </c>
      <c r="L138" s="91">
        <f>VLOOKUP($A138,'Data Vlaue (Cr)'!$C:$FB,97)</f>
        <v>11</v>
      </c>
      <c r="M138" s="92">
        <f>VLOOKUP($A138,'Data Vlaue (Cr)'!$C:$FB,98)</f>
        <v>0.20250000000000001</v>
      </c>
      <c r="N138" s="91">
        <f>VLOOKUP($A138,'Data Vlaue (Cr)'!$C:$FB,79)</f>
        <v>1563</v>
      </c>
      <c r="O138" s="92">
        <f>VLOOKUP($A138,'Data Vlaue (Cr)'!$C:$FB,82)</f>
        <v>1.2200000000000001E-2</v>
      </c>
    </row>
    <row r="139" spans="1:15" x14ac:dyDescent="0.25">
      <c r="A139" s="97" t="str">
        <f>'Data Vlaue (Cr)'!C134</f>
        <v>MIDCPNIFTY</v>
      </c>
      <c r="B139" s="142">
        <f>VLOOKUP(A139,'Data Vlaue (Cr)'!C134:CW348,99,0)</f>
        <v>17227</v>
      </c>
      <c r="C139" s="90">
        <f>VLOOKUP(A139,'Data Vlaue (Cr)'!C134:CY348,101,0)</f>
        <v>2737</v>
      </c>
      <c r="D139" s="139">
        <f>VLOOKUP(A139,'Data Vlaue (Cr)'!C134:CZ348,102,0)</f>
        <v>0.18890000000000001</v>
      </c>
      <c r="E139" s="91">
        <f>VLOOKUP($A139,'Data Vlaue (Cr)'!$C:$FB,75)</f>
        <v>3387</v>
      </c>
      <c r="F139" s="91">
        <f>VLOOKUP($A139,'Data Vlaue (Cr)'!$C:$FB,77)</f>
        <v>140</v>
      </c>
      <c r="G139" s="92">
        <f>VLOOKUP(A139,'Data Vlaue (Cr)'!C134:CB348,78,0)</f>
        <v>4.3099999999999999E-2</v>
      </c>
      <c r="H139" s="91">
        <f>VLOOKUP($A139,'Data Vlaue (Cr)'!$C:$FB,91)</f>
        <v>6040</v>
      </c>
      <c r="I139" s="91">
        <f>VLOOKUP($A139,'Data Vlaue (Cr)'!$C:$FB,93)</f>
        <v>794</v>
      </c>
      <c r="J139" s="92">
        <f>VLOOKUP($A139,'Data Vlaue (Cr)'!$C:$FB,94)</f>
        <v>0.15129999999999999</v>
      </c>
      <c r="K139" s="91">
        <f>VLOOKUP($A139,'Data Vlaue (Cr)'!$C:$FB,95)</f>
        <v>7801</v>
      </c>
      <c r="L139" s="91">
        <f>VLOOKUP($A139,'Data Vlaue (Cr)'!$C:$FB,97)</f>
        <v>1803</v>
      </c>
      <c r="M139" s="92">
        <f>VLOOKUP($A139,'Data Vlaue (Cr)'!$C:$FB,98)</f>
        <v>0.30070000000000002</v>
      </c>
      <c r="N139" s="91">
        <f>VLOOKUP($A139,'Data Vlaue (Cr)'!$C:$FB,79)</f>
        <v>3295</v>
      </c>
      <c r="O139" s="92">
        <f>VLOOKUP($A139,'Data Vlaue (Cr)'!$C:$FB,82)</f>
        <v>3.85E-2</v>
      </c>
    </row>
    <row r="140" spans="1:15" x14ac:dyDescent="0.25">
      <c r="A140" s="97" t="str">
        <f>'Data Vlaue (Cr)'!C135</f>
        <v>MOTHERSON</v>
      </c>
      <c r="B140" s="142">
        <f>VLOOKUP(A140,'Data Vlaue (Cr)'!C135:CW349,99,0)</f>
        <v>2433</v>
      </c>
      <c r="C140" s="90">
        <f>VLOOKUP(A140,'Data Vlaue (Cr)'!C135:CY349,101,0)</f>
        <v>71</v>
      </c>
      <c r="D140" s="139">
        <f>VLOOKUP(A140,'Data Vlaue (Cr)'!C135:CZ349,102,0)</f>
        <v>3.0200000000000001E-2</v>
      </c>
      <c r="E140" s="91">
        <f>VLOOKUP($A140,'Data Vlaue (Cr)'!$C:$FB,75)</f>
        <v>1792</v>
      </c>
      <c r="F140" s="91">
        <f>VLOOKUP($A140,'Data Vlaue (Cr)'!$C:$FB,77)</f>
        <v>54</v>
      </c>
      <c r="G140" s="92">
        <f>VLOOKUP(A140,'Data Vlaue (Cr)'!C135:CB349,78,0)</f>
        <v>3.1E-2</v>
      </c>
      <c r="H140" s="91">
        <f>VLOOKUP($A140,'Data Vlaue (Cr)'!$C:$FB,91)</f>
        <v>359</v>
      </c>
      <c r="I140" s="91">
        <f>VLOOKUP($A140,'Data Vlaue (Cr)'!$C:$FB,93)</f>
        <v>-4</v>
      </c>
      <c r="J140" s="92">
        <f>VLOOKUP($A140,'Data Vlaue (Cr)'!$C:$FB,94)</f>
        <v>-1.0500000000000001E-2</v>
      </c>
      <c r="K140" s="91">
        <f>VLOOKUP($A140,'Data Vlaue (Cr)'!$C:$FB,95)</f>
        <v>283</v>
      </c>
      <c r="L140" s="91">
        <f>VLOOKUP($A140,'Data Vlaue (Cr)'!$C:$FB,97)</f>
        <v>21</v>
      </c>
      <c r="M140" s="92">
        <f>VLOOKUP($A140,'Data Vlaue (Cr)'!$C:$FB,98)</f>
        <v>8.1500000000000003E-2</v>
      </c>
      <c r="N140" s="91">
        <f>VLOOKUP($A140,'Data Vlaue (Cr)'!$C:$FB,79)</f>
        <v>1656</v>
      </c>
      <c r="O140" s="92">
        <f>VLOOKUP($A140,'Data Vlaue (Cr)'!$C:$FB,82)</f>
        <v>3.2199999999999999E-2</v>
      </c>
    </row>
    <row r="141" spans="1:15" x14ac:dyDescent="0.25">
      <c r="A141" s="97" t="str">
        <f>'Data Vlaue (Cr)'!C136</f>
        <v>MOTILALOFS</v>
      </c>
      <c r="B141" s="142">
        <f>VLOOKUP(A141,'Data Vlaue (Cr)'!C136:CW350,99,0)</f>
        <v>567</v>
      </c>
      <c r="C141" s="90">
        <f>VLOOKUP(A141,'Data Vlaue (Cr)'!C136:CY350,101,0)</f>
        <v>-34</v>
      </c>
      <c r="D141" s="139">
        <f>VLOOKUP(A141,'Data Vlaue (Cr)'!C136:CZ350,102,0)</f>
        <v>-5.6800000000000003E-2</v>
      </c>
      <c r="E141" s="91">
        <f>VLOOKUP($A141,'Data Vlaue (Cr)'!$C:$FB,75)</f>
        <v>261</v>
      </c>
      <c r="F141" s="91">
        <f>VLOOKUP($A141,'Data Vlaue (Cr)'!$C:$FB,77)</f>
        <v>-15</v>
      </c>
      <c r="G141" s="92">
        <f>VLOOKUP(A141,'Data Vlaue (Cr)'!C136:CB350,78,0)</f>
        <v>-5.4199999999999998E-2</v>
      </c>
      <c r="H141" s="91">
        <f>VLOOKUP($A141,'Data Vlaue (Cr)'!$C:$FB,91)</f>
        <v>186</v>
      </c>
      <c r="I141" s="91">
        <f>VLOOKUP($A141,'Data Vlaue (Cr)'!$C:$FB,93)</f>
        <v>-11</v>
      </c>
      <c r="J141" s="92">
        <f>VLOOKUP($A141,'Data Vlaue (Cr)'!$C:$FB,94)</f>
        <v>-5.4899999999999997E-2</v>
      </c>
      <c r="K141" s="91">
        <f>VLOOKUP($A141,'Data Vlaue (Cr)'!$C:$FB,95)</f>
        <v>120</v>
      </c>
      <c r="L141" s="91">
        <f>VLOOKUP($A141,'Data Vlaue (Cr)'!$C:$FB,97)</f>
        <v>-8</v>
      </c>
      <c r="M141" s="92">
        <f>VLOOKUP($A141,'Data Vlaue (Cr)'!$C:$FB,98)</f>
        <v>-6.5100000000000005E-2</v>
      </c>
      <c r="N141" s="91">
        <f>VLOOKUP($A141,'Data Vlaue (Cr)'!$C:$FB,79)</f>
        <v>255</v>
      </c>
      <c r="O141" s="92">
        <f>VLOOKUP($A141,'Data Vlaue (Cr)'!$C:$FB,82)</f>
        <v>-5.74E-2</v>
      </c>
    </row>
    <row r="142" spans="1:15" x14ac:dyDescent="0.25">
      <c r="A142" s="97" t="str">
        <f>'Data Vlaue (Cr)'!C137</f>
        <v>MPHASIS</v>
      </c>
      <c r="B142" s="142">
        <f>VLOOKUP(A142,'Data Vlaue (Cr)'!C137:CW351,99,0)</f>
        <v>1631</v>
      </c>
      <c r="C142" s="90">
        <f>VLOOKUP(A142,'Data Vlaue (Cr)'!C137:CY351,101,0)</f>
        <v>19</v>
      </c>
      <c r="D142" s="139">
        <f>VLOOKUP(A142,'Data Vlaue (Cr)'!C137:CZ351,102,0)</f>
        <v>1.15E-2</v>
      </c>
      <c r="E142" s="91">
        <f>VLOOKUP($A142,'Data Vlaue (Cr)'!$C:$FB,75)</f>
        <v>1064</v>
      </c>
      <c r="F142" s="91">
        <f>VLOOKUP($A142,'Data Vlaue (Cr)'!$C:$FB,77)</f>
        <v>22</v>
      </c>
      <c r="G142" s="92">
        <f>VLOOKUP(A142,'Data Vlaue (Cr)'!C137:CB351,78,0)</f>
        <v>2.12E-2</v>
      </c>
      <c r="H142" s="91">
        <f>VLOOKUP($A142,'Data Vlaue (Cr)'!$C:$FB,91)</f>
        <v>355</v>
      </c>
      <c r="I142" s="91">
        <f>VLOOKUP($A142,'Data Vlaue (Cr)'!$C:$FB,93)</f>
        <v>-2</v>
      </c>
      <c r="J142" s="92">
        <f>VLOOKUP($A142,'Data Vlaue (Cr)'!$C:$FB,94)</f>
        <v>-6.7000000000000002E-3</v>
      </c>
      <c r="K142" s="91">
        <f>VLOOKUP($A142,'Data Vlaue (Cr)'!$C:$FB,95)</f>
        <v>211</v>
      </c>
      <c r="L142" s="91">
        <f>VLOOKUP($A142,'Data Vlaue (Cr)'!$C:$FB,97)</f>
        <v>-1</v>
      </c>
      <c r="M142" s="92">
        <f>VLOOKUP($A142,'Data Vlaue (Cr)'!$C:$FB,98)</f>
        <v>-5.4999999999999997E-3</v>
      </c>
      <c r="N142" s="91">
        <f>VLOOKUP($A142,'Data Vlaue (Cr)'!$C:$FB,79)</f>
        <v>1053</v>
      </c>
      <c r="O142" s="92">
        <f>VLOOKUP($A142,'Data Vlaue (Cr)'!$C:$FB,82)</f>
        <v>1.9E-2</v>
      </c>
    </row>
    <row r="143" spans="1:15" x14ac:dyDescent="0.25">
      <c r="A143" s="97" t="str">
        <f>'Data Vlaue (Cr)'!C138</f>
        <v>MUTHOOTFIN</v>
      </c>
      <c r="B143" s="142">
        <f>VLOOKUP(A143,'Data Vlaue (Cr)'!C138:CW352,99,0)</f>
        <v>2099</v>
      </c>
      <c r="C143" s="90">
        <f>VLOOKUP(A143,'Data Vlaue (Cr)'!C138:CY352,101,0)</f>
        <v>102</v>
      </c>
      <c r="D143" s="139">
        <f>VLOOKUP(A143,'Data Vlaue (Cr)'!C138:CZ352,102,0)</f>
        <v>5.0999999999999997E-2</v>
      </c>
      <c r="E143" s="91">
        <f>VLOOKUP($A143,'Data Vlaue (Cr)'!$C:$FB,75)</f>
        <v>1344</v>
      </c>
      <c r="F143" s="91">
        <f>VLOOKUP($A143,'Data Vlaue (Cr)'!$C:$FB,77)</f>
        <v>0</v>
      </c>
      <c r="G143" s="92">
        <f>VLOOKUP(A143,'Data Vlaue (Cr)'!C138:CB352,78,0)</f>
        <v>2.9999999999999997E-4</v>
      </c>
      <c r="H143" s="91">
        <f>VLOOKUP($A143,'Data Vlaue (Cr)'!$C:$FB,91)</f>
        <v>454</v>
      </c>
      <c r="I143" s="91">
        <f>VLOOKUP($A143,'Data Vlaue (Cr)'!$C:$FB,93)</f>
        <v>71</v>
      </c>
      <c r="J143" s="92">
        <f>VLOOKUP($A143,'Data Vlaue (Cr)'!$C:$FB,94)</f>
        <v>0.184</v>
      </c>
      <c r="K143" s="91">
        <f>VLOOKUP($A143,'Data Vlaue (Cr)'!$C:$FB,95)</f>
        <v>301</v>
      </c>
      <c r="L143" s="91">
        <f>VLOOKUP($A143,'Data Vlaue (Cr)'!$C:$FB,97)</f>
        <v>31</v>
      </c>
      <c r="M143" s="92">
        <f>VLOOKUP($A143,'Data Vlaue (Cr)'!$C:$FB,98)</f>
        <v>0.1149</v>
      </c>
      <c r="N143" s="91">
        <f>VLOOKUP($A143,'Data Vlaue (Cr)'!$C:$FB,79)</f>
        <v>1321</v>
      </c>
      <c r="O143" s="92">
        <f>VLOOKUP($A143,'Data Vlaue (Cr)'!$C:$FB,82)</f>
        <v>1.6000000000000001E-3</v>
      </c>
    </row>
    <row r="144" spans="1:15" x14ac:dyDescent="0.25">
      <c r="A144" s="97" t="str">
        <f>'Data Vlaue (Cr)'!C139</f>
        <v>NAM-INDIA</v>
      </c>
      <c r="B144" s="142">
        <f>VLOOKUP(A144,'Data Vlaue (Cr)'!C139:CW353,99,0)</f>
        <v>620</v>
      </c>
      <c r="C144" s="90">
        <f>VLOOKUP(A144,'Data Vlaue (Cr)'!C139:CY353,101,0)</f>
        <v>33</v>
      </c>
      <c r="D144" s="139">
        <f>VLOOKUP(A144,'Data Vlaue (Cr)'!C139:CZ353,102,0)</f>
        <v>5.67E-2</v>
      </c>
      <c r="E144" s="91">
        <f>VLOOKUP($A144,'Data Vlaue (Cr)'!$C:$FB,75)</f>
        <v>415</v>
      </c>
      <c r="F144" s="91">
        <f>VLOOKUP($A144,'Data Vlaue (Cr)'!$C:$FB,77)</f>
        <v>43</v>
      </c>
      <c r="G144" s="92">
        <f>VLOOKUP(A144,'Data Vlaue (Cr)'!C139:CB353,78,0)</f>
        <v>0.1148</v>
      </c>
      <c r="H144" s="91">
        <f>VLOOKUP($A144,'Data Vlaue (Cr)'!$C:$FB,91)</f>
        <v>147</v>
      </c>
      <c r="I144" s="91">
        <f>VLOOKUP($A144,'Data Vlaue (Cr)'!$C:$FB,93)</f>
        <v>-8</v>
      </c>
      <c r="J144" s="92">
        <f>VLOOKUP($A144,'Data Vlaue (Cr)'!$C:$FB,94)</f>
        <v>-5.04E-2</v>
      </c>
      <c r="K144" s="91">
        <f>VLOOKUP($A144,'Data Vlaue (Cr)'!$C:$FB,95)</f>
        <v>59</v>
      </c>
      <c r="L144" s="91">
        <f>VLOOKUP($A144,'Data Vlaue (Cr)'!$C:$FB,97)</f>
        <v>-2</v>
      </c>
      <c r="M144" s="92">
        <f>VLOOKUP($A144,'Data Vlaue (Cr)'!$C:$FB,98)</f>
        <v>-2.7199999999999998E-2</v>
      </c>
      <c r="N144" s="91">
        <f>VLOOKUP($A144,'Data Vlaue (Cr)'!$C:$FB,79)</f>
        <v>403</v>
      </c>
      <c r="O144" s="92">
        <f>VLOOKUP($A144,'Data Vlaue (Cr)'!$C:$FB,82)</f>
        <v>0.1021</v>
      </c>
    </row>
    <row r="145" spans="1:15" x14ac:dyDescent="0.25">
      <c r="A145" s="97" t="str">
        <f>'Data Vlaue (Cr)'!C140</f>
        <v>NATIONALUM</v>
      </c>
      <c r="B145" s="142">
        <f>VLOOKUP(A145,'Data Vlaue (Cr)'!C140:CW354,99,0)</f>
        <v>4015</v>
      </c>
      <c r="C145" s="90">
        <f>VLOOKUP(A145,'Data Vlaue (Cr)'!C140:CY354,101,0)</f>
        <v>86</v>
      </c>
      <c r="D145" s="139">
        <f>VLOOKUP(A145,'Data Vlaue (Cr)'!C140:CZ354,102,0)</f>
        <v>2.18E-2</v>
      </c>
      <c r="E145" s="91">
        <f>VLOOKUP($A145,'Data Vlaue (Cr)'!$C:$FB,75)</f>
        <v>2160</v>
      </c>
      <c r="F145" s="91">
        <f>VLOOKUP($A145,'Data Vlaue (Cr)'!$C:$FB,77)</f>
        <v>29</v>
      </c>
      <c r="G145" s="92">
        <f>VLOOKUP(A145,'Data Vlaue (Cr)'!C140:CB354,78,0)</f>
        <v>1.38E-2</v>
      </c>
      <c r="H145" s="91">
        <f>VLOOKUP($A145,'Data Vlaue (Cr)'!$C:$FB,91)</f>
        <v>1214</v>
      </c>
      <c r="I145" s="91">
        <f>VLOOKUP($A145,'Data Vlaue (Cr)'!$C:$FB,93)</f>
        <v>49</v>
      </c>
      <c r="J145" s="92">
        <f>VLOOKUP($A145,'Data Vlaue (Cr)'!$C:$FB,94)</f>
        <v>4.2200000000000001E-2</v>
      </c>
      <c r="K145" s="91">
        <f>VLOOKUP($A145,'Data Vlaue (Cr)'!$C:$FB,95)</f>
        <v>641</v>
      </c>
      <c r="L145" s="91">
        <f>VLOOKUP($A145,'Data Vlaue (Cr)'!$C:$FB,97)</f>
        <v>7</v>
      </c>
      <c r="M145" s="92">
        <f>VLOOKUP($A145,'Data Vlaue (Cr)'!$C:$FB,98)</f>
        <v>1.1599999999999999E-2</v>
      </c>
      <c r="N145" s="91">
        <f>VLOOKUP($A145,'Data Vlaue (Cr)'!$C:$FB,79)</f>
        <v>2100</v>
      </c>
      <c r="O145" s="92">
        <f>VLOOKUP($A145,'Data Vlaue (Cr)'!$C:$FB,82)</f>
        <v>1.0800000000000001E-2</v>
      </c>
    </row>
    <row r="146" spans="1:15" x14ac:dyDescent="0.25">
      <c r="A146" s="97" t="str">
        <f>'Data Vlaue (Cr)'!C141</f>
        <v>NAUKRI</v>
      </c>
      <c r="B146" s="142">
        <f>VLOOKUP(A146,'Data Vlaue (Cr)'!C141:CW355,99,0)</f>
        <v>1474</v>
      </c>
      <c r="C146" s="90">
        <f>VLOOKUP(A146,'Data Vlaue (Cr)'!C141:CY355,101,0)</f>
        <v>71</v>
      </c>
      <c r="D146" s="139">
        <f>VLOOKUP(A146,'Data Vlaue (Cr)'!C141:CZ355,102,0)</f>
        <v>5.0799999999999998E-2</v>
      </c>
      <c r="E146" s="91">
        <f>VLOOKUP($A146,'Data Vlaue (Cr)'!$C:$FB,75)</f>
        <v>1095</v>
      </c>
      <c r="F146" s="91">
        <f>VLOOKUP($A146,'Data Vlaue (Cr)'!$C:$FB,77)</f>
        <v>50</v>
      </c>
      <c r="G146" s="92">
        <f>VLOOKUP(A146,'Data Vlaue (Cr)'!C141:CB355,78,0)</f>
        <v>4.8000000000000001E-2</v>
      </c>
      <c r="H146" s="91">
        <f>VLOOKUP($A146,'Data Vlaue (Cr)'!$C:$FB,91)</f>
        <v>281</v>
      </c>
      <c r="I146" s="91">
        <f>VLOOKUP($A146,'Data Vlaue (Cr)'!$C:$FB,93)</f>
        <v>23</v>
      </c>
      <c r="J146" s="92">
        <f>VLOOKUP($A146,'Data Vlaue (Cr)'!$C:$FB,94)</f>
        <v>8.7400000000000005E-2</v>
      </c>
      <c r="K146" s="91">
        <f>VLOOKUP($A146,'Data Vlaue (Cr)'!$C:$FB,95)</f>
        <v>98</v>
      </c>
      <c r="L146" s="91">
        <f>VLOOKUP($A146,'Data Vlaue (Cr)'!$C:$FB,97)</f>
        <v>-1</v>
      </c>
      <c r="M146" s="92">
        <f>VLOOKUP($A146,'Data Vlaue (Cr)'!$C:$FB,98)</f>
        <v>-1.4999999999999999E-2</v>
      </c>
      <c r="N146" s="91">
        <f>VLOOKUP($A146,'Data Vlaue (Cr)'!$C:$FB,79)</f>
        <v>1080</v>
      </c>
      <c r="O146" s="92">
        <f>VLOOKUP($A146,'Data Vlaue (Cr)'!$C:$FB,82)</f>
        <v>4.6699999999999998E-2</v>
      </c>
    </row>
    <row r="147" spans="1:15" x14ac:dyDescent="0.25">
      <c r="A147" s="97" t="str">
        <f>'Data Vlaue (Cr)'!C142</f>
        <v>NBCC</v>
      </c>
      <c r="B147" s="142">
        <f>VLOOKUP(A147,'Data Vlaue (Cr)'!C142:CW356,99,0)</f>
        <v>1011</v>
      </c>
      <c r="C147" s="90">
        <f>VLOOKUP(A147,'Data Vlaue (Cr)'!C142:CY356,101,0)</f>
        <v>56</v>
      </c>
      <c r="D147" s="139">
        <f>VLOOKUP(A147,'Data Vlaue (Cr)'!C142:CZ356,102,0)</f>
        <v>5.8200000000000002E-2</v>
      </c>
      <c r="E147" s="91">
        <f>VLOOKUP($A147,'Data Vlaue (Cr)'!$C:$FB,75)</f>
        <v>730</v>
      </c>
      <c r="F147" s="91">
        <f>VLOOKUP($A147,'Data Vlaue (Cr)'!$C:$FB,77)</f>
        <v>27</v>
      </c>
      <c r="G147" s="92">
        <f>VLOOKUP(A147,'Data Vlaue (Cr)'!C142:CB356,78,0)</f>
        <v>3.78E-2</v>
      </c>
      <c r="H147" s="91">
        <f>VLOOKUP($A147,'Data Vlaue (Cr)'!$C:$FB,91)</f>
        <v>157</v>
      </c>
      <c r="I147" s="91">
        <f>VLOOKUP($A147,'Data Vlaue (Cr)'!$C:$FB,93)</f>
        <v>12</v>
      </c>
      <c r="J147" s="92">
        <f>VLOOKUP($A147,'Data Vlaue (Cr)'!$C:$FB,94)</f>
        <v>8.0699999999999994E-2</v>
      </c>
      <c r="K147" s="91">
        <f>VLOOKUP($A147,'Data Vlaue (Cr)'!$C:$FB,95)</f>
        <v>124</v>
      </c>
      <c r="L147" s="91">
        <f>VLOOKUP($A147,'Data Vlaue (Cr)'!$C:$FB,97)</f>
        <v>17</v>
      </c>
      <c r="M147" s="92">
        <f>VLOOKUP($A147,'Data Vlaue (Cr)'!$C:$FB,98)</f>
        <v>0.1623</v>
      </c>
      <c r="N147" s="91">
        <f>VLOOKUP($A147,'Data Vlaue (Cr)'!$C:$FB,79)</f>
        <v>712</v>
      </c>
      <c r="O147" s="92">
        <f>VLOOKUP($A147,'Data Vlaue (Cr)'!$C:$FB,82)</f>
        <v>3.6400000000000002E-2</v>
      </c>
    </row>
    <row r="148" spans="1:15" x14ac:dyDescent="0.25">
      <c r="A148" s="97" t="str">
        <f>'Data Vlaue (Cr)'!C143</f>
        <v>NESTLEIND</v>
      </c>
      <c r="B148" s="142">
        <f>VLOOKUP(A148,'Data Vlaue (Cr)'!C143:CW357,99,0)</f>
        <v>3464</v>
      </c>
      <c r="C148" s="90">
        <f>VLOOKUP(A148,'Data Vlaue (Cr)'!C143:CY357,101,0)</f>
        <v>161</v>
      </c>
      <c r="D148" s="139">
        <f>VLOOKUP(A148,'Data Vlaue (Cr)'!C143:CZ357,102,0)</f>
        <v>4.87E-2</v>
      </c>
      <c r="E148" s="91">
        <f>VLOOKUP($A148,'Data Vlaue (Cr)'!$C:$FB,75)</f>
        <v>2157</v>
      </c>
      <c r="F148" s="91">
        <f>VLOOKUP($A148,'Data Vlaue (Cr)'!$C:$FB,77)</f>
        <v>10</v>
      </c>
      <c r="G148" s="92">
        <f>VLOOKUP(A148,'Data Vlaue (Cr)'!C143:CB357,78,0)</f>
        <v>4.5999999999999999E-3</v>
      </c>
      <c r="H148" s="91">
        <f>VLOOKUP($A148,'Data Vlaue (Cr)'!$C:$FB,91)</f>
        <v>629</v>
      </c>
      <c r="I148" s="91">
        <f>VLOOKUP($A148,'Data Vlaue (Cr)'!$C:$FB,93)</f>
        <v>31</v>
      </c>
      <c r="J148" s="92">
        <f>VLOOKUP($A148,'Data Vlaue (Cr)'!$C:$FB,94)</f>
        <v>5.11E-2</v>
      </c>
      <c r="K148" s="91">
        <f>VLOOKUP($A148,'Data Vlaue (Cr)'!$C:$FB,95)</f>
        <v>678</v>
      </c>
      <c r="L148" s="91">
        <f>VLOOKUP($A148,'Data Vlaue (Cr)'!$C:$FB,97)</f>
        <v>120</v>
      </c>
      <c r="M148" s="92">
        <f>VLOOKUP($A148,'Data Vlaue (Cr)'!$C:$FB,98)</f>
        <v>0.216</v>
      </c>
      <c r="N148" s="91">
        <f>VLOOKUP($A148,'Data Vlaue (Cr)'!$C:$FB,79)</f>
        <v>1982</v>
      </c>
      <c r="O148" s="92">
        <f>VLOOKUP($A148,'Data Vlaue (Cr)'!$C:$FB,82)</f>
        <v>-1.5E-3</v>
      </c>
    </row>
    <row r="149" spans="1:15" x14ac:dyDescent="0.25">
      <c r="A149" s="97" t="str">
        <f>'Data Vlaue (Cr)'!C144</f>
        <v>NHPC</v>
      </c>
      <c r="B149" s="142">
        <f>VLOOKUP(A149,'Data Vlaue (Cr)'!C144:CW358,99,0)</f>
        <v>1399</v>
      </c>
      <c r="C149" s="90">
        <f>VLOOKUP(A149,'Data Vlaue (Cr)'!C144:CY358,101,0)</f>
        <v>48</v>
      </c>
      <c r="D149" s="139">
        <f>VLOOKUP(A149,'Data Vlaue (Cr)'!C144:CZ358,102,0)</f>
        <v>3.5799999999999998E-2</v>
      </c>
      <c r="E149" s="91">
        <f>VLOOKUP($A149,'Data Vlaue (Cr)'!$C:$FB,75)</f>
        <v>858</v>
      </c>
      <c r="F149" s="91">
        <f>VLOOKUP($A149,'Data Vlaue (Cr)'!$C:$FB,77)</f>
        <v>21</v>
      </c>
      <c r="G149" s="92">
        <f>VLOOKUP(A149,'Data Vlaue (Cr)'!C144:CB358,78,0)</f>
        <v>2.5499999999999998E-2</v>
      </c>
      <c r="H149" s="91">
        <f>VLOOKUP($A149,'Data Vlaue (Cr)'!$C:$FB,91)</f>
        <v>343</v>
      </c>
      <c r="I149" s="91">
        <f>VLOOKUP($A149,'Data Vlaue (Cr)'!$C:$FB,93)</f>
        <v>15</v>
      </c>
      <c r="J149" s="92">
        <f>VLOOKUP($A149,'Data Vlaue (Cr)'!$C:$FB,94)</f>
        <v>4.5400000000000003E-2</v>
      </c>
      <c r="K149" s="91">
        <f>VLOOKUP($A149,'Data Vlaue (Cr)'!$C:$FB,95)</f>
        <v>199</v>
      </c>
      <c r="L149" s="91">
        <f>VLOOKUP($A149,'Data Vlaue (Cr)'!$C:$FB,97)</f>
        <v>12</v>
      </c>
      <c r="M149" s="92">
        <f>VLOOKUP($A149,'Data Vlaue (Cr)'!$C:$FB,98)</f>
        <v>6.4899999999999999E-2</v>
      </c>
      <c r="N149" s="91">
        <f>VLOOKUP($A149,'Data Vlaue (Cr)'!$C:$FB,79)</f>
        <v>820</v>
      </c>
      <c r="O149" s="92">
        <f>VLOOKUP($A149,'Data Vlaue (Cr)'!$C:$FB,82)</f>
        <v>2.1600000000000001E-2</v>
      </c>
    </row>
    <row r="150" spans="1:15" x14ac:dyDescent="0.25">
      <c r="A150" s="97" t="str">
        <f>'Data Vlaue (Cr)'!C145</f>
        <v>NIFTY</v>
      </c>
      <c r="B150" s="142">
        <f>VLOOKUP(A150,'Data Vlaue (Cr)'!C145:CW359,99,0)</f>
        <v>1002870</v>
      </c>
      <c r="C150" s="90">
        <f>VLOOKUP(A150,'Data Vlaue (Cr)'!C145:CY359,101,0)</f>
        <v>-708338</v>
      </c>
      <c r="D150" s="139">
        <f>VLOOKUP(A150,'Data Vlaue (Cr)'!C145:CZ359,102,0)</f>
        <v>-0.41389999999999999</v>
      </c>
      <c r="E150" s="91">
        <f>VLOOKUP($A150,'Data Vlaue (Cr)'!$C:$FB,75)</f>
        <v>44839</v>
      </c>
      <c r="F150" s="91">
        <f>VLOOKUP($A150,'Data Vlaue (Cr)'!$C:$FB,77)</f>
        <v>1185</v>
      </c>
      <c r="G150" s="92">
        <f>VLOOKUP(A150,'Data Vlaue (Cr)'!C145:CB359,78,0)</f>
        <v>2.7099999999999999E-2</v>
      </c>
      <c r="H150" s="91">
        <f>VLOOKUP($A150,'Data Vlaue (Cr)'!$C:$FB,91)</f>
        <v>438195</v>
      </c>
      <c r="I150" s="91">
        <f>VLOOKUP($A150,'Data Vlaue (Cr)'!$C:$FB,93)</f>
        <v>78203</v>
      </c>
      <c r="J150" s="92">
        <f>VLOOKUP($A150,'Data Vlaue (Cr)'!$C:$FB,94)</f>
        <v>0.2172</v>
      </c>
      <c r="K150" s="91">
        <f>VLOOKUP($A150,'Data Vlaue (Cr)'!$C:$FB,95)</f>
        <v>519837</v>
      </c>
      <c r="L150" s="91">
        <f>VLOOKUP($A150,'Data Vlaue (Cr)'!$C:$FB,97)</f>
        <v>131506</v>
      </c>
      <c r="M150" s="92">
        <f>VLOOKUP($A150,'Data Vlaue (Cr)'!$C:$FB,98)</f>
        <v>0.33860000000000001</v>
      </c>
      <c r="N150" s="91">
        <f>VLOOKUP($A150,'Data Vlaue (Cr)'!$C:$FB,79)</f>
        <v>39955</v>
      </c>
      <c r="O150" s="92">
        <f>VLOOKUP($A150,'Data Vlaue (Cr)'!$C:$FB,82)</f>
        <v>1.83E-2</v>
      </c>
    </row>
    <row r="151" spans="1:15" x14ac:dyDescent="0.25">
      <c r="A151" s="97" t="str">
        <f>'Data Vlaue (Cr)'!C146</f>
        <v>NIFTYNXT50</v>
      </c>
      <c r="B151" s="142">
        <f>VLOOKUP(A151,'Data Vlaue (Cr)'!C146:CW360,99,0)</f>
        <v>170</v>
      </c>
      <c r="C151" s="90">
        <f>VLOOKUP(A151,'Data Vlaue (Cr)'!C146:CY360,101,0)</f>
        <v>14</v>
      </c>
      <c r="D151" s="139">
        <f>VLOOKUP(A151,'Data Vlaue (Cr)'!C146:CZ360,102,0)</f>
        <v>8.8999999999999996E-2</v>
      </c>
      <c r="E151" s="91">
        <f>VLOOKUP($A151,'Data Vlaue (Cr)'!$C:$FB,75)</f>
        <v>141</v>
      </c>
      <c r="F151" s="91">
        <f>VLOOKUP($A151,'Data Vlaue (Cr)'!$C:$FB,77)</f>
        <v>1</v>
      </c>
      <c r="G151" s="92">
        <f>VLOOKUP(A151,'Data Vlaue (Cr)'!C146:CB360,78,0)</f>
        <v>8.9999999999999993E-3</v>
      </c>
      <c r="H151" s="91">
        <f>VLOOKUP($A151,'Data Vlaue (Cr)'!$C:$FB,91)</f>
        <v>26</v>
      </c>
      <c r="I151" s="91">
        <f>VLOOKUP($A151,'Data Vlaue (Cr)'!$C:$FB,93)</f>
        <v>11</v>
      </c>
      <c r="J151" s="92">
        <f>VLOOKUP($A151,'Data Vlaue (Cr)'!$C:$FB,94)</f>
        <v>0.747</v>
      </c>
      <c r="K151" s="91">
        <f>VLOOKUP($A151,'Data Vlaue (Cr)'!$C:$FB,95)</f>
        <v>3</v>
      </c>
      <c r="L151" s="91">
        <f>VLOOKUP($A151,'Data Vlaue (Cr)'!$C:$FB,97)</f>
        <v>1</v>
      </c>
      <c r="M151" s="92">
        <f>VLOOKUP($A151,'Data Vlaue (Cr)'!$C:$FB,98)</f>
        <v>1</v>
      </c>
      <c r="N151" s="91">
        <f>VLOOKUP($A151,'Data Vlaue (Cr)'!$C:$FB,79)</f>
        <v>135</v>
      </c>
      <c r="O151" s="92">
        <f>VLOOKUP($A151,'Data Vlaue (Cr)'!$C:$FB,82)</f>
        <v>1.49E-2</v>
      </c>
    </row>
    <row r="152" spans="1:15" x14ac:dyDescent="0.25">
      <c r="A152" s="97" t="str">
        <f>'Data Vlaue (Cr)'!C147</f>
        <v>NMDC</v>
      </c>
      <c r="B152" s="142">
        <f>VLOOKUP(A152,'Data Vlaue (Cr)'!C147:CW361,99,0)</f>
        <v>3908</v>
      </c>
      <c r="C152" s="90">
        <f>VLOOKUP(A152,'Data Vlaue (Cr)'!C147:CY361,101,0)</f>
        <v>63</v>
      </c>
      <c r="D152" s="139">
        <f>VLOOKUP(A152,'Data Vlaue (Cr)'!C147:CZ361,102,0)</f>
        <v>1.6299999999999999E-2</v>
      </c>
      <c r="E152" s="91">
        <f>VLOOKUP($A152,'Data Vlaue (Cr)'!$C:$FB,75)</f>
        <v>2938</v>
      </c>
      <c r="F152" s="91">
        <f>VLOOKUP($A152,'Data Vlaue (Cr)'!$C:$FB,77)</f>
        <v>29</v>
      </c>
      <c r="G152" s="92">
        <f>VLOOKUP(A152,'Data Vlaue (Cr)'!C147:CB361,78,0)</f>
        <v>1.01E-2</v>
      </c>
      <c r="H152" s="91">
        <f>VLOOKUP($A152,'Data Vlaue (Cr)'!$C:$FB,91)</f>
        <v>648</v>
      </c>
      <c r="I152" s="91">
        <f>VLOOKUP($A152,'Data Vlaue (Cr)'!$C:$FB,93)</f>
        <v>17</v>
      </c>
      <c r="J152" s="92">
        <f>VLOOKUP($A152,'Data Vlaue (Cr)'!$C:$FB,94)</f>
        <v>2.6200000000000001E-2</v>
      </c>
      <c r="K152" s="91">
        <f>VLOOKUP($A152,'Data Vlaue (Cr)'!$C:$FB,95)</f>
        <v>322</v>
      </c>
      <c r="L152" s="91">
        <f>VLOOKUP($A152,'Data Vlaue (Cr)'!$C:$FB,97)</f>
        <v>17</v>
      </c>
      <c r="M152" s="92">
        <f>VLOOKUP($A152,'Data Vlaue (Cr)'!$C:$FB,98)</f>
        <v>5.5399999999999998E-2</v>
      </c>
      <c r="N152" s="91">
        <f>VLOOKUP($A152,'Data Vlaue (Cr)'!$C:$FB,79)</f>
        <v>2859</v>
      </c>
      <c r="O152" s="92">
        <f>VLOOKUP($A152,'Data Vlaue (Cr)'!$C:$FB,82)</f>
        <v>9.5999999999999992E-3</v>
      </c>
    </row>
    <row r="153" spans="1:15" x14ac:dyDescent="0.25">
      <c r="A153" s="97" t="str">
        <f>'Data Vlaue (Cr)'!C148</f>
        <v>NTPC</v>
      </c>
      <c r="B153" s="142">
        <f>VLOOKUP(A153,'Data Vlaue (Cr)'!C148:CW362,99,0)</f>
        <v>6742</v>
      </c>
      <c r="C153" s="90">
        <f>VLOOKUP(A153,'Data Vlaue (Cr)'!C148:CY362,101,0)</f>
        <v>168</v>
      </c>
      <c r="D153" s="139">
        <f>VLOOKUP(A153,'Data Vlaue (Cr)'!C148:CZ362,102,0)</f>
        <v>2.5600000000000001E-2</v>
      </c>
      <c r="E153" s="91">
        <f>VLOOKUP($A153,'Data Vlaue (Cr)'!$C:$FB,75)</f>
        <v>4444</v>
      </c>
      <c r="F153" s="91">
        <f>VLOOKUP($A153,'Data Vlaue (Cr)'!$C:$FB,77)</f>
        <v>-1</v>
      </c>
      <c r="G153" s="92">
        <f>VLOOKUP(A153,'Data Vlaue (Cr)'!C148:CB362,78,0)</f>
        <v>-2.0000000000000001E-4</v>
      </c>
      <c r="H153" s="91">
        <f>VLOOKUP($A153,'Data Vlaue (Cr)'!$C:$FB,91)</f>
        <v>1676</v>
      </c>
      <c r="I153" s="91">
        <f>VLOOKUP($A153,'Data Vlaue (Cr)'!$C:$FB,93)</f>
        <v>134</v>
      </c>
      <c r="J153" s="92">
        <f>VLOOKUP($A153,'Data Vlaue (Cr)'!$C:$FB,94)</f>
        <v>8.7099999999999997E-2</v>
      </c>
      <c r="K153" s="91">
        <f>VLOOKUP($A153,'Data Vlaue (Cr)'!$C:$FB,95)</f>
        <v>623</v>
      </c>
      <c r="L153" s="91">
        <f>VLOOKUP($A153,'Data Vlaue (Cr)'!$C:$FB,97)</f>
        <v>35</v>
      </c>
      <c r="M153" s="92">
        <f>VLOOKUP($A153,'Data Vlaue (Cr)'!$C:$FB,98)</f>
        <v>5.9200000000000003E-2</v>
      </c>
      <c r="N153" s="91">
        <f>VLOOKUP($A153,'Data Vlaue (Cr)'!$C:$FB,79)</f>
        <v>3991</v>
      </c>
      <c r="O153" s="92">
        <f>VLOOKUP($A153,'Data Vlaue (Cr)'!$C:$FB,82)</f>
        <v>-7.1000000000000004E-3</v>
      </c>
    </row>
    <row r="154" spans="1:15" x14ac:dyDescent="0.25">
      <c r="A154" s="97" t="str">
        <f>'Data Vlaue (Cr)'!C149</f>
        <v>NUVAMA</v>
      </c>
      <c r="B154" s="142">
        <f>VLOOKUP(A154,'Data Vlaue (Cr)'!C149:CW363,99,0)</f>
        <v>371</v>
      </c>
      <c r="C154" s="90">
        <f>VLOOKUP(A154,'Data Vlaue (Cr)'!C149:CY363,101,0)</f>
        <v>36</v>
      </c>
      <c r="D154" s="139">
        <f>VLOOKUP(A154,'Data Vlaue (Cr)'!C149:CZ363,102,0)</f>
        <v>0.1089</v>
      </c>
      <c r="E154" s="91">
        <f>VLOOKUP($A154,'Data Vlaue (Cr)'!$C:$FB,75)</f>
        <v>186</v>
      </c>
      <c r="F154" s="91">
        <f>VLOOKUP($A154,'Data Vlaue (Cr)'!$C:$FB,77)</f>
        <v>-1</v>
      </c>
      <c r="G154" s="92">
        <f>VLOOKUP(A154,'Data Vlaue (Cr)'!C149:CB363,78,0)</f>
        <v>-7.7999999999999996E-3</v>
      </c>
      <c r="H154" s="91">
        <f>VLOOKUP($A154,'Data Vlaue (Cr)'!$C:$FB,91)</f>
        <v>114</v>
      </c>
      <c r="I154" s="91">
        <f>VLOOKUP($A154,'Data Vlaue (Cr)'!$C:$FB,93)</f>
        <v>16</v>
      </c>
      <c r="J154" s="92">
        <f>VLOOKUP($A154,'Data Vlaue (Cr)'!$C:$FB,94)</f>
        <v>0.16450000000000001</v>
      </c>
      <c r="K154" s="91">
        <f>VLOOKUP($A154,'Data Vlaue (Cr)'!$C:$FB,95)</f>
        <v>71</v>
      </c>
      <c r="L154" s="91">
        <f>VLOOKUP($A154,'Data Vlaue (Cr)'!$C:$FB,97)</f>
        <v>22</v>
      </c>
      <c r="M154" s="92">
        <f>VLOOKUP($A154,'Data Vlaue (Cr)'!$C:$FB,98)</f>
        <v>0.4451</v>
      </c>
      <c r="N154" s="91">
        <f>VLOOKUP($A154,'Data Vlaue (Cr)'!$C:$FB,79)</f>
        <v>174</v>
      </c>
      <c r="O154" s="92">
        <f>VLOOKUP($A154,'Data Vlaue (Cr)'!$C:$FB,82)</f>
        <v>-1.6199999999999999E-2</v>
      </c>
    </row>
    <row r="155" spans="1:15" x14ac:dyDescent="0.25">
      <c r="A155" s="97" t="str">
        <f>'Data Vlaue (Cr)'!C150</f>
        <v>NYKAA</v>
      </c>
      <c r="B155" s="142">
        <f>VLOOKUP(A155,'Data Vlaue (Cr)'!C150:CW364,99,0)</f>
        <v>1571</v>
      </c>
      <c r="C155" s="90">
        <f>VLOOKUP(A155,'Data Vlaue (Cr)'!C150:CY364,101,0)</f>
        <v>41</v>
      </c>
      <c r="D155" s="139">
        <f>VLOOKUP(A155,'Data Vlaue (Cr)'!C150:CZ364,102,0)</f>
        <v>2.6800000000000001E-2</v>
      </c>
      <c r="E155" s="91">
        <f>VLOOKUP($A155,'Data Vlaue (Cr)'!$C:$FB,75)</f>
        <v>1284</v>
      </c>
      <c r="F155" s="91">
        <f>VLOOKUP($A155,'Data Vlaue (Cr)'!$C:$FB,77)</f>
        <v>-6</v>
      </c>
      <c r="G155" s="92">
        <f>VLOOKUP(A155,'Data Vlaue (Cr)'!C150:CB364,78,0)</f>
        <v>-4.7999999999999996E-3</v>
      </c>
      <c r="H155" s="91">
        <f>VLOOKUP($A155,'Data Vlaue (Cr)'!$C:$FB,91)</f>
        <v>190</v>
      </c>
      <c r="I155" s="91">
        <f>VLOOKUP($A155,'Data Vlaue (Cr)'!$C:$FB,93)</f>
        <v>35</v>
      </c>
      <c r="J155" s="92">
        <f>VLOOKUP($A155,'Data Vlaue (Cr)'!$C:$FB,94)</f>
        <v>0.22370000000000001</v>
      </c>
      <c r="K155" s="91">
        <f>VLOOKUP($A155,'Data Vlaue (Cr)'!$C:$FB,95)</f>
        <v>97</v>
      </c>
      <c r="L155" s="91">
        <f>VLOOKUP($A155,'Data Vlaue (Cr)'!$C:$FB,97)</f>
        <v>12</v>
      </c>
      <c r="M155" s="92">
        <f>VLOOKUP($A155,'Data Vlaue (Cr)'!$C:$FB,98)</f>
        <v>0.14729999999999999</v>
      </c>
      <c r="N155" s="91">
        <f>VLOOKUP($A155,'Data Vlaue (Cr)'!$C:$FB,79)</f>
        <v>1277</v>
      </c>
      <c r="O155" s="92">
        <f>VLOOKUP($A155,'Data Vlaue (Cr)'!$C:$FB,82)</f>
        <v>-5.8999999999999999E-3</v>
      </c>
    </row>
    <row r="156" spans="1:15" x14ac:dyDescent="0.25">
      <c r="A156" s="97" t="str">
        <f>'Data Vlaue (Cr)'!C151</f>
        <v>OBEROIRLTY</v>
      </c>
      <c r="B156" s="142">
        <f>VLOOKUP(A156,'Data Vlaue (Cr)'!C151:CW365,99,0)</f>
        <v>1427</v>
      </c>
      <c r="C156" s="90">
        <f>VLOOKUP(A156,'Data Vlaue (Cr)'!C151:CY365,101,0)</f>
        <v>22</v>
      </c>
      <c r="D156" s="139">
        <f>VLOOKUP(A156,'Data Vlaue (Cr)'!C151:CZ365,102,0)</f>
        <v>1.5699999999999999E-2</v>
      </c>
      <c r="E156" s="91">
        <f>VLOOKUP($A156,'Data Vlaue (Cr)'!$C:$FB,75)</f>
        <v>1174</v>
      </c>
      <c r="F156" s="91">
        <f>VLOOKUP($A156,'Data Vlaue (Cr)'!$C:$FB,77)</f>
        <v>0</v>
      </c>
      <c r="G156" s="92">
        <f>VLOOKUP(A156,'Data Vlaue (Cr)'!C151:CB365,78,0)</f>
        <v>-1E-4</v>
      </c>
      <c r="H156" s="91">
        <f>VLOOKUP($A156,'Data Vlaue (Cr)'!$C:$FB,91)</f>
        <v>186</v>
      </c>
      <c r="I156" s="91">
        <f>VLOOKUP($A156,'Data Vlaue (Cr)'!$C:$FB,93)</f>
        <v>16</v>
      </c>
      <c r="J156" s="92">
        <f>VLOOKUP($A156,'Data Vlaue (Cr)'!$C:$FB,94)</f>
        <v>9.4E-2</v>
      </c>
      <c r="K156" s="91">
        <f>VLOOKUP($A156,'Data Vlaue (Cr)'!$C:$FB,95)</f>
        <v>67</v>
      </c>
      <c r="L156" s="91">
        <f>VLOOKUP($A156,'Data Vlaue (Cr)'!$C:$FB,97)</f>
        <v>6</v>
      </c>
      <c r="M156" s="92">
        <f>VLOOKUP($A156,'Data Vlaue (Cr)'!$C:$FB,98)</f>
        <v>0.1009</v>
      </c>
      <c r="N156" s="91">
        <f>VLOOKUP($A156,'Data Vlaue (Cr)'!$C:$FB,79)</f>
        <v>1157</v>
      </c>
      <c r="O156" s="92">
        <f>VLOOKUP($A156,'Data Vlaue (Cr)'!$C:$FB,82)</f>
        <v>-2.5000000000000001E-3</v>
      </c>
    </row>
    <row r="157" spans="1:15" x14ac:dyDescent="0.25">
      <c r="A157" s="97" t="str">
        <f>'Data Vlaue (Cr)'!C152</f>
        <v>OFSS</v>
      </c>
      <c r="B157" s="142">
        <f>VLOOKUP(A157,'Data Vlaue (Cr)'!C152:CW366,99,0)</f>
        <v>2513</v>
      </c>
      <c r="C157" s="90">
        <f>VLOOKUP(A157,'Data Vlaue (Cr)'!C152:CY366,101,0)</f>
        <v>42</v>
      </c>
      <c r="D157" s="139">
        <f>VLOOKUP(A157,'Data Vlaue (Cr)'!C152:CZ366,102,0)</f>
        <v>1.7100000000000001E-2</v>
      </c>
      <c r="E157" s="91">
        <f>VLOOKUP($A157,'Data Vlaue (Cr)'!$C:$FB,75)</f>
        <v>1224</v>
      </c>
      <c r="F157" s="91">
        <f>VLOOKUP($A157,'Data Vlaue (Cr)'!$C:$FB,77)</f>
        <v>-5</v>
      </c>
      <c r="G157" s="92">
        <f>VLOOKUP(A157,'Data Vlaue (Cr)'!C152:CB366,78,0)</f>
        <v>-4.1999999999999997E-3</v>
      </c>
      <c r="H157" s="91">
        <f>VLOOKUP($A157,'Data Vlaue (Cr)'!$C:$FB,91)</f>
        <v>615</v>
      </c>
      <c r="I157" s="91">
        <f>VLOOKUP($A157,'Data Vlaue (Cr)'!$C:$FB,93)</f>
        <v>3</v>
      </c>
      <c r="J157" s="92">
        <f>VLOOKUP($A157,'Data Vlaue (Cr)'!$C:$FB,94)</f>
        <v>4.7999999999999996E-3</v>
      </c>
      <c r="K157" s="91">
        <f>VLOOKUP($A157,'Data Vlaue (Cr)'!$C:$FB,95)</f>
        <v>674</v>
      </c>
      <c r="L157" s="91">
        <f>VLOOKUP($A157,'Data Vlaue (Cr)'!$C:$FB,97)</f>
        <v>44</v>
      </c>
      <c r="M157" s="92">
        <f>VLOOKUP($A157,'Data Vlaue (Cr)'!$C:$FB,98)</f>
        <v>7.0699999999999999E-2</v>
      </c>
      <c r="N157" s="91">
        <f>VLOOKUP($A157,'Data Vlaue (Cr)'!$C:$FB,79)</f>
        <v>1197</v>
      </c>
      <c r="O157" s="92">
        <f>VLOOKUP($A157,'Data Vlaue (Cr)'!$C:$FB,82)</f>
        <v>-6.1000000000000004E-3</v>
      </c>
    </row>
    <row r="158" spans="1:15" x14ac:dyDescent="0.25">
      <c r="A158" s="97" t="str">
        <f>'Data Vlaue (Cr)'!C153</f>
        <v>OIL</v>
      </c>
      <c r="B158" s="142">
        <f>VLOOKUP(A158,'Data Vlaue (Cr)'!C153:CW367,99,0)</f>
        <v>1652</v>
      </c>
      <c r="C158" s="90">
        <f>VLOOKUP(A158,'Data Vlaue (Cr)'!C153:CY367,101,0)</f>
        <v>139</v>
      </c>
      <c r="D158" s="139">
        <f>VLOOKUP(A158,'Data Vlaue (Cr)'!C153:CZ367,102,0)</f>
        <v>9.2200000000000004E-2</v>
      </c>
      <c r="E158" s="91">
        <f>VLOOKUP($A158,'Data Vlaue (Cr)'!$C:$FB,75)</f>
        <v>872</v>
      </c>
      <c r="F158" s="91">
        <f>VLOOKUP($A158,'Data Vlaue (Cr)'!$C:$FB,77)</f>
        <v>3</v>
      </c>
      <c r="G158" s="92">
        <f>VLOOKUP(A158,'Data Vlaue (Cr)'!C153:CB367,78,0)</f>
        <v>4.0000000000000001E-3</v>
      </c>
      <c r="H158" s="91">
        <f>VLOOKUP($A158,'Data Vlaue (Cr)'!$C:$FB,91)</f>
        <v>538</v>
      </c>
      <c r="I158" s="91">
        <f>VLOOKUP($A158,'Data Vlaue (Cr)'!$C:$FB,93)</f>
        <v>116</v>
      </c>
      <c r="J158" s="92">
        <f>VLOOKUP($A158,'Data Vlaue (Cr)'!$C:$FB,94)</f>
        <v>0.27379999999999999</v>
      </c>
      <c r="K158" s="91">
        <f>VLOOKUP($A158,'Data Vlaue (Cr)'!$C:$FB,95)</f>
        <v>242</v>
      </c>
      <c r="L158" s="91">
        <f>VLOOKUP($A158,'Data Vlaue (Cr)'!$C:$FB,97)</f>
        <v>20</v>
      </c>
      <c r="M158" s="92">
        <f>VLOOKUP($A158,'Data Vlaue (Cr)'!$C:$FB,98)</f>
        <v>9.2299999999999993E-2</v>
      </c>
      <c r="N158" s="91">
        <f>VLOOKUP($A158,'Data Vlaue (Cr)'!$C:$FB,79)</f>
        <v>831</v>
      </c>
      <c r="O158" s="92">
        <f>VLOOKUP($A158,'Data Vlaue (Cr)'!$C:$FB,82)</f>
        <v>-7.7999999999999996E-3</v>
      </c>
    </row>
    <row r="159" spans="1:15" x14ac:dyDescent="0.25">
      <c r="A159" s="97" t="str">
        <f>'Data Vlaue (Cr)'!C154</f>
        <v>ONGC</v>
      </c>
      <c r="B159" s="142">
        <f>VLOOKUP(A159,'Data Vlaue (Cr)'!C154:CW368,99,0)</f>
        <v>5065</v>
      </c>
      <c r="C159" s="90">
        <f>VLOOKUP(A159,'Data Vlaue (Cr)'!C154:CY368,101,0)</f>
        <v>377</v>
      </c>
      <c r="D159" s="139">
        <f>VLOOKUP(A159,'Data Vlaue (Cr)'!C154:CZ368,102,0)</f>
        <v>8.0500000000000002E-2</v>
      </c>
      <c r="E159" s="91">
        <f>VLOOKUP($A159,'Data Vlaue (Cr)'!$C:$FB,75)</f>
        <v>2917</v>
      </c>
      <c r="F159" s="91">
        <f>VLOOKUP($A159,'Data Vlaue (Cr)'!$C:$FB,77)</f>
        <v>45</v>
      </c>
      <c r="G159" s="92">
        <f>VLOOKUP(A159,'Data Vlaue (Cr)'!C154:CB368,78,0)</f>
        <v>1.5599999999999999E-2</v>
      </c>
      <c r="H159" s="91">
        <f>VLOOKUP($A159,'Data Vlaue (Cr)'!$C:$FB,91)</f>
        <v>1616</v>
      </c>
      <c r="I159" s="91">
        <f>VLOOKUP($A159,'Data Vlaue (Cr)'!$C:$FB,93)</f>
        <v>287</v>
      </c>
      <c r="J159" s="92">
        <f>VLOOKUP($A159,'Data Vlaue (Cr)'!$C:$FB,94)</f>
        <v>0.2157</v>
      </c>
      <c r="K159" s="91">
        <f>VLOOKUP($A159,'Data Vlaue (Cr)'!$C:$FB,95)</f>
        <v>533</v>
      </c>
      <c r="L159" s="91">
        <f>VLOOKUP($A159,'Data Vlaue (Cr)'!$C:$FB,97)</f>
        <v>46</v>
      </c>
      <c r="M159" s="92">
        <f>VLOOKUP($A159,'Data Vlaue (Cr)'!$C:$FB,98)</f>
        <v>9.4100000000000003E-2</v>
      </c>
      <c r="N159" s="91">
        <f>VLOOKUP($A159,'Data Vlaue (Cr)'!$C:$FB,79)</f>
        <v>2374</v>
      </c>
      <c r="O159" s="92">
        <f>VLOOKUP($A159,'Data Vlaue (Cr)'!$C:$FB,82)</f>
        <v>1.23E-2</v>
      </c>
    </row>
    <row r="160" spans="1:15" x14ac:dyDescent="0.25">
      <c r="A160" s="97" t="str">
        <f>'Data Vlaue (Cr)'!C155</f>
        <v>PAGEIND</v>
      </c>
      <c r="B160" s="142">
        <f>VLOOKUP(A160,'Data Vlaue (Cr)'!C155:CW369,99,0)</f>
        <v>1288</v>
      </c>
      <c r="C160" s="90">
        <f>VLOOKUP(A160,'Data Vlaue (Cr)'!C155:CY369,101,0)</f>
        <v>-3</v>
      </c>
      <c r="D160" s="139">
        <f>VLOOKUP(A160,'Data Vlaue (Cr)'!C155:CZ369,102,0)</f>
        <v>-2.0999999999999999E-3</v>
      </c>
      <c r="E160" s="91">
        <f>VLOOKUP($A160,'Data Vlaue (Cr)'!$C:$FB,75)</f>
        <v>1148</v>
      </c>
      <c r="F160" s="91">
        <f>VLOOKUP($A160,'Data Vlaue (Cr)'!$C:$FB,77)</f>
        <v>-5</v>
      </c>
      <c r="G160" s="92">
        <f>VLOOKUP(A160,'Data Vlaue (Cr)'!C155:CB369,78,0)</f>
        <v>-4.5999999999999999E-3</v>
      </c>
      <c r="H160" s="91">
        <f>VLOOKUP($A160,'Data Vlaue (Cr)'!$C:$FB,91)</f>
        <v>77</v>
      </c>
      <c r="I160" s="91">
        <f>VLOOKUP($A160,'Data Vlaue (Cr)'!$C:$FB,93)</f>
        <v>-1</v>
      </c>
      <c r="J160" s="92">
        <f>VLOOKUP($A160,'Data Vlaue (Cr)'!$C:$FB,94)</f>
        <v>-1.66E-2</v>
      </c>
      <c r="K160" s="91">
        <f>VLOOKUP($A160,'Data Vlaue (Cr)'!$C:$FB,95)</f>
        <v>64</v>
      </c>
      <c r="L160" s="91">
        <f>VLOOKUP($A160,'Data Vlaue (Cr)'!$C:$FB,97)</f>
        <v>4</v>
      </c>
      <c r="M160" s="92">
        <f>VLOOKUP($A160,'Data Vlaue (Cr)'!$C:$FB,98)</f>
        <v>6.4199999999999993E-2</v>
      </c>
      <c r="N160" s="91">
        <f>VLOOKUP($A160,'Data Vlaue (Cr)'!$C:$FB,79)</f>
        <v>1133</v>
      </c>
      <c r="O160" s="92">
        <f>VLOOKUP($A160,'Data Vlaue (Cr)'!$C:$FB,82)</f>
        <v>-5.3E-3</v>
      </c>
    </row>
    <row r="161" spans="1:15" x14ac:dyDescent="0.25">
      <c r="A161" s="97" t="str">
        <f>'Data Vlaue (Cr)'!C156</f>
        <v>PATANJALI</v>
      </c>
      <c r="B161" s="142">
        <f>VLOOKUP(A161,'Data Vlaue (Cr)'!C156:CW370,99,0)</f>
        <v>1910</v>
      </c>
      <c r="C161" s="90">
        <f>VLOOKUP(A161,'Data Vlaue (Cr)'!C156:CY370,101,0)</f>
        <v>-6</v>
      </c>
      <c r="D161" s="139">
        <f>VLOOKUP(A161,'Data Vlaue (Cr)'!C156:CZ370,102,0)</f>
        <v>-3.3E-3</v>
      </c>
      <c r="E161" s="91">
        <f>VLOOKUP($A161,'Data Vlaue (Cr)'!$C:$FB,75)</f>
        <v>1562</v>
      </c>
      <c r="F161" s="91">
        <f>VLOOKUP($A161,'Data Vlaue (Cr)'!$C:$FB,77)</f>
        <v>-8</v>
      </c>
      <c r="G161" s="92">
        <f>VLOOKUP(A161,'Data Vlaue (Cr)'!C156:CB370,78,0)</f>
        <v>-5.3E-3</v>
      </c>
      <c r="H161" s="91">
        <f>VLOOKUP($A161,'Data Vlaue (Cr)'!$C:$FB,91)</f>
        <v>215</v>
      </c>
      <c r="I161" s="91">
        <f>VLOOKUP($A161,'Data Vlaue (Cr)'!$C:$FB,93)</f>
        <v>-2</v>
      </c>
      <c r="J161" s="92">
        <f>VLOOKUP($A161,'Data Vlaue (Cr)'!$C:$FB,94)</f>
        <v>-8.3000000000000001E-3</v>
      </c>
      <c r="K161" s="91">
        <f>VLOOKUP($A161,'Data Vlaue (Cr)'!$C:$FB,95)</f>
        <v>134</v>
      </c>
      <c r="L161" s="91">
        <f>VLOOKUP($A161,'Data Vlaue (Cr)'!$C:$FB,97)</f>
        <v>4</v>
      </c>
      <c r="M161" s="92">
        <f>VLOOKUP($A161,'Data Vlaue (Cr)'!$C:$FB,98)</f>
        <v>2.92E-2</v>
      </c>
      <c r="N161" s="91">
        <f>VLOOKUP($A161,'Data Vlaue (Cr)'!$C:$FB,79)</f>
        <v>1547</v>
      </c>
      <c r="O161" s="92">
        <f>VLOOKUP($A161,'Data Vlaue (Cr)'!$C:$FB,82)</f>
        <v>-6.1999999999999998E-3</v>
      </c>
    </row>
    <row r="162" spans="1:15" x14ac:dyDescent="0.25">
      <c r="A162" s="97" t="str">
        <f>'Data Vlaue (Cr)'!C157</f>
        <v>PAYTM</v>
      </c>
      <c r="B162" s="142">
        <f>VLOOKUP(A162,'Data Vlaue (Cr)'!C157:CW371,99,0)</f>
        <v>3013</v>
      </c>
      <c r="C162" s="90">
        <f>VLOOKUP(A162,'Data Vlaue (Cr)'!C157:CY371,101,0)</f>
        <v>193</v>
      </c>
      <c r="D162" s="139">
        <f>VLOOKUP(A162,'Data Vlaue (Cr)'!C157:CZ371,102,0)</f>
        <v>6.8400000000000002E-2</v>
      </c>
      <c r="E162" s="91">
        <f>VLOOKUP($A162,'Data Vlaue (Cr)'!$C:$FB,75)</f>
        <v>1603</v>
      </c>
      <c r="F162" s="91">
        <f>VLOOKUP($A162,'Data Vlaue (Cr)'!$C:$FB,77)</f>
        <v>24</v>
      </c>
      <c r="G162" s="92">
        <f>VLOOKUP(A162,'Data Vlaue (Cr)'!C157:CB371,78,0)</f>
        <v>1.55E-2</v>
      </c>
      <c r="H162" s="91">
        <f>VLOOKUP($A162,'Data Vlaue (Cr)'!$C:$FB,91)</f>
        <v>760</v>
      </c>
      <c r="I162" s="91">
        <f>VLOOKUP($A162,'Data Vlaue (Cr)'!$C:$FB,93)</f>
        <v>121</v>
      </c>
      <c r="J162" s="92">
        <f>VLOOKUP($A162,'Data Vlaue (Cr)'!$C:$FB,94)</f>
        <v>0.18840000000000001</v>
      </c>
      <c r="K162" s="91">
        <f>VLOOKUP($A162,'Data Vlaue (Cr)'!$C:$FB,95)</f>
        <v>650</v>
      </c>
      <c r="L162" s="91">
        <f>VLOOKUP($A162,'Data Vlaue (Cr)'!$C:$FB,97)</f>
        <v>48</v>
      </c>
      <c r="M162" s="92">
        <f>VLOOKUP($A162,'Data Vlaue (Cr)'!$C:$FB,98)</f>
        <v>7.9699999999999993E-2</v>
      </c>
      <c r="N162" s="91">
        <f>VLOOKUP($A162,'Data Vlaue (Cr)'!$C:$FB,79)</f>
        <v>1566</v>
      </c>
      <c r="O162" s="92">
        <f>VLOOKUP($A162,'Data Vlaue (Cr)'!$C:$FB,82)</f>
        <v>1.37E-2</v>
      </c>
    </row>
    <row r="163" spans="1:15" x14ac:dyDescent="0.25">
      <c r="A163" s="97" t="str">
        <f>'Data Vlaue (Cr)'!C158</f>
        <v>PERSISTENT</v>
      </c>
      <c r="B163" s="142">
        <f>VLOOKUP(A163,'Data Vlaue (Cr)'!C158:CW372,99,0)</f>
        <v>3156</v>
      </c>
      <c r="C163" s="90">
        <f>VLOOKUP(A163,'Data Vlaue (Cr)'!C158:CY372,101,0)</f>
        <v>-142</v>
      </c>
      <c r="D163" s="139">
        <f>VLOOKUP(A163,'Data Vlaue (Cr)'!C158:CZ372,102,0)</f>
        <v>-4.3099999999999999E-2</v>
      </c>
      <c r="E163" s="91">
        <f>VLOOKUP($A163,'Data Vlaue (Cr)'!$C:$FB,75)</f>
        <v>1979</v>
      </c>
      <c r="F163" s="91">
        <f>VLOOKUP($A163,'Data Vlaue (Cr)'!$C:$FB,77)</f>
        <v>-80</v>
      </c>
      <c r="G163" s="92">
        <f>VLOOKUP(A163,'Data Vlaue (Cr)'!C158:CB372,78,0)</f>
        <v>-3.8600000000000002E-2</v>
      </c>
      <c r="H163" s="91">
        <f>VLOOKUP($A163,'Data Vlaue (Cr)'!$C:$FB,91)</f>
        <v>713</v>
      </c>
      <c r="I163" s="91">
        <f>VLOOKUP($A163,'Data Vlaue (Cr)'!$C:$FB,93)</f>
        <v>-64</v>
      </c>
      <c r="J163" s="92">
        <f>VLOOKUP($A163,'Data Vlaue (Cr)'!$C:$FB,94)</f>
        <v>-8.1799999999999998E-2</v>
      </c>
      <c r="K163" s="91">
        <f>VLOOKUP($A163,'Data Vlaue (Cr)'!$C:$FB,95)</f>
        <v>464</v>
      </c>
      <c r="L163" s="91">
        <f>VLOOKUP($A163,'Data Vlaue (Cr)'!$C:$FB,97)</f>
        <v>1</v>
      </c>
      <c r="M163" s="92">
        <f>VLOOKUP($A163,'Data Vlaue (Cr)'!$C:$FB,98)</f>
        <v>2E-3</v>
      </c>
      <c r="N163" s="91">
        <f>VLOOKUP($A163,'Data Vlaue (Cr)'!$C:$FB,79)</f>
        <v>1918</v>
      </c>
      <c r="O163" s="92">
        <f>VLOOKUP($A163,'Data Vlaue (Cr)'!$C:$FB,82)</f>
        <v>-4.0300000000000002E-2</v>
      </c>
    </row>
    <row r="164" spans="1:15" x14ac:dyDescent="0.25">
      <c r="A164" s="97" t="str">
        <f>'Data Vlaue (Cr)'!C159</f>
        <v>PETRONET</v>
      </c>
      <c r="B164" s="142">
        <f>VLOOKUP(A164,'Data Vlaue (Cr)'!C159:CW373,99,0)</f>
        <v>1614</v>
      </c>
      <c r="C164" s="90">
        <f>VLOOKUP(A164,'Data Vlaue (Cr)'!C159:CY373,101,0)</f>
        <v>83</v>
      </c>
      <c r="D164" s="139">
        <f>VLOOKUP(A164,'Data Vlaue (Cr)'!C159:CZ373,102,0)</f>
        <v>5.4199999999999998E-2</v>
      </c>
      <c r="E164" s="91">
        <f>VLOOKUP($A164,'Data Vlaue (Cr)'!$C:$FB,75)</f>
        <v>952</v>
      </c>
      <c r="F164" s="91">
        <f>VLOOKUP($A164,'Data Vlaue (Cr)'!$C:$FB,77)</f>
        <v>14</v>
      </c>
      <c r="G164" s="92">
        <f>VLOOKUP(A164,'Data Vlaue (Cr)'!C159:CB373,78,0)</f>
        <v>1.44E-2</v>
      </c>
      <c r="H164" s="91">
        <f>VLOOKUP($A164,'Data Vlaue (Cr)'!$C:$FB,91)</f>
        <v>357</v>
      </c>
      <c r="I164" s="91">
        <f>VLOOKUP($A164,'Data Vlaue (Cr)'!$C:$FB,93)</f>
        <v>50</v>
      </c>
      <c r="J164" s="92">
        <f>VLOOKUP($A164,'Data Vlaue (Cr)'!$C:$FB,94)</f>
        <v>0.16170000000000001</v>
      </c>
      <c r="K164" s="91">
        <f>VLOOKUP($A164,'Data Vlaue (Cr)'!$C:$FB,95)</f>
        <v>305</v>
      </c>
      <c r="L164" s="91">
        <f>VLOOKUP($A164,'Data Vlaue (Cr)'!$C:$FB,97)</f>
        <v>20</v>
      </c>
      <c r="M164" s="92">
        <f>VLOOKUP($A164,'Data Vlaue (Cr)'!$C:$FB,98)</f>
        <v>6.9199999999999998E-2</v>
      </c>
      <c r="N164" s="91">
        <f>VLOOKUP($A164,'Data Vlaue (Cr)'!$C:$FB,79)</f>
        <v>936</v>
      </c>
      <c r="O164" s="92">
        <f>VLOOKUP($A164,'Data Vlaue (Cr)'!$C:$FB,82)</f>
        <v>1.2200000000000001E-2</v>
      </c>
    </row>
    <row r="165" spans="1:15" x14ac:dyDescent="0.25">
      <c r="A165" s="97" t="str">
        <f>'Data Vlaue (Cr)'!C160</f>
        <v>PFC</v>
      </c>
      <c r="B165" s="142">
        <f>VLOOKUP(A165,'Data Vlaue (Cr)'!C160:CW374,99,0)</f>
        <v>4213</v>
      </c>
      <c r="C165" s="90">
        <f>VLOOKUP(A165,'Data Vlaue (Cr)'!C160:CY374,101,0)</f>
        <v>58</v>
      </c>
      <c r="D165" s="139">
        <f>VLOOKUP(A165,'Data Vlaue (Cr)'!C160:CZ374,102,0)</f>
        <v>1.3899999999999999E-2</v>
      </c>
      <c r="E165" s="91">
        <f>VLOOKUP($A165,'Data Vlaue (Cr)'!$C:$FB,75)</f>
        <v>2711</v>
      </c>
      <c r="F165" s="91">
        <f>VLOOKUP($A165,'Data Vlaue (Cr)'!$C:$FB,77)</f>
        <v>20</v>
      </c>
      <c r="G165" s="92">
        <f>VLOOKUP(A165,'Data Vlaue (Cr)'!C160:CB374,78,0)</f>
        <v>7.4999999999999997E-3</v>
      </c>
      <c r="H165" s="91">
        <f>VLOOKUP($A165,'Data Vlaue (Cr)'!$C:$FB,91)</f>
        <v>954</v>
      </c>
      <c r="I165" s="91">
        <f>VLOOKUP($A165,'Data Vlaue (Cr)'!$C:$FB,93)</f>
        <v>29</v>
      </c>
      <c r="J165" s="92">
        <f>VLOOKUP($A165,'Data Vlaue (Cr)'!$C:$FB,94)</f>
        <v>3.15E-2</v>
      </c>
      <c r="K165" s="91">
        <f>VLOOKUP($A165,'Data Vlaue (Cr)'!$C:$FB,95)</f>
        <v>548</v>
      </c>
      <c r="L165" s="91">
        <f>VLOOKUP($A165,'Data Vlaue (Cr)'!$C:$FB,97)</f>
        <v>8</v>
      </c>
      <c r="M165" s="92">
        <f>VLOOKUP($A165,'Data Vlaue (Cr)'!$C:$FB,98)</f>
        <v>1.5699999999999999E-2</v>
      </c>
      <c r="N165" s="91">
        <f>VLOOKUP($A165,'Data Vlaue (Cr)'!$C:$FB,79)</f>
        <v>2636</v>
      </c>
      <c r="O165" s="92">
        <f>VLOOKUP($A165,'Data Vlaue (Cr)'!$C:$FB,82)</f>
        <v>6.6E-3</v>
      </c>
    </row>
    <row r="166" spans="1:15" x14ac:dyDescent="0.25">
      <c r="A166" s="97" t="str">
        <f>'Data Vlaue (Cr)'!C161</f>
        <v>PGEL</v>
      </c>
      <c r="B166" s="142">
        <f>VLOOKUP(A166,'Data Vlaue (Cr)'!C161:CW375,99,0)</f>
        <v>1077</v>
      </c>
      <c r="C166" s="90">
        <f>VLOOKUP(A166,'Data Vlaue (Cr)'!C161:CY375,101,0)</f>
        <v>17</v>
      </c>
      <c r="D166" s="139">
        <f>VLOOKUP(A166,'Data Vlaue (Cr)'!C161:CZ375,102,0)</f>
        <v>1.5900000000000001E-2</v>
      </c>
      <c r="E166" s="91">
        <f>VLOOKUP($A166,'Data Vlaue (Cr)'!$C:$FB,75)</f>
        <v>628</v>
      </c>
      <c r="F166" s="91">
        <f>VLOOKUP($A166,'Data Vlaue (Cr)'!$C:$FB,77)</f>
        <v>2</v>
      </c>
      <c r="G166" s="92">
        <f>VLOOKUP(A166,'Data Vlaue (Cr)'!C161:CB375,78,0)</f>
        <v>2.8E-3</v>
      </c>
      <c r="H166" s="91">
        <f>VLOOKUP($A166,'Data Vlaue (Cr)'!$C:$FB,91)</f>
        <v>246</v>
      </c>
      <c r="I166" s="91">
        <f>VLOOKUP($A166,'Data Vlaue (Cr)'!$C:$FB,93)</f>
        <v>13</v>
      </c>
      <c r="J166" s="92">
        <f>VLOOKUP($A166,'Data Vlaue (Cr)'!$C:$FB,94)</f>
        <v>5.6899999999999999E-2</v>
      </c>
      <c r="K166" s="91">
        <f>VLOOKUP($A166,'Data Vlaue (Cr)'!$C:$FB,95)</f>
        <v>203</v>
      </c>
      <c r="L166" s="91">
        <f>VLOOKUP($A166,'Data Vlaue (Cr)'!$C:$FB,97)</f>
        <v>2</v>
      </c>
      <c r="M166" s="92">
        <f>VLOOKUP($A166,'Data Vlaue (Cr)'!$C:$FB,98)</f>
        <v>9.1000000000000004E-3</v>
      </c>
      <c r="N166" s="91">
        <f>VLOOKUP($A166,'Data Vlaue (Cr)'!$C:$FB,79)</f>
        <v>575</v>
      </c>
      <c r="O166" s="92">
        <f>VLOOKUP($A166,'Data Vlaue (Cr)'!$C:$FB,82)</f>
        <v>2.7000000000000001E-3</v>
      </c>
    </row>
    <row r="167" spans="1:15" x14ac:dyDescent="0.25">
      <c r="A167" s="97" t="str">
        <f>'Data Vlaue (Cr)'!C162</f>
        <v>PHOENIXLTD</v>
      </c>
      <c r="B167" s="142">
        <f>VLOOKUP(A167,'Data Vlaue (Cr)'!C162:CW376,99,0)</f>
        <v>1077</v>
      </c>
      <c r="C167" s="90">
        <f>VLOOKUP(A167,'Data Vlaue (Cr)'!C162:CY376,101,0)</f>
        <v>9</v>
      </c>
      <c r="D167" s="139">
        <f>VLOOKUP(A167,'Data Vlaue (Cr)'!C162:CZ376,102,0)</f>
        <v>8.8000000000000005E-3</v>
      </c>
      <c r="E167" s="91">
        <f>VLOOKUP($A167,'Data Vlaue (Cr)'!$C:$FB,75)</f>
        <v>759</v>
      </c>
      <c r="F167" s="91">
        <f>VLOOKUP($A167,'Data Vlaue (Cr)'!$C:$FB,77)</f>
        <v>8</v>
      </c>
      <c r="G167" s="92">
        <f>VLOOKUP(A167,'Data Vlaue (Cr)'!C162:CB376,78,0)</f>
        <v>1.03E-2</v>
      </c>
      <c r="H167" s="91">
        <f>VLOOKUP($A167,'Data Vlaue (Cr)'!$C:$FB,91)</f>
        <v>197</v>
      </c>
      <c r="I167" s="91">
        <f>VLOOKUP($A167,'Data Vlaue (Cr)'!$C:$FB,93)</f>
        <v>7</v>
      </c>
      <c r="J167" s="92">
        <f>VLOOKUP($A167,'Data Vlaue (Cr)'!$C:$FB,94)</f>
        <v>3.9199999999999999E-2</v>
      </c>
      <c r="K167" s="91">
        <f>VLOOKUP($A167,'Data Vlaue (Cr)'!$C:$FB,95)</f>
        <v>121</v>
      </c>
      <c r="L167" s="91">
        <f>VLOOKUP($A167,'Data Vlaue (Cr)'!$C:$FB,97)</f>
        <v>-6</v>
      </c>
      <c r="M167" s="92">
        <f>VLOOKUP($A167,'Data Vlaue (Cr)'!$C:$FB,98)</f>
        <v>-4.58E-2</v>
      </c>
      <c r="N167" s="91">
        <f>VLOOKUP($A167,'Data Vlaue (Cr)'!$C:$FB,79)</f>
        <v>691</v>
      </c>
      <c r="O167" s="92">
        <f>VLOOKUP($A167,'Data Vlaue (Cr)'!$C:$FB,82)</f>
        <v>9.7999999999999997E-3</v>
      </c>
    </row>
    <row r="168" spans="1:15" x14ac:dyDescent="0.25">
      <c r="A168" s="97" t="str">
        <f>'Data Vlaue (Cr)'!C163</f>
        <v>PIDILITIND</v>
      </c>
      <c r="B168" s="142">
        <f>VLOOKUP(A168,'Data Vlaue (Cr)'!C163:CW377,99,0)</f>
        <v>1477</v>
      </c>
      <c r="C168" s="90">
        <f>VLOOKUP(A168,'Data Vlaue (Cr)'!C163:CY377,101,0)</f>
        <v>170</v>
      </c>
      <c r="D168" s="139">
        <f>VLOOKUP(A168,'Data Vlaue (Cr)'!C163:CZ377,102,0)</f>
        <v>0.13</v>
      </c>
      <c r="E168" s="91">
        <f>VLOOKUP($A168,'Data Vlaue (Cr)'!$C:$FB,75)</f>
        <v>1104</v>
      </c>
      <c r="F168" s="91">
        <f>VLOOKUP($A168,'Data Vlaue (Cr)'!$C:$FB,77)</f>
        <v>86</v>
      </c>
      <c r="G168" s="92">
        <f>VLOOKUP(A168,'Data Vlaue (Cr)'!C163:CB377,78,0)</f>
        <v>8.4400000000000003E-2</v>
      </c>
      <c r="H168" s="91">
        <f>VLOOKUP($A168,'Data Vlaue (Cr)'!$C:$FB,91)</f>
        <v>238</v>
      </c>
      <c r="I168" s="91">
        <f>VLOOKUP($A168,'Data Vlaue (Cr)'!$C:$FB,93)</f>
        <v>58</v>
      </c>
      <c r="J168" s="92">
        <f>VLOOKUP($A168,'Data Vlaue (Cr)'!$C:$FB,94)</f>
        <v>0.32119999999999999</v>
      </c>
      <c r="K168" s="91">
        <f>VLOOKUP($A168,'Data Vlaue (Cr)'!$C:$FB,95)</f>
        <v>135</v>
      </c>
      <c r="L168" s="91">
        <f>VLOOKUP($A168,'Data Vlaue (Cr)'!$C:$FB,97)</f>
        <v>26</v>
      </c>
      <c r="M168" s="92">
        <f>VLOOKUP($A168,'Data Vlaue (Cr)'!$C:$FB,98)</f>
        <v>0.23949999999999999</v>
      </c>
      <c r="N168" s="91">
        <f>VLOOKUP($A168,'Data Vlaue (Cr)'!$C:$FB,79)</f>
        <v>1091</v>
      </c>
      <c r="O168" s="92">
        <f>VLOOKUP($A168,'Data Vlaue (Cr)'!$C:$FB,82)</f>
        <v>8.5099999999999995E-2</v>
      </c>
    </row>
    <row r="169" spans="1:15" x14ac:dyDescent="0.25">
      <c r="A169" s="97" t="str">
        <f>'Data Vlaue (Cr)'!C164</f>
        <v>PIIND</v>
      </c>
      <c r="B169" s="142">
        <f>VLOOKUP(A169,'Data Vlaue (Cr)'!C164:CW378,99,0)</f>
        <v>1322</v>
      </c>
      <c r="C169" s="90">
        <f>VLOOKUP(A169,'Data Vlaue (Cr)'!C164:CY378,101,0)</f>
        <v>12</v>
      </c>
      <c r="D169" s="139">
        <f>VLOOKUP(A169,'Data Vlaue (Cr)'!C164:CZ378,102,0)</f>
        <v>8.8000000000000005E-3</v>
      </c>
      <c r="E169" s="91">
        <f>VLOOKUP($A169,'Data Vlaue (Cr)'!$C:$FB,75)</f>
        <v>856</v>
      </c>
      <c r="F169" s="91">
        <f>VLOOKUP($A169,'Data Vlaue (Cr)'!$C:$FB,77)</f>
        <v>13</v>
      </c>
      <c r="G169" s="92">
        <f>VLOOKUP(A169,'Data Vlaue (Cr)'!C164:CB378,78,0)</f>
        <v>1.5699999999999999E-2</v>
      </c>
      <c r="H169" s="91">
        <f>VLOOKUP($A169,'Data Vlaue (Cr)'!$C:$FB,91)</f>
        <v>307</v>
      </c>
      <c r="I169" s="91">
        <f>VLOOKUP($A169,'Data Vlaue (Cr)'!$C:$FB,93)</f>
        <v>3</v>
      </c>
      <c r="J169" s="92">
        <f>VLOOKUP($A169,'Data Vlaue (Cr)'!$C:$FB,94)</f>
        <v>1.03E-2</v>
      </c>
      <c r="K169" s="91">
        <f>VLOOKUP($A169,'Data Vlaue (Cr)'!$C:$FB,95)</f>
        <v>159</v>
      </c>
      <c r="L169" s="91">
        <f>VLOOKUP($A169,'Data Vlaue (Cr)'!$C:$FB,97)</f>
        <v>-5</v>
      </c>
      <c r="M169" s="92">
        <f>VLOOKUP($A169,'Data Vlaue (Cr)'!$C:$FB,98)</f>
        <v>-2.9499999999999998E-2</v>
      </c>
      <c r="N169" s="91">
        <f>VLOOKUP($A169,'Data Vlaue (Cr)'!$C:$FB,79)</f>
        <v>833</v>
      </c>
      <c r="O169" s="92">
        <f>VLOOKUP($A169,'Data Vlaue (Cr)'!$C:$FB,82)</f>
        <v>1.1299999999999999E-2</v>
      </c>
    </row>
    <row r="170" spans="1:15" x14ac:dyDescent="0.25">
      <c r="A170" s="97" t="str">
        <f>'Data Vlaue (Cr)'!C165</f>
        <v>PNB</v>
      </c>
      <c r="B170" s="142">
        <f>VLOOKUP(A170,'Data Vlaue (Cr)'!C165:CW379,99,0)</f>
        <v>5265</v>
      </c>
      <c r="C170" s="90">
        <f>VLOOKUP(A170,'Data Vlaue (Cr)'!C165:CY379,101,0)</f>
        <v>149</v>
      </c>
      <c r="D170" s="139">
        <f>VLOOKUP(A170,'Data Vlaue (Cr)'!C165:CZ379,102,0)</f>
        <v>2.9000000000000001E-2</v>
      </c>
      <c r="E170" s="91">
        <f>VLOOKUP($A170,'Data Vlaue (Cr)'!$C:$FB,75)</f>
        <v>3285</v>
      </c>
      <c r="F170" s="91">
        <f>VLOOKUP($A170,'Data Vlaue (Cr)'!$C:$FB,77)</f>
        <v>60</v>
      </c>
      <c r="G170" s="92">
        <f>VLOOKUP(A170,'Data Vlaue (Cr)'!C165:CB379,78,0)</f>
        <v>1.8599999999999998E-2</v>
      </c>
      <c r="H170" s="91">
        <f>VLOOKUP($A170,'Data Vlaue (Cr)'!$C:$FB,91)</f>
        <v>1175</v>
      </c>
      <c r="I170" s="91">
        <f>VLOOKUP($A170,'Data Vlaue (Cr)'!$C:$FB,93)</f>
        <v>45</v>
      </c>
      <c r="J170" s="92">
        <f>VLOOKUP($A170,'Data Vlaue (Cr)'!$C:$FB,94)</f>
        <v>3.9899999999999998E-2</v>
      </c>
      <c r="K170" s="91">
        <f>VLOOKUP($A170,'Data Vlaue (Cr)'!$C:$FB,95)</f>
        <v>804</v>
      </c>
      <c r="L170" s="91">
        <f>VLOOKUP($A170,'Data Vlaue (Cr)'!$C:$FB,97)</f>
        <v>43</v>
      </c>
      <c r="M170" s="92">
        <f>VLOOKUP($A170,'Data Vlaue (Cr)'!$C:$FB,98)</f>
        <v>5.7000000000000002E-2</v>
      </c>
      <c r="N170" s="91">
        <f>VLOOKUP($A170,'Data Vlaue (Cr)'!$C:$FB,79)</f>
        <v>3017</v>
      </c>
      <c r="O170" s="92">
        <f>VLOOKUP($A170,'Data Vlaue (Cr)'!$C:$FB,82)</f>
        <v>1.4500000000000001E-2</v>
      </c>
    </row>
    <row r="171" spans="1:15" x14ac:dyDescent="0.25">
      <c r="A171" s="97" t="str">
        <f>'Data Vlaue (Cr)'!C166</f>
        <v>PNBHOUSING</v>
      </c>
      <c r="B171" s="142">
        <f>VLOOKUP(A171,'Data Vlaue (Cr)'!C166:CW380,99,0)</f>
        <v>1547</v>
      </c>
      <c r="C171" s="90">
        <f>VLOOKUP(A171,'Data Vlaue (Cr)'!C166:CY380,101,0)</f>
        <v>59</v>
      </c>
      <c r="D171" s="139">
        <f>VLOOKUP(A171,'Data Vlaue (Cr)'!C166:CZ380,102,0)</f>
        <v>3.9600000000000003E-2</v>
      </c>
      <c r="E171" s="91">
        <f>VLOOKUP($A171,'Data Vlaue (Cr)'!$C:$FB,75)</f>
        <v>1166</v>
      </c>
      <c r="F171" s="91">
        <f>VLOOKUP($A171,'Data Vlaue (Cr)'!$C:$FB,77)</f>
        <v>30</v>
      </c>
      <c r="G171" s="92">
        <f>VLOOKUP(A171,'Data Vlaue (Cr)'!C166:CB380,78,0)</f>
        <v>2.63E-2</v>
      </c>
      <c r="H171" s="91">
        <f>VLOOKUP($A171,'Data Vlaue (Cr)'!$C:$FB,91)</f>
        <v>240</v>
      </c>
      <c r="I171" s="91">
        <f>VLOOKUP($A171,'Data Vlaue (Cr)'!$C:$FB,93)</f>
        <v>26</v>
      </c>
      <c r="J171" s="92">
        <f>VLOOKUP($A171,'Data Vlaue (Cr)'!$C:$FB,94)</f>
        <v>0.12139999999999999</v>
      </c>
      <c r="K171" s="91">
        <f>VLOOKUP($A171,'Data Vlaue (Cr)'!$C:$FB,95)</f>
        <v>141</v>
      </c>
      <c r="L171" s="91">
        <f>VLOOKUP($A171,'Data Vlaue (Cr)'!$C:$FB,97)</f>
        <v>3</v>
      </c>
      <c r="M171" s="92">
        <f>VLOOKUP($A171,'Data Vlaue (Cr)'!$C:$FB,98)</f>
        <v>2.2200000000000001E-2</v>
      </c>
      <c r="N171" s="91">
        <f>VLOOKUP($A171,'Data Vlaue (Cr)'!$C:$FB,79)</f>
        <v>1159</v>
      </c>
      <c r="O171" s="92">
        <f>VLOOKUP($A171,'Data Vlaue (Cr)'!$C:$FB,82)</f>
        <v>2.5399999999999999E-2</v>
      </c>
    </row>
    <row r="172" spans="1:15" x14ac:dyDescent="0.25">
      <c r="A172" s="97" t="str">
        <f>'Data Vlaue (Cr)'!C167</f>
        <v>POLICYBZR</v>
      </c>
      <c r="B172" s="142">
        <f>VLOOKUP(A172,'Data Vlaue (Cr)'!C167:CW381,99,0)</f>
        <v>2009</v>
      </c>
      <c r="C172" s="90">
        <f>VLOOKUP(A172,'Data Vlaue (Cr)'!C167:CY381,101,0)</f>
        <v>236</v>
      </c>
      <c r="D172" s="139">
        <f>VLOOKUP(A172,'Data Vlaue (Cr)'!C167:CZ381,102,0)</f>
        <v>0.1333</v>
      </c>
      <c r="E172" s="91">
        <f>VLOOKUP($A172,'Data Vlaue (Cr)'!$C:$FB,75)</f>
        <v>1538</v>
      </c>
      <c r="F172" s="91">
        <f>VLOOKUP($A172,'Data Vlaue (Cr)'!$C:$FB,77)</f>
        <v>99</v>
      </c>
      <c r="G172" s="92">
        <f>VLOOKUP(A172,'Data Vlaue (Cr)'!C167:CB381,78,0)</f>
        <v>6.88E-2</v>
      </c>
      <c r="H172" s="91">
        <f>VLOOKUP($A172,'Data Vlaue (Cr)'!$C:$FB,91)</f>
        <v>288</v>
      </c>
      <c r="I172" s="91">
        <f>VLOOKUP($A172,'Data Vlaue (Cr)'!$C:$FB,93)</f>
        <v>78</v>
      </c>
      <c r="J172" s="92">
        <f>VLOOKUP($A172,'Data Vlaue (Cr)'!$C:$FB,94)</f>
        <v>0.37369999999999998</v>
      </c>
      <c r="K172" s="91">
        <f>VLOOKUP($A172,'Data Vlaue (Cr)'!$C:$FB,95)</f>
        <v>183</v>
      </c>
      <c r="L172" s="91">
        <f>VLOOKUP($A172,'Data Vlaue (Cr)'!$C:$FB,97)</f>
        <v>59</v>
      </c>
      <c r="M172" s="92">
        <f>VLOOKUP($A172,'Data Vlaue (Cr)'!$C:$FB,98)</f>
        <v>0.47599999999999998</v>
      </c>
      <c r="N172" s="91">
        <f>VLOOKUP($A172,'Data Vlaue (Cr)'!$C:$FB,79)</f>
        <v>1507</v>
      </c>
      <c r="O172" s="92">
        <f>VLOOKUP($A172,'Data Vlaue (Cr)'!$C:$FB,82)</f>
        <v>6.9400000000000003E-2</v>
      </c>
    </row>
    <row r="173" spans="1:15" x14ac:dyDescent="0.25">
      <c r="A173" s="97" t="str">
        <f>'Data Vlaue (Cr)'!C168</f>
        <v>POLYCAB</v>
      </c>
      <c r="B173" s="142">
        <f>VLOOKUP(A173,'Data Vlaue (Cr)'!C168:CW382,99,0)</f>
        <v>3963</v>
      </c>
      <c r="C173" s="90">
        <f>VLOOKUP(A173,'Data Vlaue (Cr)'!C168:CY382,101,0)</f>
        <v>512</v>
      </c>
      <c r="D173" s="139">
        <f>VLOOKUP(A173,'Data Vlaue (Cr)'!C168:CZ382,102,0)</f>
        <v>0.14829999999999999</v>
      </c>
      <c r="E173" s="91">
        <f>VLOOKUP($A173,'Data Vlaue (Cr)'!$C:$FB,75)</f>
        <v>1749</v>
      </c>
      <c r="F173" s="91">
        <f>VLOOKUP($A173,'Data Vlaue (Cr)'!$C:$FB,77)</f>
        <v>69</v>
      </c>
      <c r="G173" s="92">
        <f>VLOOKUP(A173,'Data Vlaue (Cr)'!C168:CB382,78,0)</f>
        <v>4.1099999999999998E-2</v>
      </c>
      <c r="H173" s="91">
        <f>VLOOKUP($A173,'Data Vlaue (Cr)'!$C:$FB,91)</f>
        <v>1060</v>
      </c>
      <c r="I173" s="91">
        <f>VLOOKUP($A173,'Data Vlaue (Cr)'!$C:$FB,93)</f>
        <v>301</v>
      </c>
      <c r="J173" s="92">
        <f>VLOOKUP($A173,'Data Vlaue (Cr)'!$C:$FB,94)</f>
        <v>0.39610000000000001</v>
      </c>
      <c r="K173" s="91">
        <f>VLOOKUP($A173,'Data Vlaue (Cr)'!$C:$FB,95)</f>
        <v>1155</v>
      </c>
      <c r="L173" s="91">
        <f>VLOOKUP($A173,'Data Vlaue (Cr)'!$C:$FB,97)</f>
        <v>142</v>
      </c>
      <c r="M173" s="92">
        <f>VLOOKUP($A173,'Data Vlaue (Cr)'!$C:$FB,98)</f>
        <v>0.14019999999999999</v>
      </c>
      <c r="N173" s="91">
        <f>VLOOKUP($A173,'Data Vlaue (Cr)'!$C:$FB,79)</f>
        <v>1714</v>
      </c>
      <c r="O173" s="92">
        <f>VLOOKUP($A173,'Data Vlaue (Cr)'!$C:$FB,82)</f>
        <v>3.7199999999999997E-2</v>
      </c>
    </row>
    <row r="174" spans="1:15" x14ac:dyDescent="0.25">
      <c r="A174" s="97" t="str">
        <f>'Data Vlaue (Cr)'!C169</f>
        <v>POWERGRID</v>
      </c>
      <c r="B174" s="142">
        <f>VLOOKUP(A174,'Data Vlaue (Cr)'!C169:CW383,99,0)</f>
        <v>3747</v>
      </c>
      <c r="C174" s="90">
        <f>VLOOKUP(A174,'Data Vlaue (Cr)'!C169:CY383,101,0)</f>
        <v>83</v>
      </c>
      <c r="D174" s="139">
        <f>VLOOKUP(A174,'Data Vlaue (Cr)'!C169:CZ383,102,0)</f>
        <v>2.2599999999999999E-2</v>
      </c>
      <c r="E174" s="91">
        <f>VLOOKUP($A174,'Data Vlaue (Cr)'!$C:$FB,75)</f>
        <v>2600</v>
      </c>
      <c r="F174" s="91">
        <f>VLOOKUP($A174,'Data Vlaue (Cr)'!$C:$FB,77)</f>
        <v>37</v>
      </c>
      <c r="G174" s="92">
        <f>VLOOKUP(A174,'Data Vlaue (Cr)'!C169:CB383,78,0)</f>
        <v>1.46E-2</v>
      </c>
      <c r="H174" s="91">
        <f>VLOOKUP($A174,'Data Vlaue (Cr)'!$C:$FB,91)</f>
        <v>766</v>
      </c>
      <c r="I174" s="91">
        <f>VLOOKUP($A174,'Data Vlaue (Cr)'!$C:$FB,93)</f>
        <v>45</v>
      </c>
      <c r="J174" s="92">
        <f>VLOOKUP($A174,'Data Vlaue (Cr)'!$C:$FB,94)</f>
        <v>6.2899999999999998E-2</v>
      </c>
      <c r="K174" s="91">
        <f>VLOOKUP($A174,'Data Vlaue (Cr)'!$C:$FB,95)</f>
        <v>382</v>
      </c>
      <c r="L174" s="91">
        <f>VLOOKUP($A174,'Data Vlaue (Cr)'!$C:$FB,97)</f>
        <v>0</v>
      </c>
      <c r="M174" s="92">
        <f>VLOOKUP($A174,'Data Vlaue (Cr)'!$C:$FB,98)</f>
        <v>5.0000000000000001E-4</v>
      </c>
      <c r="N174" s="91">
        <f>VLOOKUP($A174,'Data Vlaue (Cr)'!$C:$FB,79)</f>
        <v>2196</v>
      </c>
      <c r="O174" s="92">
        <f>VLOOKUP($A174,'Data Vlaue (Cr)'!$C:$FB,82)</f>
        <v>1.21E-2</v>
      </c>
    </row>
    <row r="175" spans="1:15" x14ac:dyDescent="0.25">
      <c r="A175" s="97" t="str">
        <f>'Data Vlaue (Cr)'!C170</f>
        <v>POWERINDIA</v>
      </c>
      <c r="B175" s="142">
        <f>VLOOKUP(A175,'Data Vlaue (Cr)'!C170:CW384,99,0)</f>
        <v>2830</v>
      </c>
      <c r="C175" s="90">
        <f>VLOOKUP(A175,'Data Vlaue (Cr)'!C170:CY384,101,0)</f>
        <v>3</v>
      </c>
      <c r="D175" s="139">
        <f>VLOOKUP(A175,'Data Vlaue (Cr)'!C170:CZ384,102,0)</f>
        <v>1.1999999999999999E-3</v>
      </c>
      <c r="E175" s="91">
        <f>VLOOKUP($A175,'Data Vlaue (Cr)'!$C:$FB,75)</f>
        <v>1296</v>
      </c>
      <c r="F175" s="91">
        <f>VLOOKUP($A175,'Data Vlaue (Cr)'!$C:$FB,77)</f>
        <v>-36</v>
      </c>
      <c r="G175" s="92">
        <f>VLOOKUP(A175,'Data Vlaue (Cr)'!C170:CB384,78,0)</f>
        <v>-2.6800000000000001E-2</v>
      </c>
      <c r="H175" s="91">
        <f>VLOOKUP($A175,'Data Vlaue (Cr)'!$C:$FB,91)</f>
        <v>822</v>
      </c>
      <c r="I175" s="91">
        <f>VLOOKUP($A175,'Data Vlaue (Cr)'!$C:$FB,93)</f>
        <v>60</v>
      </c>
      <c r="J175" s="92">
        <f>VLOOKUP($A175,'Data Vlaue (Cr)'!$C:$FB,94)</f>
        <v>7.8700000000000006E-2</v>
      </c>
      <c r="K175" s="91">
        <f>VLOOKUP($A175,'Data Vlaue (Cr)'!$C:$FB,95)</f>
        <v>711</v>
      </c>
      <c r="L175" s="91">
        <f>VLOOKUP($A175,'Data Vlaue (Cr)'!$C:$FB,97)</f>
        <v>-21</v>
      </c>
      <c r="M175" s="92">
        <f>VLOOKUP($A175,'Data Vlaue (Cr)'!$C:$FB,98)</f>
        <v>-2.8500000000000001E-2</v>
      </c>
      <c r="N175" s="91">
        <f>VLOOKUP($A175,'Data Vlaue (Cr)'!$C:$FB,79)</f>
        <v>1259</v>
      </c>
      <c r="O175" s="92">
        <f>VLOOKUP($A175,'Data Vlaue (Cr)'!$C:$FB,82)</f>
        <v>-2.69E-2</v>
      </c>
    </row>
    <row r="176" spans="1:15" x14ac:dyDescent="0.25">
      <c r="A176" s="97" t="str">
        <f>'Data Vlaue (Cr)'!C171</f>
        <v>PREMIERENE</v>
      </c>
      <c r="B176" s="142">
        <f>VLOOKUP(A176,'Data Vlaue (Cr)'!C171:CW385,99,0)</f>
        <v>1551</v>
      </c>
      <c r="C176" s="90">
        <f>VLOOKUP(A176,'Data Vlaue (Cr)'!C171:CY385,101,0)</f>
        <v>57</v>
      </c>
      <c r="D176" s="139">
        <f>VLOOKUP(A176,'Data Vlaue (Cr)'!C171:CZ385,102,0)</f>
        <v>3.78E-2</v>
      </c>
      <c r="E176" s="91">
        <f>VLOOKUP($A176,'Data Vlaue (Cr)'!$C:$FB,75)</f>
        <v>1111</v>
      </c>
      <c r="F176" s="91">
        <f>VLOOKUP($A176,'Data Vlaue (Cr)'!$C:$FB,77)</f>
        <v>19</v>
      </c>
      <c r="G176" s="92">
        <f>VLOOKUP(A176,'Data Vlaue (Cr)'!C171:CB385,78,0)</f>
        <v>1.7399999999999999E-2</v>
      </c>
      <c r="H176" s="91">
        <f>VLOOKUP($A176,'Data Vlaue (Cr)'!$C:$FB,91)</f>
        <v>232</v>
      </c>
      <c r="I176" s="91">
        <f>VLOOKUP($A176,'Data Vlaue (Cr)'!$C:$FB,93)</f>
        <v>27</v>
      </c>
      <c r="J176" s="92">
        <f>VLOOKUP($A176,'Data Vlaue (Cr)'!$C:$FB,94)</f>
        <v>0.13089999999999999</v>
      </c>
      <c r="K176" s="91">
        <f>VLOOKUP($A176,'Data Vlaue (Cr)'!$C:$FB,95)</f>
        <v>208</v>
      </c>
      <c r="L176" s="91">
        <f>VLOOKUP($A176,'Data Vlaue (Cr)'!$C:$FB,97)</f>
        <v>11</v>
      </c>
      <c r="M176" s="92">
        <f>VLOOKUP($A176,'Data Vlaue (Cr)'!$C:$FB,98)</f>
        <v>5.4199999999999998E-2</v>
      </c>
      <c r="N176" s="91">
        <f>VLOOKUP($A176,'Data Vlaue (Cr)'!$C:$FB,79)</f>
        <v>1050</v>
      </c>
      <c r="O176" s="92">
        <f>VLOOKUP($A176,'Data Vlaue (Cr)'!$C:$FB,82)</f>
        <v>8.0000000000000002E-3</v>
      </c>
    </row>
    <row r="177" spans="1:15" x14ac:dyDescent="0.25">
      <c r="A177" s="97" t="str">
        <f>'Data Vlaue (Cr)'!C172</f>
        <v>PRESTIGE</v>
      </c>
      <c r="B177" s="142">
        <f>VLOOKUP(A177,'Data Vlaue (Cr)'!C172:CW386,99,0)</f>
        <v>1138</v>
      </c>
      <c r="C177" s="90">
        <f>VLOOKUP(A177,'Data Vlaue (Cr)'!C172:CY386,101,0)</f>
        <v>9</v>
      </c>
      <c r="D177" s="139">
        <f>VLOOKUP(A177,'Data Vlaue (Cr)'!C172:CZ386,102,0)</f>
        <v>8.3999999999999995E-3</v>
      </c>
      <c r="E177" s="91">
        <f>VLOOKUP($A177,'Data Vlaue (Cr)'!$C:$FB,75)</f>
        <v>866</v>
      </c>
      <c r="F177" s="91">
        <f>VLOOKUP($A177,'Data Vlaue (Cr)'!$C:$FB,77)</f>
        <v>3</v>
      </c>
      <c r="G177" s="92">
        <f>VLOOKUP(A177,'Data Vlaue (Cr)'!C172:CB386,78,0)</f>
        <v>3.3999999999999998E-3</v>
      </c>
      <c r="H177" s="91">
        <f>VLOOKUP($A177,'Data Vlaue (Cr)'!$C:$FB,91)</f>
        <v>156</v>
      </c>
      <c r="I177" s="91">
        <f>VLOOKUP($A177,'Data Vlaue (Cr)'!$C:$FB,93)</f>
        <v>9</v>
      </c>
      <c r="J177" s="92">
        <f>VLOOKUP($A177,'Data Vlaue (Cr)'!$C:$FB,94)</f>
        <v>6.4000000000000001E-2</v>
      </c>
      <c r="K177" s="91">
        <f>VLOOKUP($A177,'Data Vlaue (Cr)'!$C:$FB,95)</f>
        <v>116</v>
      </c>
      <c r="L177" s="91">
        <f>VLOOKUP($A177,'Data Vlaue (Cr)'!$C:$FB,97)</f>
        <v>-3</v>
      </c>
      <c r="M177" s="92">
        <f>VLOOKUP($A177,'Data Vlaue (Cr)'!$C:$FB,98)</f>
        <v>-2.4500000000000001E-2</v>
      </c>
      <c r="N177" s="91">
        <f>VLOOKUP($A177,'Data Vlaue (Cr)'!$C:$FB,79)</f>
        <v>830</v>
      </c>
      <c r="O177" s="92">
        <f>VLOOKUP($A177,'Data Vlaue (Cr)'!$C:$FB,82)</f>
        <v>3.7000000000000002E-3</v>
      </c>
    </row>
    <row r="178" spans="1:15" x14ac:dyDescent="0.25">
      <c r="A178" s="97" t="str">
        <f>'Data Vlaue (Cr)'!C173</f>
        <v>RBLBANK</v>
      </c>
      <c r="B178" s="142">
        <f>VLOOKUP(A178,'Data Vlaue (Cr)'!C173:CW387,99,0)</f>
        <v>3443</v>
      </c>
      <c r="C178" s="90">
        <f>VLOOKUP(A178,'Data Vlaue (Cr)'!C173:CY387,101,0)</f>
        <v>62</v>
      </c>
      <c r="D178" s="139">
        <f>VLOOKUP(A178,'Data Vlaue (Cr)'!C173:CZ387,102,0)</f>
        <v>1.8200000000000001E-2</v>
      </c>
      <c r="E178" s="91">
        <f>VLOOKUP($A178,'Data Vlaue (Cr)'!$C:$FB,75)</f>
        <v>2259</v>
      </c>
      <c r="F178" s="91">
        <f>VLOOKUP($A178,'Data Vlaue (Cr)'!$C:$FB,77)</f>
        <v>29</v>
      </c>
      <c r="G178" s="92">
        <f>VLOOKUP(A178,'Data Vlaue (Cr)'!C173:CB387,78,0)</f>
        <v>1.2999999999999999E-2</v>
      </c>
      <c r="H178" s="91">
        <f>VLOOKUP($A178,'Data Vlaue (Cr)'!$C:$FB,91)</f>
        <v>674</v>
      </c>
      <c r="I178" s="91">
        <f>VLOOKUP($A178,'Data Vlaue (Cr)'!$C:$FB,93)</f>
        <v>10</v>
      </c>
      <c r="J178" s="92">
        <f>VLOOKUP($A178,'Data Vlaue (Cr)'!$C:$FB,94)</f>
        <v>1.49E-2</v>
      </c>
      <c r="K178" s="91">
        <f>VLOOKUP($A178,'Data Vlaue (Cr)'!$C:$FB,95)</f>
        <v>510</v>
      </c>
      <c r="L178" s="91">
        <f>VLOOKUP($A178,'Data Vlaue (Cr)'!$C:$FB,97)</f>
        <v>23</v>
      </c>
      <c r="M178" s="92">
        <f>VLOOKUP($A178,'Data Vlaue (Cr)'!$C:$FB,98)</f>
        <v>4.65E-2</v>
      </c>
      <c r="N178" s="91">
        <f>VLOOKUP($A178,'Data Vlaue (Cr)'!$C:$FB,79)</f>
        <v>2241</v>
      </c>
      <c r="O178" s="92">
        <f>VLOOKUP($A178,'Data Vlaue (Cr)'!$C:$FB,82)</f>
        <v>1.2999999999999999E-2</v>
      </c>
    </row>
    <row r="179" spans="1:15" x14ac:dyDescent="0.25">
      <c r="A179" s="97" t="str">
        <f>'Data Vlaue (Cr)'!C174</f>
        <v>RECLTD</v>
      </c>
      <c r="B179" s="142">
        <f>VLOOKUP(A179,'Data Vlaue (Cr)'!C174:CW388,99,0)</f>
        <v>4119</v>
      </c>
      <c r="C179" s="90">
        <f>VLOOKUP(A179,'Data Vlaue (Cr)'!C174:CY388,101,0)</f>
        <v>70</v>
      </c>
      <c r="D179" s="139">
        <f>VLOOKUP(A179,'Data Vlaue (Cr)'!C174:CZ388,102,0)</f>
        <v>1.7299999999999999E-2</v>
      </c>
      <c r="E179" s="91">
        <f>VLOOKUP($A179,'Data Vlaue (Cr)'!$C:$FB,75)</f>
        <v>2457</v>
      </c>
      <c r="F179" s="91">
        <f>VLOOKUP($A179,'Data Vlaue (Cr)'!$C:$FB,77)</f>
        <v>33</v>
      </c>
      <c r="G179" s="92">
        <f>VLOOKUP(A179,'Data Vlaue (Cr)'!C174:CB388,78,0)</f>
        <v>1.38E-2</v>
      </c>
      <c r="H179" s="91">
        <f>VLOOKUP($A179,'Data Vlaue (Cr)'!$C:$FB,91)</f>
        <v>1036</v>
      </c>
      <c r="I179" s="91">
        <f>VLOOKUP($A179,'Data Vlaue (Cr)'!$C:$FB,93)</f>
        <v>17</v>
      </c>
      <c r="J179" s="92">
        <f>VLOOKUP($A179,'Data Vlaue (Cr)'!$C:$FB,94)</f>
        <v>1.6500000000000001E-2</v>
      </c>
      <c r="K179" s="91">
        <f>VLOOKUP($A179,'Data Vlaue (Cr)'!$C:$FB,95)</f>
        <v>627</v>
      </c>
      <c r="L179" s="91">
        <f>VLOOKUP($A179,'Data Vlaue (Cr)'!$C:$FB,97)</f>
        <v>20</v>
      </c>
      <c r="M179" s="92">
        <f>VLOOKUP($A179,'Data Vlaue (Cr)'!$C:$FB,98)</f>
        <v>3.2399999999999998E-2</v>
      </c>
      <c r="N179" s="91">
        <f>VLOOKUP($A179,'Data Vlaue (Cr)'!$C:$FB,79)</f>
        <v>2306</v>
      </c>
      <c r="O179" s="92">
        <f>VLOOKUP($A179,'Data Vlaue (Cr)'!$C:$FB,82)</f>
        <v>0.01</v>
      </c>
    </row>
    <row r="180" spans="1:15" x14ac:dyDescent="0.25">
      <c r="A180" s="97" t="str">
        <f>'Data Vlaue (Cr)'!C175</f>
        <v>RELIANCE</v>
      </c>
      <c r="B180" s="142">
        <f>VLOOKUP(A180,'Data Vlaue (Cr)'!C175:CW389,99,0)</f>
        <v>26146</v>
      </c>
      <c r="C180" s="90">
        <f>VLOOKUP(A180,'Data Vlaue (Cr)'!C175:CY389,101,0)</f>
        <v>1130</v>
      </c>
      <c r="D180" s="139">
        <f>VLOOKUP(A180,'Data Vlaue (Cr)'!C175:CZ389,102,0)</f>
        <v>4.5199999999999997E-2</v>
      </c>
      <c r="E180" s="91">
        <f>VLOOKUP($A180,'Data Vlaue (Cr)'!$C:$FB,75)</f>
        <v>14041</v>
      </c>
      <c r="F180" s="91">
        <f>VLOOKUP($A180,'Data Vlaue (Cr)'!$C:$FB,77)</f>
        <v>185</v>
      </c>
      <c r="G180" s="92">
        <f>VLOOKUP(A180,'Data Vlaue (Cr)'!C175:CB389,78,0)</f>
        <v>1.3299999999999999E-2</v>
      </c>
      <c r="H180" s="91">
        <f>VLOOKUP($A180,'Data Vlaue (Cr)'!$C:$FB,91)</f>
        <v>7035</v>
      </c>
      <c r="I180" s="91">
        <f>VLOOKUP($A180,'Data Vlaue (Cr)'!$C:$FB,93)</f>
        <v>1238</v>
      </c>
      <c r="J180" s="92">
        <f>VLOOKUP($A180,'Data Vlaue (Cr)'!$C:$FB,94)</f>
        <v>0.2135</v>
      </c>
      <c r="K180" s="91">
        <f>VLOOKUP($A180,'Data Vlaue (Cr)'!$C:$FB,95)</f>
        <v>5071</v>
      </c>
      <c r="L180" s="91">
        <f>VLOOKUP($A180,'Data Vlaue (Cr)'!$C:$FB,97)</f>
        <v>-292</v>
      </c>
      <c r="M180" s="92">
        <f>VLOOKUP($A180,'Data Vlaue (Cr)'!$C:$FB,98)</f>
        <v>-5.45E-2</v>
      </c>
      <c r="N180" s="91">
        <f>VLOOKUP($A180,'Data Vlaue (Cr)'!$C:$FB,79)</f>
        <v>11132</v>
      </c>
      <c r="O180" s="92">
        <f>VLOOKUP($A180,'Data Vlaue (Cr)'!$C:$FB,82)</f>
        <v>8.3999999999999995E-3</v>
      </c>
    </row>
    <row r="181" spans="1:15" x14ac:dyDescent="0.25">
      <c r="A181" s="97" t="str">
        <f>'Data Vlaue (Cr)'!C176</f>
        <v>RVNL</v>
      </c>
      <c r="B181" s="142">
        <f>VLOOKUP(A181,'Data Vlaue (Cr)'!C176:CW390,99,0)</f>
        <v>2401</v>
      </c>
      <c r="C181" s="90">
        <f>VLOOKUP(A181,'Data Vlaue (Cr)'!C176:CY390,101,0)</f>
        <v>14</v>
      </c>
      <c r="D181" s="139">
        <f>VLOOKUP(A181,'Data Vlaue (Cr)'!C176:CZ390,102,0)</f>
        <v>6.0000000000000001E-3</v>
      </c>
      <c r="E181" s="91">
        <f>VLOOKUP($A181,'Data Vlaue (Cr)'!$C:$FB,75)</f>
        <v>1703</v>
      </c>
      <c r="F181" s="91">
        <f>VLOOKUP($A181,'Data Vlaue (Cr)'!$C:$FB,77)</f>
        <v>28</v>
      </c>
      <c r="G181" s="92">
        <f>VLOOKUP(A181,'Data Vlaue (Cr)'!C176:CB390,78,0)</f>
        <v>1.67E-2</v>
      </c>
      <c r="H181" s="91">
        <f>VLOOKUP($A181,'Data Vlaue (Cr)'!$C:$FB,91)</f>
        <v>433</v>
      </c>
      <c r="I181" s="91">
        <f>VLOOKUP($A181,'Data Vlaue (Cr)'!$C:$FB,93)</f>
        <v>-19</v>
      </c>
      <c r="J181" s="92">
        <f>VLOOKUP($A181,'Data Vlaue (Cr)'!$C:$FB,94)</f>
        <v>-4.1200000000000001E-2</v>
      </c>
      <c r="K181" s="91">
        <f>VLOOKUP($A181,'Data Vlaue (Cr)'!$C:$FB,95)</f>
        <v>264</v>
      </c>
      <c r="L181" s="91">
        <f>VLOOKUP($A181,'Data Vlaue (Cr)'!$C:$FB,97)</f>
        <v>5</v>
      </c>
      <c r="M181" s="92">
        <f>VLOOKUP($A181,'Data Vlaue (Cr)'!$C:$FB,98)</f>
        <v>1.9599999999999999E-2</v>
      </c>
      <c r="N181" s="91">
        <f>VLOOKUP($A181,'Data Vlaue (Cr)'!$C:$FB,79)</f>
        <v>1462</v>
      </c>
      <c r="O181" s="92">
        <f>VLOOKUP($A181,'Data Vlaue (Cr)'!$C:$FB,82)</f>
        <v>-7.7999999999999996E-3</v>
      </c>
    </row>
    <row r="182" spans="1:15" x14ac:dyDescent="0.25">
      <c r="A182" s="97" t="str">
        <f>'Data Vlaue (Cr)'!C177</f>
        <v>SAIL</v>
      </c>
      <c r="B182" s="142">
        <f>VLOOKUP(A182,'Data Vlaue (Cr)'!C177:CW391,99,0)</f>
        <v>3994</v>
      </c>
      <c r="C182" s="90">
        <f>VLOOKUP(A182,'Data Vlaue (Cr)'!C177:CY391,101,0)</f>
        <v>62</v>
      </c>
      <c r="D182" s="139">
        <f>VLOOKUP(A182,'Data Vlaue (Cr)'!C177:CZ391,102,0)</f>
        <v>1.5800000000000002E-2</v>
      </c>
      <c r="E182" s="91">
        <f>VLOOKUP($A182,'Data Vlaue (Cr)'!$C:$FB,75)</f>
        <v>3747</v>
      </c>
      <c r="F182" s="91">
        <f>VLOOKUP($A182,'Data Vlaue (Cr)'!$C:$FB,77)</f>
        <v>58</v>
      </c>
      <c r="G182" s="92">
        <f>VLOOKUP(A182,'Data Vlaue (Cr)'!C177:CB391,78,0)</f>
        <v>1.5599999999999999E-2</v>
      </c>
      <c r="H182" s="91">
        <f>VLOOKUP($A182,'Data Vlaue (Cr)'!$C:$FB,91)</f>
        <v>146</v>
      </c>
      <c r="I182" s="91">
        <f>VLOOKUP($A182,'Data Vlaue (Cr)'!$C:$FB,93)</f>
        <v>4</v>
      </c>
      <c r="J182" s="92">
        <f>VLOOKUP($A182,'Data Vlaue (Cr)'!$C:$FB,94)</f>
        <v>2.98E-2</v>
      </c>
      <c r="K182" s="91">
        <f>VLOOKUP($A182,'Data Vlaue (Cr)'!$C:$FB,95)</f>
        <v>101</v>
      </c>
      <c r="L182" s="91">
        <f>VLOOKUP($A182,'Data Vlaue (Cr)'!$C:$FB,97)</f>
        <v>0</v>
      </c>
      <c r="M182" s="92">
        <f>VLOOKUP($A182,'Data Vlaue (Cr)'!$C:$FB,98)</f>
        <v>1.6999999999999999E-3</v>
      </c>
      <c r="N182" s="91">
        <f>VLOOKUP($A182,'Data Vlaue (Cr)'!$C:$FB,79)</f>
        <v>3686</v>
      </c>
      <c r="O182" s="92">
        <f>VLOOKUP($A182,'Data Vlaue (Cr)'!$C:$FB,82)</f>
        <v>1.2800000000000001E-2</v>
      </c>
    </row>
    <row r="183" spans="1:15" x14ac:dyDescent="0.25">
      <c r="A183" s="97" t="str">
        <f>'Data Vlaue (Cr)'!C178</f>
        <v>SAMMAANCAP</v>
      </c>
      <c r="B183" s="142">
        <f>VLOOKUP(A183,'Data Vlaue (Cr)'!C178:CW392,99,0)</f>
        <v>2108</v>
      </c>
      <c r="C183" s="90">
        <f>VLOOKUP(A183,'Data Vlaue (Cr)'!C178:CY392,101,0)</f>
        <v>-41</v>
      </c>
      <c r="D183" s="139">
        <f>VLOOKUP(A183,'Data Vlaue (Cr)'!C178:CZ392,102,0)</f>
        <v>-1.9300000000000001E-2</v>
      </c>
      <c r="E183" s="91">
        <f>VLOOKUP($A183,'Data Vlaue (Cr)'!$C:$FB,75)</f>
        <v>1584</v>
      </c>
      <c r="F183" s="91">
        <f>VLOOKUP($A183,'Data Vlaue (Cr)'!$C:$FB,77)</f>
        <v>-43</v>
      </c>
      <c r="G183" s="92">
        <f>VLOOKUP(A183,'Data Vlaue (Cr)'!C178:CB392,78,0)</f>
        <v>-2.6599999999999999E-2</v>
      </c>
      <c r="H183" s="91">
        <f>VLOOKUP($A183,'Data Vlaue (Cr)'!$C:$FB,91)</f>
        <v>325</v>
      </c>
      <c r="I183" s="91">
        <f>VLOOKUP($A183,'Data Vlaue (Cr)'!$C:$FB,93)</f>
        <v>4</v>
      </c>
      <c r="J183" s="92">
        <f>VLOOKUP($A183,'Data Vlaue (Cr)'!$C:$FB,94)</f>
        <v>1.35E-2</v>
      </c>
      <c r="K183" s="91">
        <f>VLOOKUP($A183,'Data Vlaue (Cr)'!$C:$FB,95)</f>
        <v>200</v>
      </c>
      <c r="L183" s="91">
        <f>VLOOKUP($A183,'Data Vlaue (Cr)'!$C:$FB,97)</f>
        <v>-3</v>
      </c>
      <c r="M183" s="92">
        <f>VLOOKUP($A183,'Data Vlaue (Cr)'!$C:$FB,98)</f>
        <v>-1.2800000000000001E-2</v>
      </c>
      <c r="N183" s="91">
        <f>VLOOKUP($A183,'Data Vlaue (Cr)'!$C:$FB,79)</f>
        <v>1510</v>
      </c>
      <c r="O183" s="92">
        <f>VLOOKUP($A183,'Data Vlaue (Cr)'!$C:$FB,82)</f>
        <v>-2.8899999999999999E-2</v>
      </c>
    </row>
    <row r="184" spans="1:15" x14ac:dyDescent="0.25">
      <c r="A184" s="97" t="str">
        <f>'Data Vlaue (Cr)'!C179</f>
        <v>SBICARD</v>
      </c>
      <c r="B184" s="142">
        <f>VLOOKUP(A184,'Data Vlaue (Cr)'!C179:CW393,99,0)</f>
        <v>2643</v>
      </c>
      <c r="C184" s="90">
        <f>VLOOKUP(A184,'Data Vlaue (Cr)'!C179:CY393,101,0)</f>
        <v>33</v>
      </c>
      <c r="D184" s="139">
        <f>VLOOKUP(A184,'Data Vlaue (Cr)'!C179:CZ393,102,0)</f>
        <v>1.2500000000000001E-2</v>
      </c>
      <c r="E184" s="91">
        <f>VLOOKUP($A184,'Data Vlaue (Cr)'!$C:$FB,75)</f>
        <v>1693</v>
      </c>
      <c r="F184" s="91">
        <f>VLOOKUP($A184,'Data Vlaue (Cr)'!$C:$FB,77)</f>
        <v>15</v>
      </c>
      <c r="G184" s="92">
        <f>VLOOKUP(A184,'Data Vlaue (Cr)'!C179:CB393,78,0)</f>
        <v>8.8999999999999999E-3</v>
      </c>
      <c r="H184" s="91">
        <f>VLOOKUP($A184,'Data Vlaue (Cr)'!$C:$FB,91)</f>
        <v>577</v>
      </c>
      <c r="I184" s="91">
        <f>VLOOKUP($A184,'Data Vlaue (Cr)'!$C:$FB,93)</f>
        <v>-8</v>
      </c>
      <c r="J184" s="92">
        <f>VLOOKUP($A184,'Data Vlaue (Cr)'!$C:$FB,94)</f>
        <v>-1.41E-2</v>
      </c>
      <c r="K184" s="91">
        <f>VLOOKUP($A184,'Data Vlaue (Cr)'!$C:$FB,95)</f>
        <v>373</v>
      </c>
      <c r="L184" s="91">
        <f>VLOOKUP($A184,'Data Vlaue (Cr)'!$C:$FB,97)</f>
        <v>26</v>
      </c>
      <c r="M184" s="92">
        <f>VLOOKUP($A184,'Data Vlaue (Cr)'!$C:$FB,98)</f>
        <v>7.5200000000000003E-2</v>
      </c>
      <c r="N184" s="91">
        <f>VLOOKUP($A184,'Data Vlaue (Cr)'!$C:$FB,79)</f>
        <v>1501</v>
      </c>
      <c r="O184" s="92">
        <f>VLOOKUP($A184,'Data Vlaue (Cr)'!$C:$FB,82)</f>
        <v>1.4E-3</v>
      </c>
    </row>
    <row r="185" spans="1:15" x14ac:dyDescent="0.25">
      <c r="A185" s="97" t="str">
        <f>'Data Vlaue (Cr)'!C180</f>
        <v>SBILIFE</v>
      </c>
      <c r="B185" s="142">
        <f>VLOOKUP(A185,'Data Vlaue (Cr)'!C180:CW394,99,0)</f>
        <v>3096</v>
      </c>
      <c r="C185" s="90">
        <f>VLOOKUP(A185,'Data Vlaue (Cr)'!C180:CY394,101,0)</f>
        <v>-28</v>
      </c>
      <c r="D185" s="139">
        <f>VLOOKUP(A185,'Data Vlaue (Cr)'!C180:CZ394,102,0)</f>
        <v>-9.1000000000000004E-3</v>
      </c>
      <c r="E185" s="91">
        <f>VLOOKUP($A185,'Data Vlaue (Cr)'!$C:$FB,75)</f>
        <v>1952</v>
      </c>
      <c r="F185" s="91">
        <f>VLOOKUP($A185,'Data Vlaue (Cr)'!$C:$FB,77)</f>
        <v>-12</v>
      </c>
      <c r="G185" s="92">
        <f>VLOOKUP(A185,'Data Vlaue (Cr)'!C180:CB394,78,0)</f>
        <v>-6.0000000000000001E-3</v>
      </c>
      <c r="H185" s="91">
        <f>VLOOKUP($A185,'Data Vlaue (Cr)'!$C:$FB,91)</f>
        <v>750</v>
      </c>
      <c r="I185" s="91">
        <f>VLOOKUP($A185,'Data Vlaue (Cr)'!$C:$FB,93)</f>
        <v>-43</v>
      </c>
      <c r="J185" s="92">
        <f>VLOOKUP($A185,'Data Vlaue (Cr)'!$C:$FB,94)</f>
        <v>-5.4399999999999997E-2</v>
      </c>
      <c r="K185" s="91">
        <f>VLOOKUP($A185,'Data Vlaue (Cr)'!$C:$FB,95)</f>
        <v>394</v>
      </c>
      <c r="L185" s="91">
        <f>VLOOKUP($A185,'Data Vlaue (Cr)'!$C:$FB,97)</f>
        <v>26</v>
      </c>
      <c r="M185" s="92">
        <f>VLOOKUP($A185,'Data Vlaue (Cr)'!$C:$FB,98)</f>
        <v>7.1999999999999995E-2</v>
      </c>
      <c r="N185" s="91">
        <f>VLOOKUP($A185,'Data Vlaue (Cr)'!$C:$FB,79)</f>
        <v>1702</v>
      </c>
      <c r="O185" s="92">
        <f>VLOOKUP($A185,'Data Vlaue (Cr)'!$C:$FB,82)</f>
        <v>-8.6999999999999994E-3</v>
      </c>
    </row>
    <row r="186" spans="1:15" x14ac:dyDescent="0.25">
      <c r="A186" s="97" t="str">
        <f>'Data Vlaue (Cr)'!C181</f>
        <v>SBIN</v>
      </c>
      <c r="B186" s="142">
        <f>VLOOKUP(A186,'Data Vlaue (Cr)'!C181:CW395,99,0)</f>
        <v>17277</v>
      </c>
      <c r="C186" s="90">
        <f>VLOOKUP(A186,'Data Vlaue (Cr)'!C181:CY395,101,0)</f>
        <v>345</v>
      </c>
      <c r="D186" s="139">
        <f>VLOOKUP(A186,'Data Vlaue (Cr)'!C181:CZ395,102,0)</f>
        <v>2.0299999999999999E-2</v>
      </c>
      <c r="E186" s="91">
        <f>VLOOKUP($A186,'Data Vlaue (Cr)'!$C:$FB,75)</f>
        <v>10939</v>
      </c>
      <c r="F186" s="91">
        <f>VLOOKUP($A186,'Data Vlaue (Cr)'!$C:$FB,77)</f>
        <v>413</v>
      </c>
      <c r="G186" s="92">
        <f>VLOOKUP(A186,'Data Vlaue (Cr)'!C181:CB395,78,0)</f>
        <v>3.9199999999999999E-2</v>
      </c>
      <c r="H186" s="91">
        <f>VLOOKUP($A186,'Data Vlaue (Cr)'!$C:$FB,91)</f>
        <v>3600</v>
      </c>
      <c r="I186" s="91">
        <f>VLOOKUP($A186,'Data Vlaue (Cr)'!$C:$FB,93)</f>
        <v>-204</v>
      </c>
      <c r="J186" s="92">
        <f>VLOOKUP($A186,'Data Vlaue (Cr)'!$C:$FB,94)</f>
        <v>-5.3499999999999999E-2</v>
      </c>
      <c r="K186" s="91">
        <f>VLOOKUP($A186,'Data Vlaue (Cr)'!$C:$FB,95)</f>
        <v>2739</v>
      </c>
      <c r="L186" s="91">
        <f>VLOOKUP($A186,'Data Vlaue (Cr)'!$C:$FB,97)</f>
        <v>135</v>
      </c>
      <c r="M186" s="92">
        <f>VLOOKUP($A186,'Data Vlaue (Cr)'!$C:$FB,98)</f>
        <v>5.1900000000000002E-2</v>
      </c>
      <c r="N186" s="91">
        <f>VLOOKUP($A186,'Data Vlaue (Cr)'!$C:$FB,79)</f>
        <v>8572</v>
      </c>
      <c r="O186" s="92">
        <f>VLOOKUP($A186,'Data Vlaue (Cr)'!$C:$FB,82)</f>
        <v>4.4400000000000002E-2</v>
      </c>
    </row>
    <row r="187" spans="1:15" x14ac:dyDescent="0.25">
      <c r="A187" s="97" t="str">
        <f>'Data Vlaue (Cr)'!C182</f>
        <v>SHREECEM</v>
      </c>
      <c r="B187" s="142">
        <f>VLOOKUP(A187,'Data Vlaue (Cr)'!C182:CW396,99,0)</f>
        <v>1383</v>
      </c>
      <c r="C187" s="90">
        <f>VLOOKUP(A187,'Data Vlaue (Cr)'!C182:CY396,101,0)</f>
        <v>137</v>
      </c>
      <c r="D187" s="139">
        <f>VLOOKUP(A187,'Data Vlaue (Cr)'!C182:CZ396,102,0)</f>
        <v>0.1096</v>
      </c>
      <c r="E187" s="91">
        <f>VLOOKUP($A187,'Data Vlaue (Cr)'!$C:$FB,75)</f>
        <v>1118</v>
      </c>
      <c r="F187" s="91">
        <f>VLOOKUP($A187,'Data Vlaue (Cr)'!$C:$FB,77)</f>
        <v>60</v>
      </c>
      <c r="G187" s="92">
        <f>VLOOKUP(A187,'Data Vlaue (Cr)'!C182:CB396,78,0)</f>
        <v>5.6899999999999999E-2</v>
      </c>
      <c r="H187" s="91">
        <f>VLOOKUP($A187,'Data Vlaue (Cr)'!$C:$FB,91)</f>
        <v>142</v>
      </c>
      <c r="I187" s="91">
        <f>VLOOKUP($A187,'Data Vlaue (Cr)'!$C:$FB,93)</f>
        <v>42</v>
      </c>
      <c r="J187" s="92">
        <f>VLOOKUP($A187,'Data Vlaue (Cr)'!$C:$FB,94)</f>
        <v>0.41860000000000003</v>
      </c>
      <c r="K187" s="91">
        <f>VLOOKUP($A187,'Data Vlaue (Cr)'!$C:$FB,95)</f>
        <v>123</v>
      </c>
      <c r="L187" s="91">
        <f>VLOOKUP($A187,'Data Vlaue (Cr)'!$C:$FB,97)</f>
        <v>34</v>
      </c>
      <c r="M187" s="92">
        <f>VLOOKUP($A187,'Data Vlaue (Cr)'!$C:$FB,98)</f>
        <v>0.38990000000000002</v>
      </c>
      <c r="N187" s="91">
        <f>VLOOKUP($A187,'Data Vlaue (Cr)'!$C:$FB,79)</f>
        <v>1092</v>
      </c>
      <c r="O187" s="92">
        <f>VLOOKUP($A187,'Data Vlaue (Cr)'!$C:$FB,82)</f>
        <v>5.3999999999999999E-2</v>
      </c>
    </row>
    <row r="188" spans="1:15" x14ac:dyDescent="0.25">
      <c r="A188" s="97" t="str">
        <f>'Data Vlaue (Cr)'!C183</f>
        <v>SHRIRAMFIN</v>
      </c>
      <c r="B188" s="142">
        <f>VLOOKUP(A188,'Data Vlaue (Cr)'!C183:CW397,99,0)</f>
        <v>7024</v>
      </c>
      <c r="C188" s="90">
        <f>VLOOKUP(A188,'Data Vlaue (Cr)'!C183:CY397,101,0)</f>
        <v>-330</v>
      </c>
      <c r="D188" s="139">
        <f>VLOOKUP(A188,'Data Vlaue (Cr)'!C183:CZ397,102,0)</f>
        <v>-4.48E-2</v>
      </c>
      <c r="E188" s="91">
        <f>VLOOKUP($A188,'Data Vlaue (Cr)'!$C:$FB,75)</f>
        <v>4454</v>
      </c>
      <c r="F188" s="91">
        <f>VLOOKUP($A188,'Data Vlaue (Cr)'!$C:$FB,77)</f>
        <v>-91</v>
      </c>
      <c r="G188" s="92">
        <f>VLOOKUP(A188,'Data Vlaue (Cr)'!C183:CB397,78,0)</f>
        <v>-1.9900000000000001E-2</v>
      </c>
      <c r="H188" s="91">
        <f>VLOOKUP($A188,'Data Vlaue (Cr)'!$C:$FB,91)</f>
        <v>1617</v>
      </c>
      <c r="I188" s="91">
        <f>VLOOKUP($A188,'Data Vlaue (Cr)'!$C:$FB,93)</f>
        <v>-272</v>
      </c>
      <c r="J188" s="92">
        <f>VLOOKUP($A188,'Data Vlaue (Cr)'!$C:$FB,94)</f>
        <v>-0.14419999999999999</v>
      </c>
      <c r="K188" s="91">
        <f>VLOOKUP($A188,'Data Vlaue (Cr)'!$C:$FB,95)</f>
        <v>953</v>
      </c>
      <c r="L188" s="91">
        <f>VLOOKUP($A188,'Data Vlaue (Cr)'!$C:$FB,97)</f>
        <v>33</v>
      </c>
      <c r="M188" s="92">
        <f>VLOOKUP($A188,'Data Vlaue (Cr)'!$C:$FB,98)</f>
        <v>3.6400000000000002E-2</v>
      </c>
      <c r="N188" s="91">
        <f>VLOOKUP($A188,'Data Vlaue (Cr)'!$C:$FB,79)</f>
        <v>3846</v>
      </c>
      <c r="O188" s="92">
        <f>VLOOKUP($A188,'Data Vlaue (Cr)'!$C:$FB,82)</f>
        <v>-2.5700000000000001E-2</v>
      </c>
    </row>
    <row r="189" spans="1:15" x14ac:dyDescent="0.25">
      <c r="A189" s="97" t="str">
        <f>'Data Vlaue (Cr)'!C184</f>
        <v>SIEMENS</v>
      </c>
      <c r="B189" s="142">
        <f>VLOOKUP(A189,'Data Vlaue (Cr)'!C184:CW398,99,0)</f>
        <v>1766</v>
      </c>
      <c r="C189" s="90">
        <f>VLOOKUP(A189,'Data Vlaue (Cr)'!C184:CY398,101,0)</f>
        <v>7</v>
      </c>
      <c r="D189" s="139">
        <f>VLOOKUP(A189,'Data Vlaue (Cr)'!C184:CZ398,102,0)</f>
        <v>4.0000000000000001E-3</v>
      </c>
      <c r="E189" s="91">
        <f>VLOOKUP($A189,'Data Vlaue (Cr)'!$C:$FB,75)</f>
        <v>1161</v>
      </c>
      <c r="F189" s="91">
        <f>VLOOKUP($A189,'Data Vlaue (Cr)'!$C:$FB,77)</f>
        <v>7</v>
      </c>
      <c r="G189" s="92">
        <f>VLOOKUP(A189,'Data Vlaue (Cr)'!C184:CB398,78,0)</f>
        <v>6.0000000000000001E-3</v>
      </c>
      <c r="H189" s="91">
        <f>VLOOKUP($A189,'Data Vlaue (Cr)'!$C:$FB,91)</f>
        <v>403</v>
      </c>
      <c r="I189" s="91">
        <f>VLOOKUP($A189,'Data Vlaue (Cr)'!$C:$FB,93)</f>
        <v>6</v>
      </c>
      <c r="J189" s="92">
        <f>VLOOKUP($A189,'Data Vlaue (Cr)'!$C:$FB,94)</f>
        <v>1.4E-2</v>
      </c>
      <c r="K189" s="91">
        <f>VLOOKUP($A189,'Data Vlaue (Cr)'!$C:$FB,95)</f>
        <v>203</v>
      </c>
      <c r="L189" s="91">
        <f>VLOOKUP($A189,'Data Vlaue (Cr)'!$C:$FB,97)</f>
        <v>-5</v>
      </c>
      <c r="M189" s="92">
        <f>VLOOKUP($A189,'Data Vlaue (Cr)'!$C:$FB,98)</f>
        <v>-2.6200000000000001E-2</v>
      </c>
      <c r="N189" s="91">
        <f>VLOOKUP($A189,'Data Vlaue (Cr)'!$C:$FB,79)</f>
        <v>1141</v>
      </c>
      <c r="O189" s="92">
        <f>VLOOKUP($A189,'Data Vlaue (Cr)'!$C:$FB,82)</f>
        <v>3.0000000000000001E-3</v>
      </c>
    </row>
    <row r="190" spans="1:15" x14ac:dyDescent="0.25">
      <c r="A190" s="97" t="str">
        <f>'Data Vlaue (Cr)'!C185</f>
        <v>SOLARINDS</v>
      </c>
      <c r="B190" s="142">
        <f>VLOOKUP(A190,'Data Vlaue (Cr)'!C185:CW399,99,0)</f>
        <v>1500</v>
      </c>
      <c r="C190" s="90">
        <f>VLOOKUP(A190,'Data Vlaue (Cr)'!C185:CY399,101,0)</f>
        <v>-7</v>
      </c>
      <c r="D190" s="139">
        <f>VLOOKUP(A190,'Data Vlaue (Cr)'!C185:CZ399,102,0)</f>
        <v>-4.7000000000000002E-3</v>
      </c>
      <c r="E190" s="91">
        <f>VLOOKUP($A190,'Data Vlaue (Cr)'!$C:$FB,75)</f>
        <v>1182</v>
      </c>
      <c r="F190" s="91">
        <f>VLOOKUP($A190,'Data Vlaue (Cr)'!$C:$FB,77)</f>
        <v>-18</v>
      </c>
      <c r="G190" s="92">
        <f>VLOOKUP(A190,'Data Vlaue (Cr)'!C185:CB399,78,0)</f>
        <v>-1.4999999999999999E-2</v>
      </c>
      <c r="H190" s="91">
        <f>VLOOKUP($A190,'Data Vlaue (Cr)'!$C:$FB,91)</f>
        <v>180</v>
      </c>
      <c r="I190" s="91">
        <f>VLOOKUP($A190,'Data Vlaue (Cr)'!$C:$FB,93)</f>
        <v>10</v>
      </c>
      <c r="J190" s="92">
        <f>VLOOKUP($A190,'Data Vlaue (Cr)'!$C:$FB,94)</f>
        <v>5.6899999999999999E-2</v>
      </c>
      <c r="K190" s="91">
        <f>VLOOKUP($A190,'Data Vlaue (Cr)'!$C:$FB,95)</f>
        <v>138</v>
      </c>
      <c r="L190" s="91">
        <f>VLOOKUP($A190,'Data Vlaue (Cr)'!$C:$FB,97)</f>
        <v>1</v>
      </c>
      <c r="M190" s="92">
        <f>VLOOKUP($A190,'Data Vlaue (Cr)'!$C:$FB,98)</f>
        <v>9.2999999999999992E-3</v>
      </c>
      <c r="N190" s="91">
        <f>VLOOKUP($A190,'Data Vlaue (Cr)'!$C:$FB,79)</f>
        <v>1094</v>
      </c>
      <c r="O190" s="92">
        <f>VLOOKUP($A190,'Data Vlaue (Cr)'!$C:$FB,82)</f>
        <v>-1.7500000000000002E-2</v>
      </c>
    </row>
    <row r="191" spans="1:15" x14ac:dyDescent="0.25">
      <c r="A191" s="97" t="str">
        <f>'Data Vlaue (Cr)'!C186</f>
        <v>SONACOMS</v>
      </c>
      <c r="B191" s="142">
        <f>VLOOKUP(A191,'Data Vlaue (Cr)'!C186:CW400,99,0)</f>
        <v>1363</v>
      </c>
      <c r="C191" s="90">
        <f>VLOOKUP(A191,'Data Vlaue (Cr)'!C186:CY400,101,0)</f>
        <v>-20</v>
      </c>
      <c r="D191" s="139">
        <f>VLOOKUP(A191,'Data Vlaue (Cr)'!C186:CZ400,102,0)</f>
        <v>-1.4800000000000001E-2</v>
      </c>
      <c r="E191" s="91">
        <f>VLOOKUP($A191,'Data Vlaue (Cr)'!$C:$FB,75)</f>
        <v>927</v>
      </c>
      <c r="F191" s="91">
        <f>VLOOKUP($A191,'Data Vlaue (Cr)'!$C:$FB,77)</f>
        <v>-16</v>
      </c>
      <c r="G191" s="92">
        <f>VLOOKUP(A191,'Data Vlaue (Cr)'!C186:CB400,78,0)</f>
        <v>-1.6799999999999999E-2</v>
      </c>
      <c r="H191" s="91">
        <f>VLOOKUP($A191,'Data Vlaue (Cr)'!$C:$FB,91)</f>
        <v>276</v>
      </c>
      <c r="I191" s="91">
        <f>VLOOKUP($A191,'Data Vlaue (Cr)'!$C:$FB,93)</f>
        <v>-4</v>
      </c>
      <c r="J191" s="92">
        <f>VLOOKUP($A191,'Data Vlaue (Cr)'!$C:$FB,94)</f>
        <v>-1.5900000000000001E-2</v>
      </c>
      <c r="K191" s="91">
        <f>VLOOKUP($A191,'Data Vlaue (Cr)'!$C:$FB,95)</f>
        <v>160</v>
      </c>
      <c r="L191" s="91">
        <f>VLOOKUP($A191,'Data Vlaue (Cr)'!$C:$FB,97)</f>
        <v>0</v>
      </c>
      <c r="M191" s="92">
        <f>VLOOKUP($A191,'Data Vlaue (Cr)'!$C:$FB,98)</f>
        <v>-1.2999999999999999E-3</v>
      </c>
      <c r="N191" s="91">
        <f>VLOOKUP($A191,'Data Vlaue (Cr)'!$C:$FB,79)</f>
        <v>914</v>
      </c>
      <c r="O191" s="92">
        <f>VLOOKUP($A191,'Data Vlaue (Cr)'!$C:$FB,82)</f>
        <v>-1.8700000000000001E-2</v>
      </c>
    </row>
    <row r="192" spans="1:15" x14ac:dyDescent="0.25">
      <c r="A192" s="97" t="str">
        <f>'Data Vlaue (Cr)'!C187</f>
        <v>SRF</v>
      </c>
      <c r="B192" s="142">
        <f>VLOOKUP(A192,'Data Vlaue (Cr)'!C187:CW401,99,0)</f>
        <v>2088</v>
      </c>
      <c r="C192" s="90">
        <f>VLOOKUP(A192,'Data Vlaue (Cr)'!C187:CY401,101,0)</f>
        <v>349</v>
      </c>
      <c r="D192" s="139">
        <f>VLOOKUP(A192,'Data Vlaue (Cr)'!C187:CZ401,102,0)</f>
        <v>0.2006</v>
      </c>
      <c r="E192" s="91">
        <f>VLOOKUP($A192,'Data Vlaue (Cr)'!$C:$FB,75)</f>
        <v>1043</v>
      </c>
      <c r="F192" s="91">
        <f>VLOOKUP($A192,'Data Vlaue (Cr)'!$C:$FB,77)</f>
        <v>6</v>
      </c>
      <c r="G192" s="92">
        <f>VLOOKUP(A192,'Data Vlaue (Cr)'!C187:CB401,78,0)</f>
        <v>5.7000000000000002E-3</v>
      </c>
      <c r="H192" s="91">
        <f>VLOOKUP($A192,'Data Vlaue (Cr)'!$C:$FB,91)</f>
        <v>526</v>
      </c>
      <c r="I192" s="91">
        <f>VLOOKUP($A192,'Data Vlaue (Cr)'!$C:$FB,93)</f>
        <v>127</v>
      </c>
      <c r="J192" s="92">
        <f>VLOOKUP($A192,'Data Vlaue (Cr)'!$C:$FB,94)</f>
        <v>0.31790000000000002</v>
      </c>
      <c r="K192" s="91">
        <f>VLOOKUP($A192,'Data Vlaue (Cr)'!$C:$FB,95)</f>
        <v>520</v>
      </c>
      <c r="L192" s="91">
        <f>VLOOKUP($A192,'Data Vlaue (Cr)'!$C:$FB,97)</f>
        <v>216</v>
      </c>
      <c r="M192" s="92">
        <f>VLOOKUP($A192,'Data Vlaue (Cr)'!$C:$FB,98)</f>
        <v>0.71279999999999999</v>
      </c>
      <c r="N192" s="91">
        <f>VLOOKUP($A192,'Data Vlaue (Cr)'!$C:$FB,79)</f>
        <v>1023</v>
      </c>
      <c r="O192" s="92">
        <f>VLOOKUP($A192,'Data Vlaue (Cr)'!$C:$FB,82)</f>
        <v>3.2000000000000002E-3</v>
      </c>
    </row>
    <row r="193" spans="1:15" x14ac:dyDescent="0.25">
      <c r="A193" s="97" t="str">
        <f>'Data Vlaue (Cr)'!C188</f>
        <v>SUNPHARMA</v>
      </c>
      <c r="B193" s="142">
        <f>VLOOKUP(A193,'Data Vlaue (Cr)'!C188:CW402,99,0)</f>
        <v>8416</v>
      </c>
      <c r="C193" s="90">
        <f>VLOOKUP(A193,'Data Vlaue (Cr)'!C188:CY402,101,0)</f>
        <v>143</v>
      </c>
      <c r="D193" s="139">
        <f>VLOOKUP(A193,'Data Vlaue (Cr)'!C188:CZ402,102,0)</f>
        <v>1.72E-2</v>
      </c>
      <c r="E193" s="91">
        <f>VLOOKUP($A193,'Data Vlaue (Cr)'!$C:$FB,75)</f>
        <v>5220</v>
      </c>
      <c r="F193" s="91">
        <f>VLOOKUP($A193,'Data Vlaue (Cr)'!$C:$FB,77)</f>
        <v>14</v>
      </c>
      <c r="G193" s="92">
        <f>VLOOKUP(A193,'Data Vlaue (Cr)'!C188:CB402,78,0)</f>
        <v>2.5999999999999999E-3</v>
      </c>
      <c r="H193" s="91">
        <f>VLOOKUP($A193,'Data Vlaue (Cr)'!$C:$FB,91)</f>
        <v>1805</v>
      </c>
      <c r="I193" s="91">
        <f>VLOOKUP($A193,'Data Vlaue (Cr)'!$C:$FB,93)</f>
        <v>13</v>
      </c>
      <c r="J193" s="92">
        <f>VLOOKUP($A193,'Data Vlaue (Cr)'!$C:$FB,94)</f>
        <v>7.4000000000000003E-3</v>
      </c>
      <c r="K193" s="91">
        <f>VLOOKUP($A193,'Data Vlaue (Cr)'!$C:$FB,95)</f>
        <v>1391</v>
      </c>
      <c r="L193" s="91">
        <f>VLOOKUP($A193,'Data Vlaue (Cr)'!$C:$FB,97)</f>
        <v>116</v>
      </c>
      <c r="M193" s="92">
        <f>VLOOKUP($A193,'Data Vlaue (Cr)'!$C:$FB,98)</f>
        <v>9.0700000000000003E-2</v>
      </c>
      <c r="N193" s="91">
        <f>VLOOKUP($A193,'Data Vlaue (Cr)'!$C:$FB,79)</f>
        <v>4525</v>
      </c>
      <c r="O193" s="92">
        <f>VLOOKUP($A193,'Data Vlaue (Cr)'!$C:$FB,82)</f>
        <v>2.9999999999999997E-4</v>
      </c>
    </row>
    <row r="194" spans="1:15" x14ac:dyDescent="0.25">
      <c r="A194" s="97" t="str">
        <f>'Data Vlaue (Cr)'!C189</f>
        <v>SUPREMEIND</v>
      </c>
      <c r="B194" s="142">
        <f>VLOOKUP(A194,'Data Vlaue (Cr)'!C189:CW403,99,0)</f>
        <v>1312</v>
      </c>
      <c r="C194" s="90">
        <f>VLOOKUP(A194,'Data Vlaue (Cr)'!C189:CY403,101,0)</f>
        <v>-23</v>
      </c>
      <c r="D194" s="139">
        <f>VLOOKUP(A194,'Data Vlaue (Cr)'!C189:CZ403,102,0)</f>
        <v>-1.6899999999999998E-2</v>
      </c>
      <c r="E194" s="91">
        <f>VLOOKUP($A194,'Data Vlaue (Cr)'!$C:$FB,75)</f>
        <v>829</v>
      </c>
      <c r="F194" s="91">
        <f>VLOOKUP($A194,'Data Vlaue (Cr)'!$C:$FB,77)</f>
        <v>-2</v>
      </c>
      <c r="G194" s="92">
        <f>VLOOKUP(A194,'Data Vlaue (Cr)'!C189:CB403,78,0)</f>
        <v>-3.0000000000000001E-3</v>
      </c>
      <c r="H194" s="91">
        <f>VLOOKUP($A194,'Data Vlaue (Cr)'!$C:$FB,91)</f>
        <v>339</v>
      </c>
      <c r="I194" s="91">
        <f>VLOOKUP($A194,'Data Vlaue (Cr)'!$C:$FB,93)</f>
        <v>-15</v>
      </c>
      <c r="J194" s="92">
        <f>VLOOKUP($A194,'Data Vlaue (Cr)'!$C:$FB,94)</f>
        <v>-4.2200000000000001E-2</v>
      </c>
      <c r="K194" s="91">
        <f>VLOOKUP($A194,'Data Vlaue (Cr)'!$C:$FB,95)</f>
        <v>144</v>
      </c>
      <c r="L194" s="91">
        <f>VLOOKUP($A194,'Data Vlaue (Cr)'!$C:$FB,97)</f>
        <v>-5</v>
      </c>
      <c r="M194" s="92">
        <f>VLOOKUP($A194,'Data Vlaue (Cr)'!$C:$FB,98)</f>
        <v>-3.4599999999999999E-2</v>
      </c>
      <c r="N194" s="91">
        <f>VLOOKUP($A194,'Data Vlaue (Cr)'!$C:$FB,79)</f>
        <v>815</v>
      </c>
      <c r="O194" s="92">
        <f>VLOOKUP($A194,'Data Vlaue (Cr)'!$C:$FB,82)</f>
        <v>-4.1999999999999997E-3</v>
      </c>
    </row>
    <row r="195" spans="1:15" x14ac:dyDescent="0.25">
      <c r="A195" s="97" t="str">
        <f>'Data Vlaue (Cr)'!C190</f>
        <v>SUZLON</v>
      </c>
      <c r="B195" s="142">
        <f>VLOOKUP(A195,'Data Vlaue (Cr)'!C190:CW404,99,0)</f>
        <v>2830</v>
      </c>
      <c r="C195" s="90">
        <f>VLOOKUP(A195,'Data Vlaue (Cr)'!C190:CY404,101,0)</f>
        <v>66</v>
      </c>
      <c r="D195" s="139">
        <f>VLOOKUP(A195,'Data Vlaue (Cr)'!C190:CZ404,102,0)</f>
        <v>2.3800000000000002E-2</v>
      </c>
      <c r="E195" s="91">
        <f>VLOOKUP($A195,'Data Vlaue (Cr)'!$C:$FB,75)</f>
        <v>1619</v>
      </c>
      <c r="F195" s="91">
        <f>VLOOKUP($A195,'Data Vlaue (Cr)'!$C:$FB,77)</f>
        <v>18</v>
      </c>
      <c r="G195" s="92">
        <f>VLOOKUP(A195,'Data Vlaue (Cr)'!C190:CB404,78,0)</f>
        <v>1.12E-2</v>
      </c>
      <c r="H195" s="91">
        <f>VLOOKUP($A195,'Data Vlaue (Cr)'!$C:$FB,91)</f>
        <v>875</v>
      </c>
      <c r="I195" s="91">
        <f>VLOOKUP($A195,'Data Vlaue (Cr)'!$C:$FB,93)</f>
        <v>40</v>
      </c>
      <c r="J195" s="92">
        <f>VLOOKUP($A195,'Data Vlaue (Cr)'!$C:$FB,94)</f>
        <v>4.7600000000000003E-2</v>
      </c>
      <c r="K195" s="91">
        <f>VLOOKUP($A195,'Data Vlaue (Cr)'!$C:$FB,95)</f>
        <v>337</v>
      </c>
      <c r="L195" s="91">
        <f>VLOOKUP($A195,'Data Vlaue (Cr)'!$C:$FB,97)</f>
        <v>8</v>
      </c>
      <c r="M195" s="92">
        <f>VLOOKUP($A195,'Data Vlaue (Cr)'!$C:$FB,98)</f>
        <v>2.46E-2</v>
      </c>
      <c r="N195" s="91">
        <f>VLOOKUP($A195,'Data Vlaue (Cr)'!$C:$FB,79)</f>
        <v>1454</v>
      </c>
      <c r="O195" s="92">
        <f>VLOOKUP($A195,'Data Vlaue (Cr)'!$C:$FB,82)</f>
        <v>4.1999999999999997E-3</v>
      </c>
    </row>
    <row r="196" spans="1:15" x14ac:dyDescent="0.25">
      <c r="A196" s="97" t="str">
        <f>'Data Vlaue (Cr)'!C191</f>
        <v>SWIGGY</v>
      </c>
      <c r="B196" s="142">
        <f>VLOOKUP(A196,'Data Vlaue (Cr)'!C191:CW405,99,0)</f>
        <v>1673</v>
      </c>
      <c r="C196" s="90">
        <f>VLOOKUP(A196,'Data Vlaue (Cr)'!C191:CY405,101,0)</f>
        <v>9</v>
      </c>
      <c r="D196" s="139">
        <f>VLOOKUP(A196,'Data Vlaue (Cr)'!C191:CZ405,102,0)</f>
        <v>5.4000000000000003E-3</v>
      </c>
      <c r="E196" s="91">
        <f>VLOOKUP($A196,'Data Vlaue (Cr)'!$C:$FB,75)</f>
        <v>1207</v>
      </c>
      <c r="F196" s="91">
        <f>VLOOKUP($A196,'Data Vlaue (Cr)'!$C:$FB,77)</f>
        <v>1</v>
      </c>
      <c r="G196" s="92">
        <f>VLOOKUP(A196,'Data Vlaue (Cr)'!C191:CB405,78,0)</f>
        <v>8.0000000000000004E-4</v>
      </c>
      <c r="H196" s="91">
        <f>VLOOKUP($A196,'Data Vlaue (Cr)'!$C:$FB,91)</f>
        <v>292</v>
      </c>
      <c r="I196" s="91">
        <f>VLOOKUP($A196,'Data Vlaue (Cr)'!$C:$FB,93)</f>
        <v>3</v>
      </c>
      <c r="J196" s="92">
        <f>VLOOKUP($A196,'Data Vlaue (Cr)'!$C:$FB,94)</f>
        <v>1.1900000000000001E-2</v>
      </c>
      <c r="K196" s="91">
        <f>VLOOKUP($A196,'Data Vlaue (Cr)'!$C:$FB,95)</f>
        <v>173</v>
      </c>
      <c r="L196" s="91">
        <f>VLOOKUP($A196,'Data Vlaue (Cr)'!$C:$FB,97)</f>
        <v>5</v>
      </c>
      <c r="M196" s="92">
        <f>VLOOKUP($A196,'Data Vlaue (Cr)'!$C:$FB,98)</f>
        <v>2.69E-2</v>
      </c>
      <c r="N196" s="91">
        <f>VLOOKUP($A196,'Data Vlaue (Cr)'!$C:$FB,79)</f>
        <v>1170</v>
      </c>
      <c r="O196" s="92">
        <f>VLOOKUP($A196,'Data Vlaue (Cr)'!$C:$FB,82)</f>
        <v>4.0000000000000002E-4</v>
      </c>
    </row>
    <row r="197" spans="1:15" x14ac:dyDescent="0.25">
      <c r="A197" s="97" t="str">
        <f>'Data Vlaue (Cr)'!C192</f>
        <v>TATACONSUM</v>
      </c>
      <c r="B197" s="142">
        <f>VLOOKUP(A197,'Data Vlaue (Cr)'!C192:CW406,99,0)</f>
        <v>1621</v>
      </c>
      <c r="C197" s="90">
        <f>VLOOKUP(A197,'Data Vlaue (Cr)'!C192:CY406,101,0)</f>
        <v>66</v>
      </c>
      <c r="D197" s="139">
        <f>VLOOKUP(A197,'Data Vlaue (Cr)'!C192:CZ406,102,0)</f>
        <v>4.2299999999999997E-2</v>
      </c>
      <c r="E197" s="91">
        <f>VLOOKUP($A197,'Data Vlaue (Cr)'!$C:$FB,75)</f>
        <v>1104</v>
      </c>
      <c r="F197" s="91">
        <f>VLOOKUP($A197,'Data Vlaue (Cr)'!$C:$FB,77)</f>
        <v>4</v>
      </c>
      <c r="G197" s="92">
        <f>VLOOKUP(A197,'Data Vlaue (Cr)'!C192:CB406,78,0)</f>
        <v>4.0000000000000001E-3</v>
      </c>
      <c r="H197" s="91">
        <f>VLOOKUP($A197,'Data Vlaue (Cr)'!$C:$FB,91)</f>
        <v>353</v>
      </c>
      <c r="I197" s="91">
        <f>VLOOKUP($A197,'Data Vlaue (Cr)'!$C:$FB,93)</f>
        <v>55</v>
      </c>
      <c r="J197" s="92">
        <f>VLOOKUP($A197,'Data Vlaue (Cr)'!$C:$FB,94)</f>
        <v>0.18540000000000001</v>
      </c>
      <c r="K197" s="91">
        <f>VLOOKUP($A197,'Data Vlaue (Cr)'!$C:$FB,95)</f>
        <v>165</v>
      </c>
      <c r="L197" s="91">
        <f>VLOOKUP($A197,'Data Vlaue (Cr)'!$C:$FB,97)</f>
        <v>6</v>
      </c>
      <c r="M197" s="92">
        <f>VLOOKUP($A197,'Data Vlaue (Cr)'!$C:$FB,98)</f>
        <v>3.9300000000000002E-2</v>
      </c>
      <c r="N197" s="91">
        <f>VLOOKUP($A197,'Data Vlaue (Cr)'!$C:$FB,79)</f>
        <v>990</v>
      </c>
      <c r="O197" s="92">
        <f>VLOOKUP($A197,'Data Vlaue (Cr)'!$C:$FB,82)</f>
        <v>2.8E-3</v>
      </c>
    </row>
    <row r="198" spans="1:15" x14ac:dyDescent="0.25">
      <c r="A198" s="97" t="str">
        <f>'Data Vlaue (Cr)'!C193</f>
        <v>TATAELXSI</v>
      </c>
      <c r="B198" s="142">
        <f>VLOOKUP(A198,'Data Vlaue (Cr)'!C193:CW407,99,0)</f>
        <v>1857</v>
      </c>
      <c r="C198" s="90">
        <f>VLOOKUP(A198,'Data Vlaue (Cr)'!C193:CY407,101,0)</f>
        <v>-6</v>
      </c>
      <c r="D198" s="139">
        <f>VLOOKUP(A198,'Data Vlaue (Cr)'!C193:CZ407,102,0)</f>
        <v>-3.3E-3</v>
      </c>
      <c r="E198" s="91">
        <f>VLOOKUP($A198,'Data Vlaue (Cr)'!$C:$FB,75)</f>
        <v>1003</v>
      </c>
      <c r="F198" s="91">
        <f>VLOOKUP($A198,'Data Vlaue (Cr)'!$C:$FB,77)</f>
        <v>-23</v>
      </c>
      <c r="G198" s="92">
        <f>VLOOKUP(A198,'Data Vlaue (Cr)'!C193:CB407,78,0)</f>
        <v>-2.2700000000000001E-2</v>
      </c>
      <c r="H198" s="91">
        <f>VLOOKUP($A198,'Data Vlaue (Cr)'!$C:$FB,91)</f>
        <v>589</v>
      </c>
      <c r="I198" s="91">
        <f>VLOOKUP($A198,'Data Vlaue (Cr)'!$C:$FB,93)</f>
        <v>3</v>
      </c>
      <c r="J198" s="92">
        <f>VLOOKUP($A198,'Data Vlaue (Cr)'!$C:$FB,94)</f>
        <v>4.7999999999999996E-3</v>
      </c>
      <c r="K198" s="91">
        <f>VLOOKUP($A198,'Data Vlaue (Cr)'!$C:$FB,95)</f>
        <v>265</v>
      </c>
      <c r="L198" s="91">
        <f>VLOOKUP($A198,'Data Vlaue (Cr)'!$C:$FB,97)</f>
        <v>14</v>
      </c>
      <c r="M198" s="92">
        <f>VLOOKUP($A198,'Data Vlaue (Cr)'!$C:$FB,98)</f>
        <v>5.7200000000000001E-2</v>
      </c>
      <c r="N198" s="91">
        <f>VLOOKUP($A198,'Data Vlaue (Cr)'!$C:$FB,79)</f>
        <v>916</v>
      </c>
      <c r="O198" s="92">
        <f>VLOOKUP($A198,'Data Vlaue (Cr)'!$C:$FB,82)</f>
        <v>-2.6599999999999999E-2</v>
      </c>
    </row>
    <row r="199" spans="1:15" x14ac:dyDescent="0.25">
      <c r="A199" s="97" t="str">
        <f>'Data Vlaue (Cr)'!C194</f>
        <v>TATAPOWER</v>
      </c>
      <c r="B199" s="142">
        <f>VLOOKUP(A199,'Data Vlaue (Cr)'!C194:CW408,99,0)</f>
        <v>4304</v>
      </c>
      <c r="C199" s="90">
        <f>VLOOKUP(A199,'Data Vlaue (Cr)'!C194:CY408,101,0)</f>
        <v>22</v>
      </c>
      <c r="D199" s="139">
        <f>VLOOKUP(A199,'Data Vlaue (Cr)'!C194:CZ408,102,0)</f>
        <v>5.1999999999999998E-3</v>
      </c>
      <c r="E199" s="91">
        <f>VLOOKUP($A199,'Data Vlaue (Cr)'!$C:$FB,75)</f>
        <v>2388</v>
      </c>
      <c r="F199" s="91">
        <f>VLOOKUP($A199,'Data Vlaue (Cr)'!$C:$FB,77)</f>
        <v>22</v>
      </c>
      <c r="G199" s="92">
        <f>VLOOKUP(A199,'Data Vlaue (Cr)'!C194:CB408,78,0)</f>
        <v>9.1999999999999998E-3</v>
      </c>
      <c r="H199" s="91">
        <f>VLOOKUP($A199,'Data Vlaue (Cr)'!$C:$FB,91)</f>
        <v>1196</v>
      </c>
      <c r="I199" s="91">
        <f>VLOOKUP($A199,'Data Vlaue (Cr)'!$C:$FB,93)</f>
        <v>24</v>
      </c>
      <c r="J199" s="92">
        <f>VLOOKUP($A199,'Data Vlaue (Cr)'!$C:$FB,94)</f>
        <v>2.0400000000000001E-2</v>
      </c>
      <c r="K199" s="91">
        <f>VLOOKUP($A199,'Data Vlaue (Cr)'!$C:$FB,95)</f>
        <v>720</v>
      </c>
      <c r="L199" s="91">
        <f>VLOOKUP($A199,'Data Vlaue (Cr)'!$C:$FB,97)</f>
        <v>-23</v>
      </c>
      <c r="M199" s="92">
        <f>VLOOKUP($A199,'Data Vlaue (Cr)'!$C:$FB,98)</f>
        <v>-3.15E-2</v>
      </c>
      <c r="N199" s="91">
        <f>VLOOKUP($A199,'Data Vlaue (Cr)'!$C:$FB,79)</f>
        <v>2312</v>
      </c>
      <c r="O199" s="92">
        <f>VLOOKUP($A199,'Data Vlaue (Cr)'!$C:$FB,82)</f>
        <v>6.0000000000000001E-3</v>
      </c>
    </row>
    <row r="200" spans="1:15" x14ac:dyDescent="0.25">
      <c r="A200" s="97" t="str">
        <f>'Data Vlaue (Cr)'!C195</f>
        <v>TATASTEEL</v>
      </c>
      <c r="B200" s="142">
        <f>VLOOKUP(A200,'Data Vlaue (Cr)'!C195:CW409,99,0)</f>
        <v>7026</v>
      </c>
      <c r="C200" s="90">
        <f>VLOOKUP(A200,'Data Vlaue (Cr)'!C195:CY409,101,0)</f>
        <v>28</v>
      </c>
      <c r="D200" s="139">
        <f>VLOOKUP(A200,'Data Vlaue (Cr)'!C195:CZ409,102,0)</f>
        <v>4.0000000000000001E-3</v>
      </c>
      <c r="E200" s="91">
        <f>VLOOKUP($A200,'Data Vlaue (Cr)'!$C:$FB,75)</f>
        <v>4037</v>
      </c>
      <c r="F200" s="91">
        <f>VLOOKUP($A200,'Data Vlaue (Cr)'!$C:$FB,77)</f>
        <v>11</v>
      </c>
      <c r="G200" s="92">
        <f>VLOOKUP(A200,'Data Vlaue (Cr)'!C195:CB409,78,0)</f>
        <v>2.8E-3</v>
      </c>
      <c r="H200" s="91">
        <f>VLOOKUP($A200,'Data Vlaue (Cr)'!$C:$FB,91)</f>
        <v>1748</v>
      </c>
      <c r="I200" s="91">
        <f>VLOOKUP($A200,'Data Vlaue (Cr)'!$C:$FB,93)</f>
        <v>-58</v>
      </c>
      <c r="J200" s="92">
        <f>VLOOKUP($A200,'Data Vlaue (Cr)'!$C:$FB,94)</f>
        <v>-3.2000000000000001E-2</v>
      </c>
      <c r="K200" s="91">
        <f>VLOOKUP($A200,'Data Vlaue (Cr)'!$C:$FB,95)</f>
        <v>1241</v>
      </c>
      <c r="L200" s="91">
        <f>VLOOKUP($A200,'Data Vlaue (Cr)'!$C:$FB,97)</f>
        <v>75</v>
      </c>
      <c r="M200" s="92">
        <f>VLOOKUP($A200,'Data Vlaue (Cr)'!$C:$FB,98)</f>
        <v>6.3899999999999998E-2</v>
      </c>
      <c r="N200" s="91">
        <f>VLOOKUP($A200,'Data Vlaue (Cr)'!$C:$FB,79)</f>
        <v>3721</v>
      </c>
      <c r="O200" s="92">
        <f>VLOOKUP($A200,'Data Vlaue (Cr)'!$C:$FB,82)</f>
        <v>8.9999999999999998E-4</v>
      </c>
    </row>
    <row r="201" spans="1:15" x14ac:dyDescent="0.25">
      <c r="A201" s="97" t="str">
        <f>'Data Vlaue (Cr)'!C196</f>
        <v>TCS</v>
      </c>
      <c r="B201" s="142">
        <f>VLOOKUP(A201,'Data Vlaue (Cr)'!C196:CW410,99,0)</f>
        <v>14757</v>
      </c>
      <c r="C201" s="90">
        <f>VLOOKUP(A201,'Data Vlaue (Cr)'!C196:CY410,101,0)</f>
        <v>798</v>
      </c>
      <c r="D201" s="139">
        <f>VLOOKUP(A201,'Data Vlaue (Cr)'!C196:CZ410,102,0)</f>
        <v>5.7200000000000001E-2</v>
      </c>
      <c r="E201" s="91">
        <f>VLOOKUP($A201,'Data Vlaue (Cr)'!$C:$FB,75)</f>
        <v>9353</v>
      </c>
      <c r="F201" s="91">
        <f>VLOOKUP($A201,'Data Vlaue (Cr)'!$C:$FB,77)</f>
        <v>313</v>
      </c>
      <c r="G201" s="92">
        <f>VLOOKUP(A201,'Data Vlaue (Cr)'!C196:CB410,78,0)</f>
        <v>3.4599999999999999E-2</v>
      </c>
      <c r="H201" s="91">
        <f>VLOOKUP($A201,'Data Vlaue (Cr)'!$C:$FB,91)</f>
        <v>3209</v>
      </c>
      <c r="I201" s="91">
        <f>VLOOKUP($A201,'Data Vlaue (Cr)'!$C:$FB,93)</f>
        <v>336</v>
      </c>
      <c r="J201" s="92">
        <f>VLOOKUP($A201,'Data Vlaue (Cr)'!$C:$FB,94)</f>
        <v>0.1168</v>
      </c>
      <c r="K201" s="91">
        <f>VLOOKUP($A201,'Data Vlaue (Cr)'!$C:$FB,95)</f>
        <v>2195</v>
      </c>
      <c r="L201" s="91">
        <f>VLOOKUP($A201,'Data Vlaue (Cr)'!$C:$FB,97)</f>
        <v>150</v>
      </c>
      <c r="M201" s="92">
        <f>VLOOKUP($A201,'Data Vlaue (Cr)'!$C:$FB,98)</f>
        <v>7.3300000000000004E-2</v>
      </c>
      <c r="N201" s="91">
        <f>VLOOKUP($A201,'Data Vlaue (Cr)'!$C:$FB,79)</f>
        <v>8586</v>
      </c>
      <c r="O201" s="92">
        <f>VLOOKUP($A201,'Data Vlaue (Cr)'!$C:$FB,82)</f>
        <v>2.53E-2</v>
      </c>
    </row>
    <row r="202" spans="1:15" x14ac:dyDescent="0.25">
      <c r="A202" s="97" t="str">
        <f>'Data Vlaue (Cr)'!C197</f>
        <v>TECHM</v>
      </c>
      <c r="B202" s="142">
        <f>VLOOKUP(A202,'Data Vlaue (Cr)'!C197:CW411,99,0)</f>
        <v>4517</v>
      </c>
      <c r="C202" s="90">
        <f>VLOOKUP(A202,'Data Vlaue (Cr)'!C197:CY411,101,0)</f>
        <v>14</v>
      </c>
      <c r="D202" s="139">
        <f>VLOOKUP(A202,'Data Vlaue (Cr)'!C197:CZ411,102,0)</f>
        <v>3.2000000000000002E-3</v>
      </c>
      <c r="E202" s="91">
        <f>VLOOKUP($A202,'Data Vlaue (Cr)'!$C:$FB,75)</f>
        <v>2880</v>
      </c>
      <c r="F202" s="91">
        <f>VLOOKUP($A202,'Data Vlaue (Cr)'!$C:$FB,77)</f>
        <v>21</v>
      </c>
      <c r="G202" s="92">
        <f>VLOOKUP(A202,'Data Vlaue (Cr)'!C197:CB411,78,0)</f>
        <v>7.1999999999999998E-3</v>
      </c>
      <c r="H202" s="91">
        <f>VLOOKUP($A202,'Data Vlaue (Cr)'!$C:$FB,91)</f>
        <v>977</v>
      </c>
      <c r="I202" s="91">
        <f>VLOOKUP($A202,'Data Vlaue (Cr)'!$C:$FB,93)</f>
        <v>13</v>
      </c>
      <c r="J202" s="92">
        <f>VLOOKUP($A202,'Data Vlaue (Cr)'!$C:$FB,94)</f>
        <v>1.2999999999999999E-2</v>
      </c>
      <c r="K202" s="91">
        <f>VLOOKUP($A202,'Data Vlaue (Cr)'!$C:$FB,95)</f>
        <v>660</v>
      </c>
      <c r="L202" s="91">
        <f>VLOOKUP($A202,'Data Vlaue (Cr)'!$C:$FB,97)</f>
        <v>-19</v>
      </c>
      <c r="M202" s="92">
        <f>VLOOKUP($A202,'Data Vlaue (Cr)'!$C:$FB,98)</f>
        <v>-2.7699999999999999E-2</v>
      </c>
      <c r="N202" s="91">
        <f>VLOOKUP($A202,'Data Vlaue (Cr)'!$C:$FB,79)</f>
        <v>2803</v>
      </c>
      <c r="O202" s="92">
        <f>VLOOKUP($A202,'Data Vlaue (Cr)'!$C:$FB,82)</f>
        <v>6.0000000000000001E-3</v>
      </c>
    </row>
    <row r="203" spans="1:15" x14ac:dyDescent="0.25">
      <c r="A203" s="97" t="str">
        <f>'Data Vlaue (Cr)'!C198</f>
        <v>TIINDIA</v>
      </c>
      <c r="B203" s="142">
        <f>VLOOKUP(A203,'Data Vlaue (Cr)'!C198:CW412,99,0)</f>
        <v>909</v>
      </c>
      <c r="C203" s="90">
        <f>VLOOKUP(A203,'Data Vlaue (Cr)'!C198:CY412,101,0)</f>
        <v>27</v>
      </c>
      <c r="D203" s="139">
        <f>VLOOKUP(A203,'Data Vlaue (Cr)'!C198:CZ412,102,0)</f>
        <v>3.0099999999999998E-2</v>
      </c>
      <c r="E203" s="91">
        <f>VLOOKUP($A203,'Data Vlaue (Cr)'!$C:$FB,75)</f>
        <v>712</v>
      </c>
      <c r="F203" s="91">
        <f>VLOOKUP($A203,'Data Vlaue (Cr)'!$C:$FB,77)</f>
        <v>-5</v>
      </c>
      <c r="G203" s="92">
        <f>VLOOKUP(A203,'Data Vlaue (Cr)'!C198:CB412,78,0)</f>
        <v>-7.4000000000000003E-3</v>
      </c>
      <c r="H203" s="91">
        <f>VLOOKUP($A203,'Data Vlaue (Cr)'!$C:$FB,91)</f>
        <v>127</v>
      </c>
      <c r="I203" s="91">
        <f>VLOOKUP($A203,'Data Vlaue (Cr)'!$C:$FB,93)</f>
        <v>28</v>
      </c>
      <c r="J203" s="92">
        <f>VLOOKUP($A203,'Data Vlaue (Cr)'!$C:$FB,94)</f>
        <v>0.28839999999999999</v>
      </c>
      <c r="K203" s="91">
        <f>VLOOKUP($A203,'Data Vlaue (Cr)'!$C:$FB,95)</f>
        <v>70</v>
      </c>
      <c r="L203" s="91">
        <f>VLOOKUP($A203,'Data Vlaue (Cr)'!$C:$FB,97)</f>
        <v>3</v>
      </c>
      <c r="M203" s="92">
        <f>VLOOKUP($A203,'Data Vlaue (Cr)'!$C:$FB,98)</f>
        <v>5.1999999999999998E-2</v>
      </c>
      <c r="N203" s="91">
        <f>VLOOKUP($A203,'Data Vlaue (Cr)'!$C:$FB,79)</f>
        <v>705</v>
      </c>
      <c r="O203" s="92">
        <f>VLOOKUP($A203,'Data Vlaue (Cr)'!$C:$FB,82)</f>
        <v>-8.3000000000000001E-3</v>
      </c>
    </row>
    <row r="204" spans="1:15" x14ac:dyDescent="0.25">
      <c r="A204" s="97" t="str">
        <f>'Data Vlaue (Cr)'!C199</f>
        <v>TITAN</v>
      </c>
      <c r="B204" s="142">
        <f>VLOOKUP(A204,'Data Vlaue (Cr)'!C199:CW413,99,0)</f>
        <v>5246</v>
      </c>
      <c r="C204" s="90">
        <f>VLOOKUP(A204,'Data Vlaue (Cr)'!C199:CY413,101,0)</f>
        <v>-19</v>
      </c>
      <c r="D204" s="139">
        <f>VLOOKUP(A204,'Data Vlaue (Cr)'!C199:CZ413,102,0)</f>
        <v>-3.7000000000000002E-3</v>
      </c>
      <c r="E204" s="91">
        <f>VLOOKUP($A204,'Data Vlaue (Cr)'!$C:$FB,75)</f>
        <v>3808</v>
      </c>
      <c r="F204" s="91">
        <f>VLOOKUP($A204,'Data Vlaue (Cr)'!$C:$FB,77)</f>
        <v>-105</v>
      </c>
      <c r="G204" s="92">
        <f>VLOOKUP(A204,'Data Vlaue (Cr)'!C199:CB413,78,0)</f>
        <v>-2.69E-2</v>
      </c>
      <c r="H204" s="91">
        <f>VLOOKUP($A204,'Data Vlaue (Cr)'!$C:$FB,91)</f>
        <v>846</v>
      </c>
      <c r="I204" s="91">
        <f>VLOOKUP($A204,'Data Vlaue (Cr)'!$C:$FB,93)</f>
        <v>90</v>
      </c>
      <c r="J204" s="92">
        <f>VLOOKUP($A204,'Data Vlaue (Cr)'!$C:$FB,94)</f>
        <v>0.1188</v>
      </c>
      <c r="K204" s="91">
        <f>VLOOKUP($A204,'Data Vlaue (Cr)'!$C:$FB,95)</f>
        <v>591</v>
      </c>
      <c r="L204" s="91">
        <f>VLOOKUP($A204,'Data Vlaue (Cr)'!$C:$FB,97)</f>
        <v>-4</v>
      </c>
      <c r="M204" s="92">
        <f>VLOOKUP($A204,'Data Vlaue (Cr)'!$C:$FB,98)</f>
        <v>-6.6E-3</v>
      </c>
      <c r="N204" s="91">
        <f>VLOOKUP($A204,'Data Vlaue (Cr)'!$C:$FB,79)</f>
        <v>3406</v>
      </c>
      <c r="O204" s="92">
        <f>VLOOKUP($A204,'Data Vlaue (Cr)'!$C:$FB,82)</f>
        <v>-3.2399999999999998E-2</v>
      </c>
    </row>
    <row r="205" spans="1:15" x14ac:dyDescent="0.25">
      <c r="A205" s="97" t="str">
        <f>'Data Vlaue (Cr)'!C200</f>
        <v>TMPV</v>
      </c>
      <c r="B205" s="142">
        <f>VLOOKUP(A205,'Data Vlaue (Cr)'!C200:CW414,99,0)</f>
        <v>4083</v>
      </c>
      <c r="C205" s="90">
        <f>VLOOKUP(A205,'Data Vlaue (Cr)'!C200:CY414,101,0)</f>
        <v>38</v>
      </c>
      <c r="D205" s="139">
        <f>VLOOKUP(A205,'Data Vlaue (Cr)'!C200:CZ414,102,0)</f>
        <v>9.2999999999999992E-3</v>
      </c>
      <c r="E205" s="91">
        <f>VLOOKUP($A205,'Data Vlaue (Cr)'!$C:$FB,75)</f>
        <v>2488</v>
      </c>
      <c r="F205" s="91">
        <f>VLOOKUP($A205,'Data Vlaue (Cr)'!$C:$FB,77)</f>
        <v>-31</v>
      </c>
      <c r="G205" s="92">
        <f>VLOOKUP(A205,'Data Vlaue (Cr)'!C200:CB414,78,0)</f>
        <v>-1.2500000000000001E-2</v>
      </c>
      <c r="H205" s="91">
        <f>VLOOKUP($A205,'Data Vlaue (Cr)'!$C:$FB,91)</f>
        <v>970</v>
      </c>
      <c r="I205" s="91">
        <f>VLOOKUP($A205,'Data Vlaue (Cr)'!$C:$FB,93)</f>
        <v>36</v>
      </c>
      <c r="J205" s="92">
        <f>VLOOKUP($A205,'Data Vlaue (Cr)'!$C:$FB,94)</f>
        <v>3.7999999999999999E-2</v>
      </c>
      <c r="K205" s="91">
        <f>VLOOKUP($A205,'Data Vlaue (Cr)'!$C:$FB,95)</f>
        <v>626</v>
      </c>
      <c r="L205" s="91">
        <f>VLOOKUP($A205,'Data Vlaue (Cr)'!$C:$FB,97)</f>
        <v>33</v>
      </c>
      <c r="M205" s="92">
        <f>VLOOKUP($A205,'Data Vlaue (Cr)'!$C:$FB,98)</f>
        <v>5.6399999999999999E-2</v>
      </c>
      <c r="N205" s="91">
        <f>VLOOKUP($A205,'Data Vlaue (Cr)'!$C:$FB,79)</f>
        <v>2309</v>
      </c>
      <c r="O205" s="92">
        <f>VLOOKUP($A205,'Data Vlaue (Cr)'!$C:$FB,82)</f>
        <v>-1.0999999999999999E-2</v>
      </c>
    </row>
    <row r="206" spans="1:15" x14ac:dyDescent="0.25">
      <c r="A206" s="97" t="str">
        <f>'Data Vlaue (Cr)'!C201</f>
        <v>TORNTPHARM</v>
      </c>
      <c r="B206" s="142">
        <f>VLOOKUP(A206,'Data Vlaue (Cr)'!C201:CW415,99,0)</f>
        <v>1416</v>
      </c>
      <c r="C206" s="90">
        <f>VLOOKUP(A206,'Data Vlaue (Cr)'!C201:CY415,101,0)</f>
        <v>16</v>
      </c>
      <c r="D206" s="139">
        <f>VLOOKUP(A206,'Data Vlaue (Cr)'!C201:CZ415,102,0)</f>
        <v>1.15E-2</v>
      </c>
      <c r="E206" s="91">
        <f>VLOOKUP($A206,'Data Vlaue (Cr)'!$C:$FB,75)</f>
        <v>1135</v>
      </c>
      <c r="F206" s="91">
        <f>VLOOKUP($A206,'Data Vlaue (Cr)'!$C:$FB,77)</f>
        <v>2</v>
      </c>
      <c r="G206" s="92">
        <f>VLOOKUP(A206,'Data Vlaue (Cr)'!C201:CB415,78,0)</f>
        <v>1.5E-3</v>
      </c>
      <c r="H206" s="91">
        <f>VLOOKUP($A206,'Data Vlaue (Cr)'!$C:$FB,91)</f>
        <v>186</v>
      </c>
      <c r="I206" s="91">
        <f>VLOOKUP($A206,'Data Vlaue (Cr)'!$C:$FB,93)</f>
        <v>5</v>
      </c>
      <c r="J206" s="92">
        <f>VLOOKUP($A206,'Data Vlaue (Cr)'!$C:$FB,94)</f>
        <v>2.5000000000000001E-2</v>
      </c>
      <c r="K206" s="91">
        <f>VLOOKUP($A206,'Data Vlaue (Cr)'!$C:$FB,95)</f>
        <v>95</v>
      </c>
      <c r="L206" s="91">
        <f>VLOOKUP($A206,'Data Vlaue (Cr)'!$C:$FB,97)</f>
        <v>10</v>
      </c>
      <c r="M206" s="92">
        <f>VLOOKUP($A206,'Data Vlaue (Cr)'!$C:$FB,98)</f>
        <v>0.1159</v>
      </c>
      <c r="N206" s="91">
        <f>VLOOKUP($A206,'Data Vlaue (Cr)'!$C:$FB,79)</f>
        <v>1131</v>
      </c>
      <c r="O206" s="92">
        <f>VLOOKUP($A206,'Data Vlaue (Cr)'!$C:$FB,82)</f>
        <v>5.9999999999999995E-4</v>
      </c>
    </row>
    <row r="207" spans="1:15" x14ac:dyDescent="0.25">
      <c r="A207" s="97" t="str">
        <f>'Data Vlaue (Cr)'!C202</f>
        <v>TRENT</v>
      </c>
      <c r="B207" s="142">
        <f>VLOOKUP(A207,'Data Vlaue (Cr)'!C202:CW416,99,0)</f>
        <v>5079</v>
      </c>
      <c r="C207" s="90">
        <f>VLOOKUP(A207,'Data Vlaue (Cr)'!C202:CY416,101,0)</f>
        <v>-115</v>
      </c>
      <c r="D207" s="139">
        <f>VLOOKUP(A207,'Data Vlaue (Cr)'!C202:CZ416,102,0)</f>
        <v>-2.2200000000000001E-2</v>
      </c>
      <c r="E207" s="91">
        <f>VLOOKUP($A207,'Data Vlaue (Cr)'!$C:$FB,75)</f>
        <v>3047</v>
      </c>
      <c r="F207" s="91">
        <f>VLOOKUP($A207,'Data Vlaue (Cr)'!$C:$FB,77)</f>
        <v>-19</v>
      </c>
      <c r="G207" s="92">
        <f>VLOOKUP(A207,'Data Vlaue (Cr)'!C202:CB416,78,0)</f>
        <v>-6.1000000000000004E-3</v>
      </c>
      <c r="H207" s="91">
        <f>VLOOKUP($A207,'Data Vlaue (Cr)'!$C:$FB,91)</f>
        <v>1398</v>
      </c>
      <c r="I207" s="91">
        <f>VLOOKUP($A207,'Data Vlaue (Cr)'!$C:$FB,93)</f>
        <v>-136</v>
      </c>
      <c r="J207" s="92">
        <f>VLOOKUP($A207,'Data Vlaue (Cr)'!$C:$FB,94)</f>
        <v>-8.8700000000000001E-2</v>
      </c>
      <c r="K207" s="91">
        <f>VLOOKUP($A207,'Data Vlaue (Cr)'!$C:$FB,95)</f>
        <v>633</v>
      </c>
      <c r="L207" s="91">
        <f>VLOOKUP($A207,'Data Vlaue (Cr)'!$C:$FB,97)</f>
        <v>39</v>
      </c>
      <c r="M207" s="92">
        <f>VLOOKUP($A207,'Data Vlaue (Cr)'!$C:$FB,98)</f>
        <v>6.6500000000000004E-2</v>
      </c>
      <c r="N207" s="91">
        <f>VLOOKUP($A207,'Data Vlaue (Cr)'!$C:$FB,79)</f>
        <v>2899</v>
      </c>
      <c r="O207" s="92">
        <f>VLOOKUP($A207,'Data Vlaue (Cr)'!$C:$FB,82)</f>
        <v>-7.1000000000000004E-3</v>
      </c>
    </row>
    <row r="208" spans="1:15" x14ac:dyDescent="0.25">
      <c r="A208" s="97" t="str">
        <f>'Data Vlaue (Cr)'!C203</f>
        <v>TVSMOTOR</v>
      </c>
      <c r="B208" s="142">
        <f>VLOOKUP(A208,'Data Vlaue (Cr)'!C203:CW417,99,0)</f>
        <v>4020</v>
      </c>
      <c r="C208" s="90">
        <f>VLOOKUP(A208,'Data Vlaue (Cr)'!C203:CY417,101,0)</f>
        <v>-70</v>
      </c>
      <c r="D208" s="139">
        <f>VLOOKUP(A208,'Data Vlaue (Cr)'!C203:CZ417,102,0)</f>
        <v>-1.7100000000000001E-2</v>
      </c>
      <c r="E208" s="91">
        <f>VLOOKUP($A208,'Data Vlaue (Cr)'!$C:$FB,75)</f>
        <v>3091</v>
      </c>
      <c r="F208" s="91">
        <f>VLOOKUP($A208,'Data Vlaue (Cr)'!$C:$FB,77)</f>
        <v>-96</v>
      </c>
      <c r="G208" s="92">
        <f>VLOOKUP(A208,'Data Vlaue (Cr)'!C203:CB417,78,0)</f>
        <v>-0.03</v>
      </c>
      <c r="H208" s="91">
        <f>VLOOKUP($A208,'Data Vlaue (Cr)'!$C:$FB,91)</f>
        <v>579</v>
      </c>
      <c r="I208" s="91">
        <f>VLOOKUP($A208,'Data Vlaue (Cr)'!$C:$FB,93)</f>
        <v>9</v>
      </c>
      <c r="J208" s="92">
        <f>VLOOKUP($A208,'Data Vlaue (Cr)'!$C:$FB,94)</f>
        <v>1.6199999999999999E-2</v>
      </c>
      <c r="K208" s="91">
        <f>VLOOKUP($A208,'Data Vlaue (Cr)'!$C:$FB,95)</f>
        <v>350</v>
      </c>
      <c r="L208" s="91">
        <f>VLOOKUP($A208,'Data Vlaue (Cr)'!$C:$FB,97)</f>
        <v>16</v>
      </c>
      <c r="M208" s="92">
        <f>VLOOKUP($A208,'Data Vlaue (Cr)'!$C:$FB,98)</f>
        <v>4.9000000000000002E-2</v>
      </c>
      <c r="N208" s="91">
        <f>VLOOKUP($A208,'Data Vlaue (Cr)'!$C:$FB,79)</f>
        <v>2951</v>
      </c>
      <c r="O208" s="92">
        <f>VLOOKUP($A208,'Data Vlaue (Cr)'!$C:$FB,82)</f>
        <v>-3.0700000000000002E-2</v>
      </c>
    </row>
    <row r="209" spans="1:15" x14ac:dyDescent="0.25">
      <c r="A209" s="97" t="str">
        <f>'Data Vlaue (Cr)'!C204</f>
        <v>ULTRACEMCO</v>
      </c>
      <c r="B209" s="142">
        <f>VLOOKUP(A209,'Data Vlaue (Cr)'!C204:CW418,99,0)</f>
        <v>5331</v>
      </c>
      <c r="C209" s="90">
        <f>VLOOKUP(A209,'Data Vlaue (Cr)'!C204:CY418,101,0)</f>
        <v>-106</v>
      </c>
      <c r="D209" s="139">
        <f>VLOOKUP(A209,'Data Vlaue (Cr)'!C204:CZ418,102,0)</f>
        <v>-1.95E-2</v>
      </c>
      <c r="E209" s="91">
        <f>VLOOKUP($A209,'Data Vlaue (Cr)'!$C:$FB,75)</f>
        <v>3347</v>
      </c>
      <c r="F209" s="91">
        <f>VLOOKUP($A209,'Data Vlaue (Cr)'!$C:$FB,77)</f>
        <v>-27</v>
      </c>
      <c r="G209" s="92">
        <f>VLOOKUP(A209,'Data Vlaue (Cr)'!C204:CB418,78,0)</f>
        <v>-8.0999999999999996E-3</v>
      </c>
      <c r="H209" s="91">
        <f>VLOOKUP($A209,'Data Vlaue (Cr)'!$C:$FB,91)</f>
        <v>1407</v>
      </c>
      <c r="I209" s="91">
        <f>VLOOKUP($A209,'Data Vlaue (Cr)'!$C:$FB,93)</f>
        <v>-52</v>
      </c>
      <c r="J209" s="92">
        <f>VLOOKUP($A209,'Data Vlaue (Cr)'!$C:$FB,94)</f>
        <v>-3.5799999999999998E-2</v>
      </c>
      <c r="K209" s="91">
        <f>VLOOKUP($A209,'Data Vlaue (Cr)'!$C:$FB,95)</f>
        <v>578</v>
      </c>
      <c r="L209" s="91">
        <f>VLOOKUP($A209,'Data Vlaue (Cr)'!$C:$FB,97)</f>
        <v>-26</v>
      </c>
      <c r="M209" s="92">
        <f>VLOOKUP($A209,'Data Vlaue (Cr)'!$C:$FB,98)</f>
        <v>-4.3799999999999999E-2</v>
      </c>
      <c r="N209" s="91">
        <f>VLOOKUP($A209,'Data Vlaue (Cr)'!$C:$FB,79)</f>
        <v>2786</v>
      </c>
      <c r="O209" s="92">
        <f>VLOOKUP($A209,'Data Vlaue (Cr)'!$C:$FB,82)</f>
        <v>-9.9000000000000008E-3</v>
      </c>
    </row>
    <row r="210" spans="1:15" s="88" customFormat="1" ht="15.75" customHeight="1" x14ac:dyDescent="0.2">
      <c r="A210" s="97" t="str">
        <f>'Data Vlaue (Cr)'!C205</f>
        <v>UNIONBANK</v>
      </c>
      <c r="B210" s="142">
        <f>VLOOKUP(A210,'Data Vlaue (Cr)'!C205:CW419,99,0)</f>
        <v>4083</v>
      </c>
      <c r="C210" s="90">
        <f>VLOOKUP(A210,'Data Vlaue (Cr)'!C205:CY419,101,0)</f>
        <v>16</v>
      </c>
      <c r="D210" s="139">
        <f>VLOOKUP(A210,'Data Vlaue (Cr)'!C205:CZ419,102,0)</f>
        <v>3.8999999999999998E-3</v>
      </c>
      <c r="E210" s="91">
        <f>VLOOKUP($A210,'Data Vlaue (Cr)'!$C:$FB,75)</f>
        <v>2389</v>
      </c>
      <c r="F210" s="91">
        <f>VLOOKUP($A210,'Data Vlaue (Cr)'!$C:$FB,77)</f>
        <v>11</v>
      </c>
      <c r="G210" s="92">
        <f>VLOOKUP(A210,'Data Vlaue (Cr)'!C205:CB419,78,0)</f>
        <v>4.4000000000000003E-3</v>
      </c>
      <c r="H210" s="91">
        <f>VLOOKUP($A210,'Data Vlaue (Cr)'!$C:$FB,91)</f>
        <v>1156</v>
      </c>
      <c r="I210" s="91">
        <f>VLOOKUP($A210,'Data Vlaue (Cr)'!$C:$FB,93)</f>
        <v>22</v>
      </c>
      <c r="J210" s="92">
        <f>VLOOKUP($A210,'Data Vlaue (Cr)'!$C:$FB,94)</f>
        <v>1.9E-2</v>
      </c>
      <c r="K210" s="91">
        <f>VLOOKUP($A210,'Data Vlaue (Cr)'!$C:$FB,95)</f>
        <v>538</v>
      </c>
      <c r="L210" s="91">
        <f>VLOOKUP($A210,'Data Vlaue (Cr)'!$C:$FB,97)</f>
        <v>-16</v>
      </c>
      <c r="M210" s="92">
        <f>VLOOKUP($A210,'Data Vlaue (Cr)'!$C:$FB,98)</f>
        <v>-2.9600000000000001E-2</v>
      </c>
      <c r="N210" s="91">
        <f>VLOOKUP($A210,'Data Vlaue (Cr)'!$C:$FB,79)</f>
        <v>2277</v>
      </c>
      <c r="O210" s="92">
        <f>VLOOKUP($A210,'Data Vlaue (Cr)'!$C:$FB,82)</f>
        <v>1.8E-3</v>
      </c>
    </row>
    <row r="211" spans="1:15" x14ac:dyDescent="0.25">
      <c r="A211" s="97" t="str">
        <f>'Data Vlaue (Cr)'!C206</f>
        <v>UNITDSPR</v>
      </c>
      <c r="B211" s="142">
        <f>VLOOKUP(A211,'Data Vlaue (Cr)'!C206:CW420,99,0)</f>
        <v>2374</v>
      </c>
      <c r="C211" s="90">
        <f>VLOOKUP(A211,'Data Vlaue (Cr)'!C206:CY420,101,0)</f>
        <v>220</v>
      </c>
      <c r="D211" s="139">
        <f>VLOOKUP(A211,'Data Vlaue (Cr)'!C206:CZ420,102,0)</f>
        <v>0.1021</v>
      </c>
      <c r="E211" s="91">
        <f>VLOOKUP($A211,'Data Vlaue (Cr)'!$C:$FB,75)</f>
        <v>1577</v>
      </c>
      <c r="F211" s="91">
        <f>VLOOKUP($A211,'Data Vlaue (Cr)'!$C:$FB,77)</f>
        <v>72</v>
      </c>
      <c r="G211" s="92">
        <f>VLOOKUP(A211,'Data Vlaue (Cr)'!C206:CB420,78,0)</f>
        <v>4.7699999999999999E-2</v>
      </c>
      <c r="H211" s="91">
        <f>VLOOKUP($A211,'Data Vlaue (Cr)'!$C:$FB,91)</f>
        <v>477</v>
      </c>
      <c r="I211" s="91">
        <f>VLOOKUP($A211,'Data Vlaue (Cr)'!$C:$FB,93)</f>
        <v>91</v>
      </c>
      <c r="J211" s="92">
        <f>VLOOKUP($A211,'Data Vlaue (Cr)'!$C:$FB,94)</f>
        <v>0.23730000000000001</v>
      </c>
      <c r="K211" s="91">
        <f>VLOOKUP($A211,'Data Vlaue (Cr)'!$C:$FB,95)</f>
        <v>321</v>
      </c>
      <c r="L211" s="91">
        <f>VLOOKUP($A211,'Data Vlaue (Cr)'!$C:$FB,97)</f>
        <v>57</v>
      </c>
      <c r="M211" s="92">
        <f>VLOOKUP($A211,'Data Vlaue (Cr)'!$C:$FB,98)</f>
        <v>0.215</v>
      </c>
      <c r="N211" s="91">
        <f>VLOOKUP($A211,'Data Vlaue (Cr)'!$C:$FB,79)</f>
        <v>1490</v>
      </c>
      <c r="O211" s="92">
        <f>VLOOKUP($A211,'Data Vlaue (Cr)'!$C:$FB,82)</f>
        <v>4.4400000000000002E-2</v>
      </c>
    </row>
    <row r="212" spans="1:15" x14ac:dyDescent="0.25">
      <c r="A212" s="97" t="str">
        <f>'Data Vlaue (Cr)'!C207</f>
        <v>UNOMINDA</v>
      </c>
      <c r="B212" s="142">
        <f>VLOOKUP(A212,'Data Vlaue (Cr)'!C207:CW421,99,0)</f>
        <v>715</v>
      </c>
      <c r="C212" s="90">
        <f>VLOOKUP(A212,'Data Vlaue (Cr)'!C207:CY421,101,0)</f>
        <v>16</v>
      </c>
      <c r="D212" s="139">
        <f>VLOOKUP(A212,'Data Vlaue (Cr)'!C207:CZ421,102,0)</f>
        <v>2.35E-2</v>
      </c>
      <c r="E212" s="91">
        <f>VLOOKUP($A212,'Data Vlaue (Cr)'!$C:$FB,75)</f>
        <v>509</v>
      </c>
      <c r="F212" s="91">
        <f>VLOOKUP($A212,'Data Vlaue (Cr)'!$C:$FB,77)</f>
        <v>-1</v>
      </c>
      <c r="G212" s="92">
        <f>VLOOKUP(A212,'Data Vlaue (Cr)'!C207:CB421,78,0)</f>
        <v>-2.2000000000000001E-3</v>
      </c>
      <c r="H212" s="91">
        <f>VLOOKUP($A212,'Data Vlaue (Cr)'!$C:$FB,91)</f>
        <v>144</v>
      </c>
      <c r="I212" s="91">
        <f>VLOOKUP($A212,'Data Vlaue (Cr)'!$C:$FB,93)</f>
        <v>11</v>
      </c>
      <c r="J212" s="92">
        <f>VLOOKUP($A212,'Data Vlaue (Cr)'!$C:$FB,94)</f>
        <v>8.6499999999999994E-2</v>
      </c>
      <c r="K212" s="91">
        <f>VLOOKUP($A212,'Data Vlaue (Cr)'!$C:$FB,95)</f>
        <v>61</v>
      </c>
      <c r="L212" s="91">
        <f>VLOOKUP($A212,'Data Vlaue (Cr)'!$C:$FB,97)</f>
        <v>6</v>
      </c>
      <c r="M212" s="92">
        <f>VLOOKUP($A212,'Data Vlaue (Cr)'!$C:$FB,98)</f>
        <v>0.10970000000000001</v>
      </c>
      <c r="N212" s="91">
        <f>VLOOKUP($A212,'Data Vlaue (Cr)'!$C:$FB,79)</f>
        <v>505</v>
      </c>
      <c r="O212" s="92">
        <f>VLOOKUP($A212,'Data Vlaue (Cr)'!$C:$FB,82)</f>
        <v>-1.6999999999999999E-3</v>
      </c>
    </row>
    <row r="213" spans="1:15" x14ac:dyDescent="0.25">
      <c r="A213" s="97" t="str">
        <f>'Data Vlaue (Cr)'!C208</f>
        <v>UPL</v>
      </c>
      <c r="B213" s="142">
        <f>VLOOKUP(A213,'Data Vlaue (Cr)'!C208:CW422,99,0)</f>
        <v>2442</v>
      </c>
      <c r="C213" s="90">
        <f>VLOOKUP(A213,'Data Vlaue (Cr)'!C208:CY422,101,0)</f>
        <v>-11</v>
      </c>
      <c r="D213" s="139">
        <f>VLOOKUP(A213,'Data Vlaue (Cr)'!C208:CZ422,102,0)</f>
        <v>-4.5999999999999999E-3</v>
      </c>
      <c r="E213" s="91">
        <f>VLOOKUP($A213,'Data Vlaue (Cr)'!$C:$FB,75)</f>
        <v>1870</v>
      </c>
      <c r="F213" s="91">
        <f>VLOOKUP($A213,'Data Vlaue (Cr)'!$C:$FB,77)</f>
        <v>-49</v>
      </c>
      <c r="G213" s="92">
        <f>VLOOKUP(A213,'Data Vlaue (Cr)'!C208:CB422,78,0)</f>
        <v>-2.5600000000000001E-2</v>
      </c>
      <c r="H213" s="91">
        <f>VLOOKUP($A213,'Data Vlaue (Cr)'!$C:$FB,91)</f>
        <v>345</v>
      </c>
      <c r="I213" s="91">
        <f>VLOOKUP($A213,'Data Vlaue (Cr)'!$C:$FB,93)</f>
        <v>32</v>
      </c>
      <c r="J213" s="92">
        <f>VLOOKUP($A213,'Data Vlaue (Cr)'!$C:$FB,94)</f>
        <v>0.10299999999999999</v>
      </c>
      <c r="K213" s="91">
        <f>VLOOKUP($A213,'Data Vlaue (Cr)'!$C:$FB,95)</f>
        <v>226</v>
      </c>
      <c r="L213" s="91">
        <f>VLOOKUP($A213,'Data Vlaue (Cr)'!$C:$FB,97)</f>
        <v>5</v>
      </c>
      <c r="M213" s="92">
        <f>VLOOKUP($A213,'Data Vlaue (Cr)'!$C:$FB,98)</f>
        <v>2.4899999999999999E-2</v>
      </c>
      <c r="N213" s="91">
        <f>VLOOKUP($A213,'Data Vlaue (Cr)'!$C:$FB,79)</f>
        <v>1849</v>
      </c>
      <c r="O213" s="92">
        <f>VLOOKUP($A213,'Data Vlaue (Cr)'!$C:$FB,82)</f>
        <v>-2.5499999999999998E-2</v>
      </c>
    </row>
    <row r="214" spans="1:15" x14ac:dyDescent="0.25">
      <c r="A214" s="97" t="str">
        <f>'Data Vlaue (Cr)'!C209</f>
        <v>VBL</v>
      </c>
      <c r="B214" s="142">
        <f>VLOOKUP(A214,'Data Vlaue (Cr)'!C209:CW423,99,0)</f>
        <v>3470</v>
      </c>
      <c r="C214" s="90">
        <f>VLOOKUP(A214,'Data Vlaue (Cr)'!C209:CY423,101,0)</f>
        <v>36</v>
      </c>
      <c r="D214" s="139">
        <f>VLOOKUP(A214,'Data Vlaue (Cr)'!C209:CZ423,102,0)</f>
        <v>1.0500000000000001E-2</v>
      </c>
      <c r="E214" s="91">
        <f>VLOOKUP($A214,'Data Vlaue (Cr)'!$C:$FB,75)</f>
        <v>2544</v>
      </c>
      <c r="F214" s="91">
        <f>VLOOKUP($A214,'Data Vlaue (Cr)'!$C:$FB,77)</f>
        <v>16</v>
      </c>
      <c r="G214" s="92">
        <f>VLOOKUP(A214,'Data Vlaue (Cr)'!C209:CB423,78,0)</f>
        <v>6.1999999999999998E-3</v>
      </c>
      <c r="H214" s="91">
        <f>VLOOKUP($A214,'Data Vlaue (Cr)'!$C:$FB,91)</f>
        <v>595</v>
      </c>
      <c r="I214" s="91">
        <f>VLOOKUP($A214,'Data Vlaue (Cr)'!$C:$FB,93)</f>
        <v>19</v>
      </c>
      <c r="J214" s="92">
        <f>VLOOKUP($A214,'Data Vlaue (Cr)'!$C:$FB,94)</f>
        <v>3.39E-2</v>
      </c>
      <c r="K214" s="91">
        <f>VLOOKUP($A214,'Data Vlaue (Cr)'!$C:$FB,95)</f>
        <v>331</v>
      </c>
      <c r="L214" s="91">
        <f>VLOOKUP($A214,'Data Vlaue (Cr)'!$C:$FB,97)</f>
        <v>1</v>
      </c>
      <c r="M214" s="92">
        <f>VLOOKUP($A214,'Data Vlaue (Cr)'!$C:$FB,98)</f>
        <v>2.8E-3</v>
      </c>
      <c r="N214" s="91">
        <f>VLOOKUP($A214,'Data Vlaue (Cr)'!$C:$FB,79)</f>
        <v>2484</v>
      </c>
      <c r="O214" s="92">
        <f>VLOOKUP($A214,'Data Vlaue (Cr)'!$C:$FB,82)</f>
        <v>5.4999999999999997E-3</v>
      </c>
    </row>
    <row r="215" spans="1:15" x14ac:dyDescent="0.25">
      <c r="A215" s="97" t="str">
        <f>'Data Vlaue (Cr)'!C210</f>
        <v>VEDL</v>
      </c>
      <c r="B215" s="142">
        <f>VLOOKUP(A215,'Data Vlaue (Cr)'!C210:CW424,99,0)</f>
        <v>2538</v>
      </c>
      <c r="C215" s="90">
        <f>VLOOKUP(A215,'Data Vlaue (Cr)'!C210:CY424,101,0)</f>
        <v>274</v>
      </c>
      <c r="D215" s="139">
        <f>VLOOKUP(A215,'Data Vlaue (Cr)'!C210:CZ424,102,0)</f>
        <v>0.1208</v>
      </c>
      <c r="E215" s="91">
        <f>VLOOKUP($A215,'Data Vlaue (Cr)'!$C:$FB,75)</f>
        <v>861</v>
      </c>
      <c r="F215" s="91">
        <f>VLOOKUP($A215,'Data Vlaue (Cr)'!$C:$FB,77)</f>
        <v>54</v>
      </c>
      <c r="G215" s="92">
        <f>VLOOKUP(A215,'Data Vlaue (Cr)'!C210:CB424,78,0)</f>
        <v>6.6799999999999998E-2</v>
      </c>
      <c r="H215" s="91">
        <f>VLOOKUP($A215,'Data Vlaue (Cr)'!$C:$FB,91)</f>
        <v>956</v>
      </c>
      <c r="I215" s="91">
        <f>VLOOKUP($A215,'Data Vlaue (Cr)'!$C:$FB,93)</f>
        <v>78</v>
      </c>
      <c r="J215" s="92">
        <f>VLOOKUP($A215,'Data Vlaue (Cr)'!$C:$FB,94)</f>
        <v>8.8400000000000006E-2</v>
      </c>
      <c r="K215" s="91">
        <f>VLOOKUP($A215,'Data Vlaue (Cr)'!$C:$FB,95)</f>
        <v>722</v>
      </c>
      <c r="L215" s="91">
        <f>VLOOKUP($A215,'Data Vlaue (Cr)'!$C:$FB,97)</f>
        <v>142</v>
      </c>
      <c r="M215" s="92">
        <f>VLOOKUP($A215,'Data Vlaue (Cr)'!$C:$FB,98)</f>
        <v>0.24510000000000001</v>
      </c>
      <c r="N215" s="91">
        <f>VLOOKUP($A215,'Data Vlaue (Cr)'!$C:$FB,79)</f>
        <v>811</v>
      </c>
      <c r="O215" s="92">
        <f>VLOOKUP($A215,'Data Vlaue (Cr)'!$C:$FB,82)</f>
        <v>5.8799999999999998E-2</v>
      </c>
    </row>
    <row r="216" spans="1:15" x14ac:dyDescent="0.25">
      <c r="A216" s="97" t="str">
        <f>'Data Vlaue (Cr)'!C211</f>
        <v>VMM</v>
      </c>
      <c r="B216" s="142">
        <f>VLOOKUP(A216,'Data Vlaue (Cr)'!C211:CW425,99,0)</f>
        <v>448</v>
      </c>
      <c r="C216" s="90">
        <f>VLOOKUP(A216,'Data Vlaue (Cr)'!C211:CY425,101,0)</f>
        <v>8</v>
      </c>
      <c r="D216" s="139">
        <f>VLOOKUP(A216,'Data Vlaue (Cr)'!C211:CZ425,102,0)</f>
        <v>1.72E-2</v>
      </c>
      <c r="E216" s="91">
        <f>VLOOKUP($A216,'Data Vlaue (Cr)'!$C:$FB,75)</f>
        <v>376</v>
      </c>
      <c r="F216" s="91">
        <f>VLOOKUP($A216,'Data Vlaue (Cr)'!$C:$FB,77)</f>
        <v>-4</v>
      </c>
      <c r="G216" s="92">
        <f>VLOOKUP(A216,'Data Vlaue (Cr)'!C211:CB425,78,0)</f>
        <v>-1.0800000000000001E-2</v>
      </c>
      <c r="H216" s="91">
        <f>VLOOKUP($A216,'Data Vlaue (Cr)'!$C:$FB,91)</f>
        <v>50</v>
      </c>
      <c r="I216" s="91">
        <f>VLOOKUP($A216,'Data Vlaue (Cr)'!$C:$FB,93)</f>
        <v>10</v>
      </c>
      <c r="J216" s="92">
        <f>VLOOKUP($A216,'Data Vlaue (Cr)'!$C:$FB,94)</f>
        <v>0.25540000000000002</v>
      </c>
      <c r="K216" s="91">
        <f>VLOOKUP($A216,'Data Vlaue (Cr)'!$C:$FB,95)</f>
        <v>22</v>
      </c>
      <c r="L216" s="91">
        <f>VLOOKUP($A216,'Data Vlaue (Cr)'!$C:$FB,97)</f>
        <v>2</v>
      </c>
      <c r="M216" s="92">
        <f>VLOOKUP($A216,'Data Vlaue (Cr)'!$C:$FB,98)</f>
        <v>7.6499999999999999E-2</v>
      </c>
      <c r="N216" s="91">
        <f>VLOOKUP($A216,'Data Vlaue (Cr)'!$C:$FB,79)</f>
        <v>369</v>
      </c>
      <c r="O216" s="92">
        <f>VLOOKUP($A216,'Data Vlaue (Cr)'!$C:$FB,82)</f>
        <v>-1.26E-2</v>
      </c>
    </row>
    <row r="217" spans="1:15" x14ac:dyDescent="0.25">
      <c r="A217" s="97" t="str">
        <f>'Data Vlaue (Cr)'!C212</f>
        <v>VOLTAS</v>
      </c>
      <c r="B217" s="142">
        <f>VLOOKUP(A217,'Data Vlaue (Cr)'!C212:CW426,99,0)</f>
        <v>2503</v>
      </c>
      <c r="C217" s="90">
        <f>VLOOKUP(A217,'Data Vlaue (Cr)'!C212:CY426,101,0)</f>
        <v>129</v>
      </c>
      <c r="D217" s="139">
        <f>VLOOKUP(A217,'Data Vlaue (Cr)'!C212:CZ426,102,0)</f>
        <v>5.4399999999999997E-2</v>
      </c>
      <c r="E217" s="91">
        <f>VLOOKUP($A217,'Data Vlaue (Cr)'!$C:$FB,75)</f>
        <v>1489</v>
      </c>
      <c r="F217" s="91">
        <f>VLOOKUP($A217,'Data Vlaue (Cr)'!$C:$FB,77)</f>
        <v>-11</v>
      </c>
      <c r="G217" s="92">
        <f>VLOOKUP(A217,'Data Vlaue (Cr)'!C212:CB426,78,0)</f>
        <v>-7.0000000000000001E-3</v>
      </c>
      <c r="H217" s="91">
        <f>VLOOKUP($A217,'Data Vlaue (Cr)'!$C:$FB,91)</f>
        <v>600</v>
      </c>
      <c r="I217" s="91">
        <f>VLOOKUP($A217,'Data Vlaue (Cr)'!$C:$FB,93)</f>
        <v>75</v>
      </c>
      <c r="J217" s="92">
        <f>VLOOKUP($A217,'Data Vlaue (Cr)'!$C:$FB,94)</f>
        <v>0.14319999999999999</v>
      </c>
      <c r="K217" s="91">
        <f>VLOOKUP($A217,'Data Vlaue (Cr)'!$C:$FB,95)</f>
        <v>415</v>
      </c>
      <c r="L217" s="91">
        <f>VLOOKUP($A217,'Data Vlaue (Cr)'!$C:$FB,97)</f>
        <v>65</v>
      </c>
      <c r="M217" s="92">
        <f>VLOOKUP($A217,'Data Vlaue (Cr)'!$C:$FB,98)</f>
        <v>0.1845</v>
      </c>
      <c r="N217" s="91">
        <f>VLOOKUP($A217,'Data Vlaue (Cr)'!$C:$FB,79)</f>
        <v>1431</v>
      </c>
      <c r="O217" s="92">
        <f>VLOOKUP($A217,'Data Vlaue (Cr)'!$C:$FB,82)</f>
        <v>-1.18E-2</v>
      </c>
    </row>
    <row r="218" spans="1:15" x14ac:dyDescent="0.25">
      <c r="A218" s="97" t="str">
        <f>'Data Vlaue (Cr)'!C213</f>
        <v>WAAREEENER</v>
      </c>
      <c r="B218" s="142">
        <f>VLOOKUP(A218,'Data Vlaue (Cr)'!C213:CW427,99,0)</f>
        <v>4111</v>
      </c>
      <c r="C218" s="90">
        <f>VLOOKUP(A218,'Data Vlaue (Cr)'!C213:CY427,101,0)</f>
        <v>12</v>
      </c>
      <c r="D218" s="139">
        <f>VLOOKUP(A218,'Data Vlaue (Cr)'!C213:CZ427,102,0)</f>
        <v>2.8999999999999998E-3</v>
      </c>
      <c r="E218" s="91">
        <f>VLOOKUP($A218,'Data Vlaue (Cr)'!$C:$FB,75)</f>
        <v>1956</v>
      </c>
      <c r="F218" s="91">
        <f>VLOOKUP($A218,'Data Vlaue (Cr)'!$C:$FB,77)</f>
        <v>70</v>
      </c>
      <c r="G218" s="92">
        <f>VLOOKUP(A218,'Data Vlaue (Cr)'!C213:CB427,78,0)</f>
        <v>3.6900000000000002E-2</v>
      </c>
      <c r="H218" s="91">
        <f>VLOOKUP($A218,'Data Vlaue (Cr)'!$C:$FB,91)</f>
        <v>1385</v>
      </c>
      <c r="I218" s="91">
        <f>VLOOKUP($A218,'Data Vlaue (Cr)'!$C:$FB,93)</f>
        <v>-63</v>
      </c>
      <c r="J218" s="92">
        <f>VLOOKUP($A218,'Data Vlaue (Cr)'!$C:$FB,94)</f>
        <v>-4.3700000000000003E-2</v>
      </c>
      <c r="K218" s="91">
        <f>VLOOKUP($A218,'Data Vlaue (Cr)'!$C:$FB,95)</f>
        <v>770</v>
      </c>
      <c r="L218" s="91">
        <f>VLOOKUP($A218,'Data Vlaue (Cr)'!$C:$FB,97)</f>
        <v>6</v>
      </c>
      <c r="M218" s="92">
        <f>VLOOKUP($A218,'Data Vlaue (Cr)'!$C:$FB,98)</f>
        <v>7.3000000000000001E-3</v>
      </c>
      <c r="N218" s="91">
        <f>VLOOKUP($A218,'Data Vlaue (Cr)'!$C:$FB,79)</f>
        <v>1791</v>
      </c>
      <c r="O218" s="92">
        <f>VLOOKUP($A218,'Data Vlaue (Cr)'!$C:$FB,82)</f>
        <v>-2.1299999999999999E-2</v>
      </c>
    </row>
    <row r="219" spans="1:15" x14ac:dyDescent="0.25">
      <c r="A219" s="97" t="str">
        <f>'Data Vlaue (Cr)'!C214</f>
        <v>WIPRO</v>
      </c>
      <c r="B219" s="142">
        <f>VLOOKUP(A219,'Data Vlaue (Cr)'!C214:CW428,99,0)</f>
        <v>9975</v>
      </c>
      <c r="C219" s="90">
        <f>VLOOKUP(A219,'Data Vlaue (Cr)'!C214:CY428,101,0)</f>
        <v>16</v>
      </c>
      <c r="D219" s="139">
        <f>VLOOKUP(A219,'Data Vlaue (Cr)'!C214:CZ428,102,0)</f>
        <v>1.6000000000000001E-3</v>
      </c>
      <c r="E219" s="91">
        <f>VLOOKUP($A219,'Data Vlaue (Cr)'!$C:$FB,75)</f>
        <v>5999</v>
      </c>
      <c r="F219" s="91">
        <f>VLOOKUP($A219,'Data Vlaue (Cr)'!$C:$FB,77)</f>
        <v>21</v>
      </c>
      <c r="G219" s="92">
        <f>VLOOKUP(A219,'Data Vlaue (Cr)'!C214:CB428,78,0)</f>
        <v>3.3999999999999998E-3</v>
      </c>
      <c r="H219" s="91">
        <f>VLOOKUP($A219,'Data Vlaue (Cr)'!$C:$FB,91)</f>
        <v>2603</v>
      </c>
      <c r="I219" s="91">
        <f>VLOOKUP($A219,'Data Vlaue (Cr)'!$C:$FB,93)</f>
        <v>8</v>
      </c>
      <c r="J219" s="92">
        <f>VLOOKUP($A219,'Data Vlaue (Cr)'!$C:$FB,94)</f>
        <v>3.3E-3</v>
      </c>
      <c r="K219" s="91">
        <f>VLOOKUP($A219,'Data Vlaue (Cr)'!$C:$FB,95)</f>
        <v>1373</v>
      </c>
      <c r="L219" s="91">
        <f>VLOOKUP($A219,'Data Vlaue (Cr)'!$C:$FB,97)</f>
        <v>-13</v>
      </c>
      <c r="M219" s="92">
        <f>VLOOKUP($A219,'Data Vlaue (Cr)'!$C:$FB,98)</f>
        <v>-9.4000000000000004E-3</v>
      </c>
      <c r="N219" s="91">
        <f>VLOOKUP($A219,'Data Vlaue (Cr)'!$C:$FB,79)</f>
        <v>5386</v>
      </c>
      <c r="O219" s="92">
        <f>VLOOKUP($A219,'Data Vlaue (Cr)'!$C:$FB,82)</f>
        <v>1.6000000000000001E-3</v>
      </c>
    </row>
    <row r="220" spans="1:15" x14ac:dyDescent="0.25">
      <c r="A220" s="97" t="str">
        <f>'Data Vlaue (Cr)'!C215</f>
        <v>YESBANK</v>
      </c>
      <c r="B220" s="142">
        <f>VLOOKUP(A220,'Data Vlaue (Cr)'!C215:CW429,99,0)</f>
        <v>4311</v>
      </c>
      <c r="C220" s="90">
        <f>VLOOKUP(A220,'Data Vlaue (Cr)'!C215:CY429,101,0)</f>
        <v>216</v>
      </c>
      <c r="D220" s="139">
        <f>VLOOKUP(A220,'Data Vlaue (Cr)'!C215:CZ429,102,0)</f>
        <v>5.28E-2</v>
      </c>
      <c r="E220" s="91">
        <f>VLOOKUP($A220,'Data Vlaue (Cr)'!$C:$FB,75)</f>
        <v>2863</v>
      </c>
      <c r="F220" s="91">
        <f>VLOOKUP($A220,'Data Vlaue (Cr)'!$C:$FB,77)</f>
        <v>-39</v>
      </c>
      <c r="G220" s="92">
        <f>VLOOKUP(A220,'Data Vlaue (Cr)'!C215:CB429,78,0)</f>
        <v>-1.34E-2</v>
      </c>
      <c r="H220" s="91">
        <f>VLOOKUP($A220,'Data Vlaue (Cr)'!$C:$FB,91)</f>
        <v>899</v>
      </c>
      <c r="I220" s="91">
        <f>VLOOKUP($A220,'Data Vlaue (Cr)'!$C:$FB,93)</f>
        <v>140</v>
      </c>
      <c r="J220" s="92">
        <f>VLOOKUP($A220,'Data Vlaue (Cr)'!$C:$FB,94)</f>
        <v>0.1845</v>
      </c>
      <c r="K220" s="91">
        <f>VLOOKUP($A220,'Data Vlaue (Cr)'!$C:$FB,95)</f>
        <v>549</v>
      </c>
      <c r="L220" s="91">
        <f>VLOOKUP($A220,'Data Vlaue (Cr)'!$C:$FB,97)</f>
        <v>115</v>
      </c>
      <c r="M220" s="92">
        <f>VLOOKUP($A220,'Data Vlaue (Cr)'!$C:$FB,98)</f>
        <v>0.26550000000000001</v>
      </c>
      <c r="N220" s="91">
        <f>VLOOKUP($A220,'Data Vlaue (Cr)'!$C:$FB,79)</f>
        <v>2623</v>
      </c>
      <c r="O220" s="92">
        <f>VLOOKUP($A220,'Data Vlaue (Cr)'!$C:$FB,82)</f>
        <v>-2.12E-2</v>
      </c>
    </row>
    <row r="221" spans="1:15" x14ac:dyDescent="0.25">
      <c r="A221" s="97" t="str">
        <f>'Data Vlaue (Cr)'!C216</f>
        <v>ZYDUSLIFE</v>
      </c>
      <c r="B221" s="142">
        <f>VLOOKUP(A221,'Data Vlaue (Cr)'!C216:CW430,99,0)</f>
        <v>1473</v>
      </c>
      <c r="C221" s="90">
        <f>VLOOKUP(A221,'Data Vlaue (Cr)'!C216:CY430,101,0)</f>
        <v>65</v>
      </c>
      <c r="D221" s="139">
        <f>VLOOKUP(A221,'Data Vlaue (Cr)'!C216:CZ430,102,0)</f>
        <v>4.6300000000000001E-2</v>
      </c>
      <c r="E221" s="91">
        <f>VLOOKUP($A221,'Data Vlaue (Cr)'!$C:$FB,75)</f>
        <v>920</v>
      </c>
      <c r="F221" s="91">
        <f>VLOOKUP($A221,'Data Vlaue (Cr)'!$C:$FB,77)</f>
        <v>4</v>
      </c>
      <c r="G221" s="92">
        <f>VLOOKUP(A221,'Data Vlaue (Cr)'!C216:CB430,78,0)</f>
        <v>4.4000000000000003E-3</v>
      </c>
      <c r="H221" s="91">
        <f>VLOOKUP($A221,'Data Vlaue (Cr)'!$C:$FB,91)</f>
        <v>340</v>
      </c>
      <c r="I221" s="91">
        <f>VLOOKUP($A221,'Data Vlaue (Cr)'!$C:$FB,93)</f>
        <v>52</v>
      </c>
      <c r="J221" s="92">
        <f>VLOOKUP($A221,'Data Vlaue (Cr)'!$C:$FB,94)</f>
        <v>0.1799</v>
      </c>
      <c r="K221" s="91">
        <f>VLOOKUP($A221,'Data Vlaue (Cr)'!$C:$FB,95)</f>
        <v>212</v>
      </c>
      <c r="L221" s="91">
        <f>VLOOKUP($A221,'Data Vlaue (Cr)'!$C:$FB,97)</f>
        <v>9</v>
      </c>
      <c r="M221" s="92">
        <f>VLOOKUP($A221,'Data Vlaue (Cr)'!$C:$FB,98)</f>
        <v>4.5600000000000002E-2</v>
      </c>
      <c r="N221" s="91">
        <f>VLOOKUP($A221,'Data Vlaue (Cr)'!$C:$FB,79)</f>
        <v>889</v>
      </c>
      <c r="O221" s="92">
        <f>VLOOKUP($A221,'Data Vlaue (Cr)'!$C:$FB,82)</f>
        <v>-6.9999999999999999E-4</v>
      </c>
    </row>
    <row r="222" spans="1:15" x14ac:dyDescent="0.25">
      <c r="A222" s="97"/>
      <c r="B222" s="142"/>
      <c r="C222" s="90"/>
      <c r="D222" s="139"/>
      <c r="E222" s="91"/>
      <c r="F222" s="91"/>
      <c r="G222" s="92"/>
      <c r="H222" s="91"/>
      <c r="I222" s="91"/>
      <c r="J222" s="92"/>
      <c r="K222" s="91"/>
      <c r="L222" s="91"/>
      <c r="M222" s="92"/>
      <c r="N222" s="91"/>
      <c r="O222" s="92"/>
    </row>
    <row r="223" spans="1:15" x14ac:dyDescent="0.25">
      <c r="A223" s="97"/>
      <c r="B223" s="142"/>
      <c r="C223" s="90"/>
      <c r="D223" s="139"/>
      <c r="E223" s="91"/>
      <c r="F223" s="91"/>
      <c r="G223" s="92"/>
      <c r="H223" s="91"/>
      <c r="I223" s="91"/>
      <c r="J223" s="92"/>
      <c r="K223" s="91"/>
      <c r="L223" s="91"/>
      <c r="M223" s="92"/>
      <c r="N223" s="91"/>
      <c r="O223" s="92"/>
    </row>
    <row r="224" spans="1:15" x14ac:dyDescent="0.25">
      <c r="A224" s="97"/>
      <c r="B224" s="142"/>
      <c r="C224" s="90"/>
      <c r="D224" s="139"/>
      <c r="E224" s="91"/>
      <c r="F224" s="91"/>
      <c r="G224" s="92"/>
      <c r="H224" s="91"/>
      <c r="I224" s="91"/>
      <c r="J224" s="92"/>
      <c r="K224" s="91"/>
      <c r="L224" s="91"/>
      <c r="M224" s="92"/>
      <c r="N224" s="91"/>
      <c r="O224" s="92"/>
    </row>
    <row r="225" spans="1:15" x14ac:dyDescent="0.25">
      <c r="A225" s="97"/>
      <c r="B225" s="142"/>
      <c r="C225" s="90"/>
      <c r="D225" s="139"/>
      <c r="E225" s="91"/>
      <c r="F225" s="91"/>
      <c r="G225" s="92"/>
      <c r="H225" s="91"/>
      <c r="I225" s="91"/>
      <c r="J225" s="92"/>
      <c r="K225" s="91"/>
      <c r="L225" s="91"/>
      <c r="M225" s="92"/>
      <c r="N225" s="91"/>
      <c r="O225" s="92"/>
    </row>
    <row r="226" spans="1:15" x14ac:dyDescent="0.25">
      <c r="A226" s="97"/>
      <c r="B226" s="142"/>
      <c r="C226" s="90"/>
      <c r="D226" s="139"/>
      <c r="E226" s="91"/>
      <c r="F226" s="91"/>
      <c r="G226" s="92"/>
      <c r="H226" s="91"/>
      <c r="I226" s="91"/>
      <c r="J226" s="92"/>
      <c r="K226" s="91"/>
      <c r="L226" s="91"/>
      <c r="M226" s="92"/>
      <c r="N226" s="91"/>
      <c r="O226" s="92"/>
    </row>
    <row r="227" spans="1:15" x14ac:dyDescent="0.25">
      <c r="A227" s="97"/>
      <c r="B227" s="142"/>
      <c r="C227" s="90"/>
      <c r="D227" s="139"/>
      <c r="E227" s="91"/>
      <c r="F227" s="91"/>
      <c r="G227" s="92"/>
      <c r="H227" s="91"/>
      <c r="I227" s="91"/>
      <c r="J227" s="92"/>
      <c r="K227" s="91"/>
      <c r="L227" s="91"/>
      <c r="M227" s="92"/>
      <c r="N227" s="91"/>
      <c r="O227" s="92"/>
    </row>
    <row r="228" spans="1:15" x14ac:dyDescent="0.25">
      <c r="A228" s="97"/>
      <c r="B228" s="142"/>
      <c r="C228" s="90"/>
      <c r="D228" s="139"/>
      <c r="E228" s="91"/>
      <c r="F228" s="91"/>
      <c r="G228" s="92"/>
      <c r="H228" s="91"/>
      <c r="I228" s="91"/>
      <c r="J228" s="92"/>
      <c r="K228" s="91"/>
      <c r="L228" s="91"/>
      <c r="M228" s="92"/>
      <c r="N228" s="91"/>
      <c r="O228" s="92"/>
    </row>
    <row r="229" spans="1:15" x14ac:dyDescent="0.25">
      <c r="A229" s="97"/>
      <c r="B229" s="142"/>
      <c r="C229" s="90"/>
      <c r="D229" s="139"/>
      <c r="E229" s="91"/>
      <c r="F229" s="91"/>
      <c r="G229" s="92"/>
      <c r="H229" s="91"/>
      <c r="I229" s="91"/>
      <c r="J229" s="92"/>
      <c r="K229" s="91"/>
      <c r="L229" s="91"/>
      <c r="M229" s="92"/>
      <c r="N229" s="91"/>
      <c r="O229" s="92"/>
    </row>
    <row r="230" spans="1:15" x14ac:dyDescent="0.25">
      <c r="A230" s="97"/>
      <c r="B230" s="142"/>
      <c r="C230" s="90"/>
      <c r="D230" s="139"/>
      <c r="E230" s="91"/>
      <c r="F230" s="91"/>
      <c r="G230" s="92"/>
      <c r="H230" s="91"/>
      <c r="I230" s="91"/>
      <c r="J230" s="92"/>
      <c r="K230" s="91"/>
      <c r="L230" s="91"/>
      <c r="M230" s="92"/>
      <c r="N230" s="91"/>
      <c r="O230" s="92"/>
    </row>
    <row r="231" spans="1:15" x14ac:dyDescent="0.25">
      <c r="A231" s="97"/>
      <c r="B231" s="142"/>
      <c r="C231" s="90"/>
      <c r="D231" s="139"/>
      <c r="E231" s="91"/>
      <c r="F231" s="91"/>
      <c r="G231" s="92"/>
      <c r="H231" s="91"/>
      <c r="I231" s="91"/>
      <c r="J231" s="92"/>
      <c r="K231" s="91"/>
      <c r="L231" s="91"/>
      <c r="M231" s="92"/>
      <c r="N231" s="91"/>
      <c r="O231" s="92"/>
    </row>
    <row r="232" spans="1:15" x14ac:dyDescent="0.25">
      <c r="A232" s="102"/>
      <c r="B232" s="142"/>
      <c r="C232" s="90"/>
      <c r="D232" s="139"/>
      <c r="E232" s="91"/>
      <c r="F232" s="91"/>
      <c r="G232" s="92"/>
      <c r="H232" s="91"/>
      <c r="I232" s="91"/>
      <c r="J232" s="92"/>
      <c r="K232" s="91"/>
      <c r="L232" s="91"/>
      <c r="M232" s="92"/>
      <c r="N232" s="91"/>
      <c r="O232" s="92"/>
    </row>
    <row r="233" spans="1:15" x14ac:dyDescent="0.25">
      <c r="A233" s="122" t="s">
        <v>391</v>
      </c>
      <c r="B233" s="123">
        <f>SUM(B7:B227)</f>
        <v>2022351</v>
      </c>
      <c r="C233" s="123">
        <f>SUM(C7:C230)</f>
        <v>-682454</v>
      </c>
      <c r="D233" s="124">
        <f>'Snapshot (Value)'!K241</f>
        <v>-0.25231227218799712</v>
      </c>
      <c r="E233" s="123">
        <f>SUM(E7:E228)</f>
        <v>597554</v>
      </c>
      <c r="F233" s="123">
        <f>SUM(F7:F228)</f>
        <v>6741</v>
      </c>
      <c r="G233" s="149">
        <f>F233*100/(E233-F233)</f>
        <v>1.1409701546851543</v>
      </c>
      <c r="H233" s="123">
        <f>SUM(H7:H228)</f>
        <v>704964</v>
      </c>
      <c r="I233" s="123">
        <f>SUM(I7:I228)</f>
        <v>84652</v>
      </c>
      <c r="J233" s="149">
        <f>I233/(H233-I233)</f>
        <v>0.13646681025032564</v>
      </c>
      <c r="K233" s="123">
        <f>SUM(K7:K228)</f>
        <v>719850</v>
      </c>
      <c r="L233" s="123">
        <f>SUM(L7:L228)</f>
        <v>145393</v>
      </c>
      <c r="M233" s="149">
        <f>L233/(K233-L233)</f>
        <v>0.25309640234168962</v>
      </c>
      <c r="N233" s="123">
        <f>SUM(N7:N228)</f>
        <v>540883</v>
      </c>
      <c r="O233" s="149">
        <f>(N233-FII!V2)/N233</f>
        <v>7.1660599427232873E-3</v>
      </c>
    </row>
    <row r="238" spans="1:15" x14ac:dyDescent="0.25">
      <c r="A238" s="274" t="s">
        <v>408</v>
      </c>
      <c r="B238" s="274"/>
      <c r="C238" s="274"/>
      <c r="D238" s="274"/>
    </row>
    <row r="239" spans="1:15" x14ac:dyDescent="0.25">
      <c r="A239" s="35" t="s">
        <v>401</v>
      </c>
      <c r="B239" s="35" t="s">
        <v>402</v>
      </c>
      <c r="C239" s="35" t="s">
        <v>369</v>
      </c>
      <c r="D239" s="35" t="s">
        <v>407</v>
      </c>
    </row>
    <row r="240" spans="1:15" x14ac:dyDescent="0.25">
      <c r="A240" s="36" t="s">
        <v>403</v>
      </c>
      <c r="B240" s="37">
        <f>E233</f>
        <v>597554</v>
      </c>
      <c r="C240" s="37">
        <f>F233</f>
        <v>6741</v>
      </c>
      <c r="D240" s="39">
        <f>C240/B240</f>
        <v>1.1280988831134927E-2</v>
      </c>
    </row>
    <row r="241" spans="1:4" x14ac:dyDescent="0.25">
      <c r="A241" s="36" t="s">
        <v>404</v>
      </c>
      <c r="B241" s="37">
        <f>H233</f>
        <v>704964</v>
      </c>
      <c r="C241" s="37">
        <f>I233</f>
        <v>84652</v>
      </c>
      <c r="D241" s="150">
        <f>C241/B241</f>
        <v>0.12007989060434292</v>
      </c>
    </row>
    <row r="242" spans="1:4" x14ac:dyDescent="0.25">
      <c r="A242" s="36" t="s">
        <v>405</v>
      </c>
      <c r="B242" s="37">
        <f>K233</f>
        <v>719850</v>
      </c>
      <c r="C242" s="37">
        <f>L233</f>
        <v>145393</v>
      </c>
      <c r="D242" s="150">
        <f>C242/B242</f>
        <v>0.20197680072237273</v>
      </c>
    </row>
    <row r="243" spans="1:4" x14ac:dyDescent="0.25">
      <c r="A243" s="36" t="s">
        <v>406</v>
      </c>
      <c r="B243" s="37">
        <f>B240+B241+B242</f>
        <v>2022368</v>
      </c>
      <c r="C243" s="37">
        <f>C240+C241+C242</f>
        <v>236786</v>
      </c>
      <c r="D243" s="150">
        <f>C243/B243</f>
        <v>0.11708353771420434</v>
      </c>
    </row>
  </sheetData>
  <autoFilter ref="A6:O6">
    <sortState ref="A7:O154">
      <sortCondition ref="A6"/>
    </sortState>
  </autoFilter>
  <mergeCells count="9">
    <mergeCell ref="A238:D238"/>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workbookViewId="0">
      <pane ySplit="6" topLeftCell="A14" activePane="bottomLeft" state="frozen"/>
      <selection pane="bottomLeft" activeCell="A7" sqref="A7:A56"/>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2" t="s">
        <v>343</v>
      </c>
      <c r="B3" s="293"/>
      <c r="C3" s="293"/>
      <c r="D3" s="293"/>
      <c r="E3" s="293"/>
      <c r="F3" s="293"/>
      <c r="G3" s="294"/>
      <c r="H3" s="294"/>
      <c r="I3" s="294"/>
      <c r="J3" s="295"/>
    </row>
    <row r="4" spans="1:10" s="93" customFormat="1" x14ac:dyDescent="0.25">
      <c r="A4" s="296" t="s">
        <v>330</v>
      </c>
      <c r="B4" s="296" t="s">
        <v>308</v>
      </c>
      <c r="C4" s="296"/>
      <c r="D4" s="296"/>
      <c r="E4" s="296" t="s">
        <v>340</v>
      </c>
      <c r="F4" s="296"/>
      <c r="G4" s="296"/>
      <c r="H4" s="296" t="s">
        <v>458</v>
      </c>
      <c r="I4" s="296"/>
      <c r="J4" s="296"/>
    </row>
    <row r="5" spans="1:10" s="93" customFormat="1" x14ac:dyDescent="0.25">
      <c r="A5" s="297"/>
      <c r="B5" s="94" t="s">
        <v>312</v>
      </c>
      <c r="C5" s="94" t="s">
        <v>313</v>
      </c>
      <c r="D5" s="94"/>
      <c r="E5" s="297" t="s">
        <v>314</v>
      </c>
      <c r="F5" s="297"/>
      <c r="G5" s="297"/>
      <c r="H5" s="297" t="s">
        <v>314</v>
      </c>
      <c r="I5" s="297"/>
      <c r="J5" s="297"/>
    </row>
    <row r="6" spans="1:10" s="93" customFormat="1" x14ac:dyDescent="0.25">
      <c r="A6" s="94" t="s">
        <v>318</v>
      </c>
      <c r="B6" s="3">
        <f>'OI(Volume)'!B6</f>
        <v>46148</v>
      </c>
      <c r="C6" s="3">
        <f>B6</f>
        <v>46148</v>
      </c>
      <c r="D6" s="94" t="s">
        <v>328</v>
      </c>
      <c r="E6" s="3">
        <f>B6</f>
        <v>46148</v>
      </c>
      <c r="F6" s="94" t="s">
        <v>322</v>
      </c>
      <c r="G6" s="94" t="s">
        <v>328</v>
      </c>
      <c r="H6" s="3">
        <f>E6</f>
        <v>46148</v>
      </c>
      <c r="I6" s="94" t="s">
        <v>322</v>
      </c>
      <c r="J6" s="94" t="s">
        <v>328</v>
      </c>
    </row>
    <row r="7" spans="1:10" x14ac:dyDescent="0.25">
      <c r="A7" s="101" t="str">
        <f>'NIFTY GRP'!C2</f>
        <v>ADANIENT</v>
      </c>
      <c r="B7" s="140">
        <f>VLOOKUP($A7,'Data shares'!$C:$FA,7)</f>
        <v>2540.3000000000002</v>
      </c>
      <c r="C7" s="140">
        <f>VLOOKUP($A7,'Data shares'!$C:$FA,3)</f>
        <v>2553.3000000000002</v>
      </c>
      <c r="D7" s="50">
        <f>VLOOKUP($A7,'Data shares'!$C:$FA,6)*100</f>
        <v>3.2399999999999998</v>
      </c>
      <c r="E7" s="51">
        <f>VLOOKUP($A7,'Data shares'!$C:$FA,98)</f>
        <v>33159408</v>
      </c>
      <c r="F7" s="51">
        <f>VLOOKUP($A7,'Data shares'!$C:$FA,99)</f>
        <v>33137160</v>
      </c>
      <c r="G7" s="50">
        <f>VLOOKUP($A7,'Data shares'!$C:$FA,101)*100</f>
        <v>6.9999999999999993E-2</v>
      </c>
      <c r="H7" s="49">
        <f>VLOOKUP($A7,'Data Vlaue (Cr)'!$C:$FB,99)</f>
        <v>8467</v>
      </c>
      <c r="I7" s="49">
        <f>VLOOKUP($A7,'Data Vlaue (Cr)'!$C:$FB,100)</f>
        <v>8461</v>
      </c>
      <c r="J7" s="49">
        <f>VLOOKUP($A7,'Data Vlaue (Cr)'!$C:$FB,102)*100</f>
        <v>6.9999999999999993E-2</v>
      </c>
    </row>
    <row r="8" spans="1:10" x14ac:dyDescent="0.25">
      <c r="A8" s="101" t="str">
        <f>'NIFTY GRP'!C3</f>
        <v>ADANIPORTS</v>
      </c>
      <c r="B8" s="140">
        <f>VLOOKUP($A8,'Data shares'!$C:$FA,7)</f>
        <v>1748.3</v>
      </c>
      <c r="C8" s="140">
        <f>VLOOKUP($A8,'Data shares'!$C:$FA,3)</f>
        <v>1758.1</v>
      </c>
      <c r="D8" s="50">
        <f>VLOOKUP($A8,'Data shares'!$C:$FA,6)*100</f>
        <v>1.58</v>
      </c>
      <c r="E8" s="51">
        <f>VLOOKUP($A8,'Data shares'!$C:$FA,98)</f>
        <v>37435225</v>
      </c>
      <c r="F8" s="51">
        <f>VLOOKUP($A8,'Data shares'!$C:$FA,99)</f>
        <v>37360650</v>
      </c>
      <c r="G8" s="50">
        <f>VLOOKUP($A8,'Data shares'!$C:$FA,101)*100</f>
        <v>0.2</v>
      </c>
      <c r="H8" s="49">
        <f>VLOOKUP($A8,'Data Vlaue (Cr)'!$C:$FB,99)</f>
        <v>6581</v>
      </c>
      <c r="I8" s="49">
        <f>VLOOKUP($A8,'Data Vlaue (Cr)'!$C:$FB,100)</f>
        <v>6568</v>
      </c>
      <c r="J8" s="49">
        <f>VLOOKUP($A8,'Data Vlaue (Cr)'!$C:$FB,102)*100</f>
        <v>0.2</v>
      </c>
    </row>
    <row r="9" spans="1:10" x14ac:dyDescent="0.25">
      <c r="A9" s="101" t="str">
        <f>'NIFTY GRP'!C4</f>
        <v>APOLLOHOSP</v>
      </c>
      <c r="B9" s="140">
        <f>VLOOKUP($A9,'Data shares'!$C:$FA,7)</f>
        <v>7760.5</v>
      </c>
      <c r="C9" s="140">
        <f>VLOOKUP($A9,'Data shares'!$C:$FA,3)</f>
        <v>7814.5</v>
      </c>
      <c r="D9" s="50">
        <f>VLOOKUP($A9,'Data shares'!$C:$FA,6)*100</f>
        <v>0.32</v>
      </c>
      <c r="E9" s="51">
        <f>VLOOKUP($A9,'Data shares'!$C:$FA,98)</f>
        <v>3246500</v>
      </c>
      <c r="F9" s="51">
        <f>VLOOKUP($A9,'Data shares'!$C:$FA,99)</f>
        <v>3167250</v>
      </c>
      <c r="G9" s="50">
        <f>VLOOKUP($A9,'Data shares'!$C:$FA,101)*100</f>
        <v>2.5</v>
      </c>
      <c r="H9" s="49">
        <f>VLOOKUP($A9,'Data Vlaue (Cr)'!$C:$FB,99)</f>
        <v>2537</v>
      </c>
      <c r="I9" s="49">
        <f>VLOOKUP($A9,'Data Vlaue (Cr)'!$C:$FB,100)</f>
        <v>2475</v>
      </c>
      <c r="J9" s="49">
        <f>VLOOKUP($A9,'Data Vlaue (Cr)'!$C:$FB,102)*100</f>
        <v>2.5</v>
      </c>
    </row>
    <row r="10" spans="1:10" x14ac:dyDescent="0.25">
      <c r="A10" s="101" t="str">
        <f>'NIFTY GRP'!C5</f>
        <v>ASIANPAINT</v>
      </c>
      <c r="B10" s="140">
        <f>VLOOKUP($A10,'Data shares'!$C:$FA,7)</f>
        <v>2519</v>
      </c>
      <c r="C10" s="140">
        <f>VLOOKUP($A10,'Data shares'!$C:$FA,3)</f>
        <v>2530.5</v>
      </c>
      <c r="D10" s="50">
        <f>VLOOKUP($A10,'Data shares'!$C:$FA,6)*100</f>
        <v>3.66</v>
      </c>
      <c r="E10" s="51">
        <f>VLOOKUP($A10,'Data shares'!$C:$FA,98)</f>
        <v>21906000</v>
      </c>
      <c r="F10" s="51">
        <f>VLOOKUP($A10,'Data shares'!$C:$FA,99)</f>
        <v>21512750</v>
      </c>
      <c r="G10" s="50">
        <f>VLOOKUP($A10,'Data shares'!$C:$FA,101)*100</f>
        <v>1.83</v>
      </c>
      <c r="H10" s="49">
        <f>VLOOKUP($A10,'Data Vlaue (Cr)'!$C:$FB,99)</f>
        <v>5543</v>
      </c>
      <c r="I10" s="49">
        <f>VLOOKUP($A10,'Data Vlaue (Cr)'!$C:$FB,100)</f>
        <v>5444</v>
      </c>
      <c r="J10" s="49">
        <f>VLOOKUP($A10,'Data Vlaue (Cr)'!$C:$FB,102)*100</f>
        <v>1.83</v>
      </c>
    </row>
    <row r="11" spans="1:10" x14ac:dyDescent="0.25">
      <c r="A11" s="101" t="str">
        <f>'NIFTY GRP'!C6</f>
        <v>AXISBANK</v>
      </c>
      <c r="B11" s="140">
        <f>VLOOKUP($A11,'Data shares'!$C:$FA,7)</f>
        <v>1294.2</v>
      </c>
      <c r="C11" s="140">
        <f>VLOOKUP($A11,'Data shares'!$C:$FA,3)</f>
        <v>1304.0999999999999</v>
      </c>
      <c r="D11" s="50">
        <f>VLOOKUP($A11,'Data shares'!$C:$FA,6)*100</f>
        <v>3.0300000000000002</v>
      </c>
      <c r="E11" s="51">
        <f>VLOOKUP($A11,'Data shares'!$C:$FA,98)</f>
        <v>96023125</v>
      </c>
      <c r="F11" s="51">
        <f>VLOOKUP($A11,'Data shares'!$C:$FA,99)</f>
        <v>95532500</v>
      </c>
      <c r="G11" s="50">
        <f>VLOOKUP($A11,'Data shares'!$C:$FA,101)*100</f>
        <v>0.51</v>
      </c>
      <c r="H11" s="49">
        <f>VLOOKUP($A11,'Data Vlaue (Cr)'!$C:$FB,99)</f>
        <v>12522</v>
      </c>
      <c r="I11" s="49">
        <f>VLOOKUP($A11,'Data Vlaue (Cr)'!$C:$FB,100)</f>
        <v>12458</v>
      </c>
      <c r="J11" s="49">
        <f>VLOOKUP($A11,'Data Vlaue (Cr)'!$C:$FB,102)*100</f>
        <v>0.51</v>
      </c>
    </row>
    <row r="12" spans="1:10" x14ac:dyDescent="0.25">
      <c r="A12" s="101" t="str">
        <f>'NIFTY GRP'!C7</f>
        <v>BAJAJ-AUTO</v>
      </c>
      <c r="B12" s="140">
        <f>VLOOKUP($A12,'Data shares'!$C:$FA,7)</f>
        <v>10319</v>
      </c>
      <c r="C12" s="140">
        <f>VLOOKUP($A12,'Data shares'!$C:$FA,3)</f>
        <v>10361</v>
      </c>
      <c r="D12" s="50">
        <f>VLOOKUP($A12,'Data shares'!$C:$FA,6)*100</f>
        <v>2.69</v>
      </c>
      <c r="E12" s="51">
        <f>VLOOKUP($A12,'Data shares'!$C:$FA,98)</f>
        <v>5748000</v>
      </c>
      <c r="F12" s="51">
        <f>VLOOKUP($A12,'Data shares'!$C:$FA,99)</f>
        <v>5292900</v>
      </c>
      <c r="G12" s="50">
        <f>VLOOKUP($A12,'Data shares'!$C:$FA,101)*100</f>
        <v>8.6</v>
      </c>
      <c r="H12" s="49">
        <f>VLOOKUP($A12,'Data Vlaue (Cr)'!$C:$FB,99)</f>
        <v>5956</v>
      </c>
      <c r="I12" s="49">
        <f>VLOOKUP($A12,'Data Vlaue (Cr)'!$C:$FB,100)</f>
        <v>5484</v>
      </c>
      <c r="J12" s="49">
        <f>VLOOKUP($A12,'Data Vlaue (Cr)'!$C:$FB,102)*100</f>
        <v>8.6</v>
      </c>
    </row>
    <row r="13" spans="1:10" x14ac:dyDescent="0.25">
      <c r="A13" s="101" t="str">
        <f>'NIFTY GRP'!C8</f>
        <v>BAJAJFINSV</v>
      </c>
      <c r="B13" s="140">
        <f>VLOOKUP($A13,'Data shares'!$C:$FA,7)</f>
        <v>1836.1</v>
      </c>
      <c r="C13" s="140">
        <f>VLOOKUP($A13,'Data shares'!$C:$FA,3)</f>
        <v>1846.9</v>
      </c>
      <c r="D13" s="50">
        <f>VLOOKUP($A13,'Data shares'!$C:$FA,6)*100</f>
        <v>2.6100000000000003</v>
      </c>
      <c r="E13" s="51">
        <f>VLOOKUP($A13,'Data shares'!$C:$FA,98)</f>
        <v>17361050</v>
      </c>
      <c r="F13" s="51">
        <f>VLOOKUP($A13,'Data shares'!$C:$FA,99)</f>
        <v>17490550</v>
      </c>
      <c r="G13" s="50">
        <f>VLOOKUP($A13,'Data shares'!$C:$FA,101)*100</f>
        <v>-0.74</v>
      </c>
      <c r="H13" s="49">
        <f>VLOOKUP($A13,'Data Vlaue (Cr)'!$C:$FB,99)</f>
        <v>3206</v>
      </c>
      <c r="I13" s="49">
        <f>VLOOKUP($A13,'Data Vlaue (Cr)'!$C:$FB,100)</f>
        <v>3230</v>
      </c>
      <c r="J13" s="49">
        <f>VLOOKUP($A13,'Data Vlaue (Cr)'!$C:$FB,102)*100</f>
        <v>-0.74</v>
      </c>
    </row>
    <row r="14" spans="1:10" x14ac:dyDescent="0.25">
      <c r="A14" s="101" t="str">
        <f>'NIFTY GRP'!C9</f>
        <v>BAJFINANCE</v>
      </c>
      <c r="B14" s="140">
        <f>VLOOKUP($A14,'Data shares'!$C:$FA,7)</f>
        <v>980.75</v>
      </c>
      <c r="C14" s="140">
        <f>VLOOKUP($A14,'Data shares'!$C:$FA,3)</f>
        <v>985.45</v>
      </c>
      <c r="D14" s="50">
        <f>VLOOKUP($A14,'Data shares'!$C:$FA,6)*100</f>
        <v>2.59</v>
      </c>
      <c r="E14" s="51">
        <f>VLOOKUP($A14,'Data shares'!$C:$FA,98)</f>
        <v>99669000</v>
      </c>
      <c r="F14" s="51">
        <f>VLOOKUP($A14,'Data shares'!$C:$FA,99)</f>
        <v>100261500</v>
      </c>
      <c r="G14" s="50">
        <f>VLOOKUP($A14,'Data shares'!$C:$FA,101)*100</f>
        <v>-0.59</v>
      </c>
      <c r="H14" s="49">
        <f>VLOOKUP($A14,'Data Vlaue (Cr)'!$C:$FB,99)</f>
        <v>9822</v>
      </c>
      <c r="I14" s="49">
        <f>VLOOKUP($A14,'Data Vlaue (Cr)'!$C:$FB,100)</f>
        <v>9880</v>
      </c>
      <c r="J14" s="49">
        <f>VLOOKUP($A14,'Data Vlaue (Cr)'!$C:$FB,102)*100</f>
        <v>-0.59</v>
      </c>
    </row>
    <row r="15" spans="1:10" x14ac:dyDescent="0.25">
      <c r="A15" s="101" t="str">
        <f>'NIFTY GRP'!C10</f>
        <v>BEL</v>
      </c>
      <c r="B15" s="140">
        <f>VLOOKUP($A15,'Data shares'!$C:$FA,7)</f>
        <v>438.2</v>
      </c>
      <c r="C15" s="140">
        <f>VLOOKUP($A15,'Data shares'!$C:$FA,3)</f>
        <v>439.95</v>
      </c>
      <c r="D15" s="50">
        <f>VLOOKUP($A15,'Data shares'!$C:$FA,6)*100</f>
        <v>0.77</v>
      </c>
      <c r="E15" s="51">
        <f>VLOOKUP($A15,'Data shares'!$C:$FA,98)</f>
        <v>186898725</v>
      </c>
      <c r="F15" s="51">
        <f>VLOOKUP($A15,'Data shares'!$C:$FA,99)</f>
        <v>183216525</v>
      </c>
      <c r="G15" s="50">
        <f>VLOOKUP($A15,'Data shares'!$C:$FA,101)*100</f>
        <v>2.0099999999999998</v>
      </c>
      <c r="H15" s="49">
        <f>VLOOKUP($A15,'Data Vlaue (Cr)'!$C:$FB,99)</f>
        <v>8223</v>
      </c>
      <c r="I15" s="49">
        <f>VLOOKUP($A15,'Data Vlaue (Cr)'!$C:$FB,100)</f>
        <v>8061</v>
      </c>
      <c r="J15" s="49">
        <f>VLOOKUP($A15,'Data Vlaue (Cr)'!$C:$FB,102)*100</f>
        <v>2.0099999999999998</v>
      </c>
    </row>
    <row r="16" spans="1:10" x14ac:dyDescent="0.25">
      <c r="A16" s="101" t="str">
        <f>'NIFTY GRP'!C11</f>
        <v>BHARTIARTL</v>
      </c>
      <c r="B16" s="140">
        <f>VLOOKUP($A16,'Data shares'!$C:$FA,7)</f>
        <v>1833.7</v>
      </c>
      <c r="C16" s="140">
        <f>VLOOKUP($A16,'Data shares'!$C:$FA,3)</f>
        <v>1844</v>
      </c>
      <c r="D16" s="50">
        <f>VLOOKUP($A16,'Data shares'!$C:$FA,6)*100</f>
        <v>1.52</v>
      </c>
      <c r="E16" s="51">
        <f>VLOOKUP($A16,'Data shares'!$C:$FA,98)</f>
        <v>81774100</v>
      </c>
      <c r="F16" s="51">
        <f>VLOOKUP($A16,'Data shares'!$C:$FA,99)</f>
        <v>81518075</v>
      </c>
      <c r="G16" s="50">
        <f>VLOOKUP($A16,'Data shares'!$C:$FA,101)*100</f>
        <v>0.31</v>
      </c>
      <c r="H16" s="49">
        <f>VLOOKUP($A16,'Data Vlaue (Cr)'!$C:$FB,99)</f>
        <v>15079</v>
      </c>
      <c r="I16" s="49">
        <f>VLOOKUP($A16,'Data Vlaue (Cr)'!$C:$FB,100)</f>
        <v>15032</v>
      </c>
      <c r="J16" s="49">
        <f>VLOOKUP($A16,'Data Vlaue (Cr)'!$C:$FB,102)*100</f>
        <v>0.31</v>
      </c>
    </row>
    <row r="17" spans="1:10" x14ac:dyDescent="0.25">
      <c r="A17" s="101" t="str">
        <f>'NIFTY GRP'!C12</f>
        <v>CIPLA</v>
      </c>
      <c r="B17" s="140">
        <f>VLOOKUP($A17,'Data shares'!$C:$FA,7)</f>
        <v>1364.4</v>
      </c>
      <c r="C17" s="140">
        <f>VLOOKUP($A17,'Data shares'!$C:$FA,3)</f>
        <v>1370</v>
      </c>
      <c r="D17" s="50">
        <f>VLOOKUP($A17,'Data shares'!$C:$FA,6)*100</f>
        <v>2.4899999999999998</v>
      </c>
      <c r="E17" s="51">
        <f>VLOOKUP($A17,'Data shares'!$C:$FA,98)</f>
        <v>21913875</v>
      </c>
      <c r="F17" s="51">
        <f>VLOOKUP($A17,'Data shares'!$C:$FA,99)</f>
        <v>21572050</v>
      </c>
      <c r="G17" s="50">
        <f>VLOOKUP($A17,'Data shares'!$C:$FA,101)*100</f>
        <v>1.58</v>
      </c>
      <c r="H17" s="49">
        <f>VLOOKUP($A17,'Data Vlaue (Cr)'!$C:$FB,99)</f>
        <v>3002</v>
      </c>
      <c r="I17" s="49">
        <f>VLOOKUP($A17,'Data Vlaue (Cr)'!$C:$FB,100)</f>
        <v>2955</v>
      </c>
      <c r="J17" s="49">
        <f>VLOOKUP($A17,'Data Vlaue (Cr)'!$C:$FB,102)*100</f>
        <v>1.58</v>
      </c>
    </row>
    <row r="18" spans="1:10" x14ac:dyDescent="0.25">
      <c r="A18" s="101" t="str">
        <f>'NIFTY GRP'!C13</f>
        <v>COALINDIA</v>
      </c>
      <c r="B18" s="140">
        <f>VLOOKUP($A18,'Data shares'!$C:$FA,7)</f>
        <v>470.2</v>
      </c>
      <c r="C18" s="140">
        <f>VLOOKUP($A18,'Data shares'!$C:$FA,3)</f>
        <v>471.25</v>
      </c>
      <c r="D18" s="50">
        <f>VLOOKUP($A18,'Data shares'!$C:$FA,6)*100</f>
        <v>-0.80999999999999994</v>
      </c>
      <c r="E18" s="51">
        <f>VLOOKUP($A18,'Data shares'!$C:$FA,98)</f>
        <v>100703250</v>
      </c>
      <c r="F18" s="51">
        <f>VLOOKUP($A18,'Data shares'!$C:$FA,99)</f>
        <v>98594550</v>
      </c>
      <c r="G18" s="50">
        <f>VLOOKUP($A18,'Data shares'!$C:$FA,101)*100</f>
        <v>2.1399999999999997</v>
      </c>
      <c r="H18" s="49">
        <f>VLOOKUP($A18,'Data Vlaue (Cr)'!$C:$FB,99)</f>
        <v>4746</v>
      </c>
      <c r="I18" s="49">
        <f>VLOOKUP($A18,'Data Vlaue (Cr)'!$C:$FB,100)</f>
        <v>4646</v>
      </c>
      <c r="J18" s="49">
        <f>VLOOKUP($A18,'Data Vlaue (Cr)'!$C:$FB,102)*100</f>
        <v>2.1399999999999997</v>
      </c>
    </row>
    <row r="19" spans="1:10" x14ac:dyDescent="0.25">
      <c r="A19" s="101" t="str">
        <f>'NIFTY GRP'!C14</f>
        <v>DRREDDY</v>
      </c>
      <c r="B19" s="140">
        <f>VLOOKUP($A19,'Data shares'!$C:$FA,7)</f>
        <v>1311</v>
      </c>
      <c r="C19" s="140">
        <f>VLOOKUP($A19,'Data shares'!$C:$FA,3)</f>
        <v>1305.5</v>
      </c>
      <c r="D19" s="50">
        <f>VLOOKUP($A19,'Data shares'!$C:$FA,6)*100</f>
        <v>2.91</v>
      </c>
      <c r="E19" s="51">
        <f>VLOOKUP($A19,'Data shares'!$C:$FA,98)</f>
        <v>33488750</v>
      </c>
      <c r="F19" s="51">
        <f>VLOOKUP($A19,'Data shares'!$C:$FA,99)</f>
        <v>30996875</v>
      </c>
      <c r="G19" s="50">
        <f>VLOOKUP($A19,'Data shares'!$C:$FA,101)*100</f>
        <v>8.0399999999999991</v>
      </c>
      <c r="H19" s="49">
        <f>VLOOKUP($A19,'Data Vlaue (Cr)'!$C:$FB,99)</f>
        <v>4372</v>
      </c>
      <c r="I19" s="49">
        <f>VLOOKUP($A19,'Data Vlaue (Cr)'!$C:$FB,100)</f>
        <v>4047</v>
      </c>
      <c r="J19" s="49">
        <f>VLOOKUP($A19,'Data Vlaue (Cr)'!$C:$FB,102)*100</f>
        <v>8.0399999999999991</v>
      </c>
    </row>
    <row r="20" spans="1:10" x14ac:dyDescent="0.25">
      <c r="A20" s="101" t="str">
        <f>'NIFTY GRP'!C15</f>
        <v>EICHERMOT</v>
      </c>
      <c r="B20" s="140">
        <f>VLOOKUP($A20,'Data shares'!$C:$FA,7)</f>
        <v>7310.5</v>
      </c>
      <c r="C20" s="140">
        <f>VLOOKUP($A20,'Data shares'!$C:$FA,3)</f>
        <v>7349.5</v>
      </c>
      <c r="D20" s="50">
        <f>VLOOKUP($A20,'Data shares'!$C:$FA,6)*100</f>
        <v>0.44</v>
      </c>
      <c r="E20" s="51">
        <f>VLOOKUP($A20,'Data shares'!$C:$FA,98)</f>
        <v>5374100</v>
      </c>
      <c r="F20" s="51">
        <f>VLOOKUP($A20,'Data shares'!$C:$FA,99)</f>
        <v>5466500</v>
      </c>
      <c r="G20" s="50">
        <f>VLOOKUP($A20,'Data shares'!$C:$FA,101)*100</f>
        <v>-1.69</v>
      </c>
      <c r="H20" s="49">
        <f>VLOOKUP($A20,'Data Vlaue (Cr)'!$C:$FB,99)</f>
        <v>3950</v>
      </c>
      <c r="I20" s="49">
        <f>VLOOKUP($A20,'Data Vlaue (Cr)'!$C:$FB,100)</f>
        <v>4018</v>
      </c>
      <c r="J20" s="49">
        <f>VLOOKUP($A20,'Data Vlaue (Cr)'!$C:$FB,102)*100</f>
        <v>-1.69</v>
      </c>
    </row>
    <row r="21" spans="1:10" x14ac:dyDescent="0.25">
      <c r="A21" s="101" t="str">
        <f>'NIFTY GRP'!C16</f>
        <v>ETERNAL</v>
      </c>
      <c r="B21" s="140">
        <f>VLOOKUP($A21,'Data shares'!$C:$FA,7)</f>
        <v>256.05</v>
      </c>
      <c r="C21" s="140">
        <f>VLOOKUP($A21,'Data shares'!$C:$FA,3)</f>
        <v>257.83</v>
      </c>
      <c r="D21" s="50">
        <f>VLOOKUP($A21,'Data shares'!$C:$FA,6)*100</f>
        <v>3.16</v>
      </c>
      <c r="E21" s="51">
        <f>VLOOKUP($A21,'Data shares'!$C:$FA,98)</f>
        <v>351317025</v>
      </c>
      <c r="F21" s="51">
        <f>VLOOKUP($A21,'Data shares'!$C:$FA,99)</f>
        <v>355669900</v>
      </c>
      <c r="G21" s="50">
        <f>VLOOKUP($A21,'Data shares'!$C:$FA,101)*100</f>
        <v>-1.22</v>
      </c>
      <c r="H21" s="49">
        <f>VLOOKUP($A21,'Data Vlaue (Cr)'!$C:$FB,99)</f>
        <v>9058</v>
      </c>
      <c r="I21" s="49">
        <f>VLOOKUP($A21,'Data Vlaue (Cr)'!$C:$FB,100)</f>
        <v>9170</v>
      </c>
      <c r="J21" s="49">
        <f>VLOOKUP($A21,'Data Vlaue (Cr)'!$C:$FB,102)*100</f>
        <v>-1.22</v>
      </c>
    </row>
    <row r="22" spans="1:10" x14ac:dyDescent="0.25">
      <c r="A22" s="101" t="str">
        <f>'NIFTY GRP'!C17</f>
        <v>GRASIM</v>
      </c>
      <c r="B22" s="140">
        <f>VLOOKUP($A22,'Data shares'!$C:$FA,7)</f>
        <v>2914.8</v>
      </c>
      <c r="C22" s="140">
        <f>VLOOKUP($A22,'Data shares'!$C:$FA,3)</f>
        <v>2935.4</v>
      </c>
      <c r="D22" s="50">
        <f>VLOOKUP($A22,'Data shares'!$C:$FA,6)*100</f>
        <v>1.96</v>
      </c>
      <c r="E22" s="51">
        <f>VLOOKUP($A22,'Data shares'!$C:$FA,98)</f>
        <v>16986000</v>
      </c>
      <c r="F22" s="51">
        <f>VLOOKUP($A22,'Data shares'!$C:$FA,99)</f>
        <v>16718000</v>
      </c>
      <c r="G22" s="50">
        <f>VLOOKUP($A22,'Data shares'!$C:$FA,101)*100</f>
        <v>1.6</v>
      </c>
      <c r="H22" s="49">
        <f>VLOOKUP($A22,'Data Vlaue (Cr)'!$C:$FB,99)</f>
        <v>4986</v>
      </c>
      <c r="I22" s="49">
        <f>VLOOKUP($A22,'Data Vlaue (Cr)'!$C:$FB,100)</f>
        <v>4907</v>
      </c>
      <c r="J22" s="49">
        <f>VLOOKUP($A22,'Data Vlaue (Cr)'!$C:$FB,102)*100</f>
        <v>1.6</v>
      </c>
    </row>
    <row r="23" spans="1:10" x14ac:dyDescent="0.25">
      <c r="A23" s="101" t="str">
        <f>'NIFTY GRP'!C18</f>
        <v>HCLTECH</v>
      </c>
      <c r="B23" s="140">
        <f>VLOOKUP($A23,'Data shares'!$C:$FA,7)</f>
        <v>1189.0999999999999</v>
      </c>
      <c r="C23" s="140">
        <f>VLOOKUP($A23,'Data shares'!$C:$FA,3)</f>
        <v>1191.9000000000001</v>
      </c>
      <c r="D23" s="50">
        <f>VLOOKUP($A23,'Data shares'!$C:$FA,6)*100</f>
        <v>-0.79</v>
      </c>
      <c r="E23" s="51">
        <f>VLOOKUP($A23,'Data shares'!$C:$FA,98)</f>
        <v>81157850</v>
      </c>
      <c r="F23" s="51">
        <f>VLOOKUP($A23,'Data shares'!$C:$FA,99)</f>
        <v>77742150</v>
      </c>
      <c r="G23" s="50">
        <f>VLOOKUP($A23,'Data shares'!$C:$FA,101)*100</f>
        <v>4.3900000000000006</v>
      </c>
      <c r="H23" s="49">
        <f>VLOOKUP($A23,'Data Vlaue (Cr)'!$C:$FB,99)</f>
        <v>9673</v>
      </c>
      <c r="I23" s="49">
        <f>VLOOKUP($A23,'Data Vlaue (Cr)'!$C:$FB,100)</f>
        <v>9266</v>
      </c>
      <c r="J23" s="49">
        <f>VLOOKUP($A23,'Data Vlaue (Cr)'!$C:$FB,102)*100</f>
        <v>4.3900000000000006</v>
      </c>
    </row>
    <row r="24" spans="1:10" x14ac:dyDescent="0.25">
      <c r="A24" s="101" t="str">
        <f>'NIFTY GRP'!C19</f>
        <v>HDFCBANK</v>
      </c>
      <c r="B24" s="140">
        <f>VLOOKUP($A24,'Data shares'!$C:$FA,7)</f>
        <v>796.55</v>
      </c>
      <c r="C24" s="140">
        <f>VLOOKUP($A24,'Data shares'!$C:$FA,3)</f>
        <v>801.85</v>
      </c>
      <c r="D24" s="50">
        <f>VLOOKUP($A24,'Data shares'!$C:$FA,6)*100</f>
        <v>3.4000000000000004</v>
      </c>
      <c r="E24" s="51">
        <f>VLOOKUP($A24,'Data shares'!$C:$FA,98)</f>
        <v>454610550</v>
      </c>
      <c r="F24" s="51">
        <f>VLOOKUP($A24,'Data shares'!$C:$FA,99)</f>
        <v>446716400</v>
      </c>
      <c r="G24" s="50">
        <f>VLOOKUP($A24,'Data shares'!$C:$FA,101)*100</f>
        <v>1.77</v>
      </c>
      <c r="H24" s="49">
        <f>VLOOKUP($A24,'Data Vlaue (Cr)'!$C:$FB,99)</f>
        <v>36453</v>
      </c>
      <c r="I24" s="49">
        <f>VLOOKUP($A24,'Data Vlaue (Cr)'!$C:$FB,100)</f>
        <v>35820</v>
      </c>
      <c r="J24" s="49">
        <f>VLOOKUP($A24,'Data Vlaue (Cr)'!$C:$FB,102)*100</f>
        <v>1.77</v>
      </c>
    </row>
    <row r="25" spans="1:10" x14ac:dyDescent="0.25">
      <c r="A25" s="101" t="str">
        <f>'NIFTY GRP'!C20</f>
        <v>HDFCLIFE</v>
      </c>
      <c r="B25" s="140">
        <f>VLOOKUP($A25,'Data shares'!$C:$FA,7)</f>
        <v>606.35</v>
      </c>
      <c r="C25" s="140">
        <f>VLOOKUP($A25,'Data shares'!$C:$FA,3)</f>
        <v>610.5</v>
      </c>
      <c r="D25" s="50">
        <f>VLOOKUP($A25,'Data shares'!$C:$FA,6)*100</f>
        <v>2.1800000000000002</v>
      </c>
      <c r="E25" s="51">
        <f>VLOOKUP($A25,'Data shares'!$C:$FA,98)</f>
        <v>78835900</v>
      </c>
      <c r="F25" s="51">
        <f>VLOOKUP($A25,'Data shares'!$C:$FA,99)</f>
        <v>69405600</v>
      </c>
      <c r="G25" s="50">
        <f>VLOOKUP($A25,'Data shares'!$C:$FA,101)*100</f>
        <v>13.59</v>
      </c>
      <c r="H25" s="49">
        <f>VLOOKUP($A25,'Data Vlaue (Cr)'!$C:$FB,99)</f>
        <v>4813</v>
      </c>
      <c r="I25" s="49">
        <f>VLOOKUP($A25,'Data Vlaue (Cr)'!$C:$FB,100)</f>
        <v>4237</v>
      </c>
      <c r="J25" s="49">
        <f>VLOOKUP($A25,'Data Vlaue (Cr)'!$C:$FB,102)*100</f>
        <v>13.59</v>
      </c>
    </row>
    <row r="26" spans="1:10" x14ac:dyDescent="0.25">
      <c r="A26" s="101" t="str">
        <f>'NIFTY GRP'!C21</f>
        <v>HINDALCO</v>
      </c>
      <c r="B26" s="140">
        <f>VLOOKUP($A26,'Data shares'!$C:$FA,7)</f>
        <v>1045.8</v>
      </c>
      <c r="C26" s="140">
        <f>VLOOKUP($A26,'Data shares'!$C:$FA,3)</f>
        <v>1052</v>
      </c>
      <c r="D26" s="50">
        <f>VLOOKUP($A26,'Data shares'!$C:$FA,6)*100</f>
        <v>-0.52</v>
      </c>
      <c r="E26" s="51">
        <f>VLOOKUP($A26,'Data shares'!$C:$FA,98)</f>
        <v>46334400</v>
      </c>
      <c r="F26" s="51">
        <f>VLOOKUP($A26,'Data shares'!$C:$FA,99)</f>
        <v>45880800</v>
      </c>
      <c r="G26" s="50">
        <f>VLOOKUP($A26,'Data shares'!$C:$FA,101)*100</f>
        <v>0.9900000000000001</v>
      </c>
      <c r="H26" s="49">
        <f>VLOOKUP($A26,'Data Vlaue (Cr)'!$C:$FB,99)</f>
        <v>4874</v>
      </c>
      <c r="I26" s="49">
        <f>VLOOKUP($A26,'Data Vlaue (Cr)'!$C:$FB,100)</f>
        <v>4827</v>
      </c>
      <c r="J26" s="49">
        <f>VLOOKUP($A26,'Data Vlaue (Cr)'!$C:$FB,102)*100</f>
        <v>0.9900000000000001</v>
      </c>
    </row>
    <row r="27" spans="1:10" x14ac:dyDescent="0.25">
      <c r="A27" s="101" t="str">
        <f>'NIFTY GRP'!C22</f>
        <v>HINDUNILVR</v>
      </c>
      <c r="B27" s="140">
        <f>VLOOKUP($A27,'Data shares'!$C:$FA,7)</f>
        <v>2317.1</v>
      </c>
      <c r="C27" s="140">
        <f>VLOOKUP($A27,'Data shares'!$C:$FA,3)</f>
        <v>2326.8000000000002</v>
      </c>
      <c r="D27" s="50">
        <f>VLOOKUP($A27,'Data shares'!$C:$FA,6)*100</f>
        <v>-0.22999999999999998</v>
      </c>
      <c r="E27" s="51">
        <f>VLOOKUP($A27,'Data shares'!$C:$FA,98)</f>
        <v>27431700</v>
      </c>
      <c r="F27" s="51">
        <f>VLOOKUP($A27,'Data shares'!$C:$FA,99)</f>
        <v>26849400</v>
      </c>
      <c r="G27" s="50">
        <f>VLOOKUP($A27,'Data shares'!$C:$FA,101)*100</f>
        <v>2.17</v>
      </c>
      <c r="H27" s="49">
        <f>VLOOKUP($A27,'Data Vlaue (Cr)'!$C:$FB,99)</f>
        <v>6383</v>
      </c>
      <c r="I27" s="49">
        <f>VLOOKUP($A27,'Data Vlaue (Cr)'!$C:$FB,100)</f>
        <v>6247</v>
      </c>
      <c r="J27" s="49">
        <f>VLOOKUP($A27,'Data Vlaue (Cr)'!$C:$FB,102)*100</f>
        <v>2.17</v>
      </c>
    </row>
    <row r="28" spans="1:10" x14ac:dyDescent="0.25">
      <c r="A28" s="101" t="str">
        <f>'NIFTY GRP'!C23</f>
        <v>ICICIBANK</v>
      </c>
      <c r="B28" s="140">
        <f>VLOOKUP($A28,'Data shares'!$C:$FA,7)</f>
        <v>1279.5</v>
      </c>
      <c r="C28" s="140">
        <f>VLOOKUP($A28,'Data shares'!$C:$FA,3)</f>
        <v>1287.5999999999999</v>
      </c>
      <c r="D28" s="50">
        <f>VLOOKUP($A28,'Data shares'!$C:$FA,6)*100</f>
        <v>2.31</v>
      </c>
      <c r="E28" s="51">
        <f>VLOOKUP($A28,'Data shares'!$C:$FA,98)</f>
        <v>208527900</v>
      </c>
      <c r="F28" s="51">
        <f>VLOOKUP($A28,'Data shares'!$C:$FA,99)</f>
        <v>203286300</v>
      </c>
      <c r="G28" s="50">
        <f>VLOOKUP($A28,'Data shares'!$C:$FA,101)*100</f>
        <v>2.58</v>
      </c>
      <c r="H28" s="49">
        <f>VLOOKUP($A28,'Data Vlaue (Cr)'!$C:$FB,99)</f>
        <v>26850</v>
      </c>
      <c r="I28" s="49">
        <f>VLOOKUP($A28,'Data Vlaue (Cr)'!$C:$FB,100)</f>
        <v>26175</v>
      </c>
      <c r="J28" s="49">
        <f>VLOOKUP($A28,'Data Vlaue (Cr)'!$C:$FB,102)*100</f>
        <v>2.58</v>
      </c>
    </row>
    <row r="29" spans="1:10" x14ac:dyDescent="0.25">
      <c r="A29" s="101" t="str">
        <f>'NIFTY GRP'!C24</f>
        <v>INDIGO</v>
      </c>
      <c r="B29" s="140">
        <f>VLOOKUP($A29,'Data shares'!$C:$FA,7)</f>
        <v>4520.2</v>
      </c>
      <c r="C29" s="140">
        <f>VLOOKUP($A29,'Data shares'!$C:$FA,3)</f>
        <v>4541.8999999999996</v>
      </c>
      <c r="D29" s="50">
        <f>VLOOKUP($A29,'Data shares'!$C:$FA,6)*100</f>
        <v>6.5500000000000007</v>
      </c>
      <c r="E29" s="51">
        <f>VLOOKUP($A29,'Data shares'!$C:$FA,98)</f>
        <v>14641050</v>
      </c>
      <c r="F29" s="51">
        <f>VLOOKUP($A29,'Data shares'!$C:$FA,99)</f>
        <v>13756950</v>
      </c>
      <c r="G29" s="50">
        <f>VLOOKUP($A29,'Data shares'!$C:$FA,101)*100</f>
        <v>6.43</v>
      </c>
      <c r="H29" s="49">
        <f>VLOOKUP($A29,'Data Vlaue (Cr)'!$C:$FB,99)</f>
        <v>6650</v>
      </c>
      <c r="I29" s="49">
        <f>VLOOKUP($A29,'Data Vlaue (Cr)'!$C:$FB,100)</f>
        <v>6248</v>
      </c>
      <c r="J29" s="49">
        <f>VLOOKUP($A29,'Data Vlaue (Cr)'!$C:$FB,102)*100</f>
        <v>6.43</v>
      </c>
    </row>
    <row r="30" spans="1:10" x14ac:dyDescent="0.25">
      <c r="A30" s="101" t="str">
        <f>'NIFTY GRP'!C25</f>
        <v>INFY</v>
      </c>
      <c r="B30" s="140">
        <f>VLOOKUP($A30,'Data shares'!$C:$FA,7)</f>
        <v>1167.2</v>
      </c>
      <c r="C30" s="140">
        <f>VLOOKUP($A30,'Data shares'!$C:$FA,3)</f>
        <v>1171</v>
      </c>
      <c r="D30" s="50">
        <f>VLOOKUP($A30,'Data shares'!$C:$FA,6)*100</f>
        <v>-0.62</v>
      </c>
      <c r="E30" s="51">
        <f>VLOOKUP($A30,'Data shares'!$C:$FA,98)</f>
        <v>149236800</v>
      </c>
      <c r="F30" s="51">
        <f>VLOOKUP($A30,'Data shares'!$C:$FA,99)</f>
        <v>139869600</v>
      </c>
      <c r="G30" s="50">
        <f>VLOOKUP($A30,'Data shares'!$C:$FA,101)*100</f>
        <v>6.7</v>
      </c>
      <c r="H30" s="49">
        <f>VLOOKUP($A30,'Data Vlaue (Cr)'!$C:$FB,99)</f>
        <v>17476</v>
      </c>
      <c r="I30" s="49">
        <f>VLOOKUP($A30,'Data Vlaue (Cr)'!$C:$FB,100)</f>
        <v>16379</v>
      </c>
      <c r="J30" s="49">
        <f>VLOOKUP($A30,'Data Vlaue (Cr)'!$C:$FB,102)*100</f>
        <v>6.7</v>
      </c>
    </row>
    <row r="31" spans="1:10" x14ac:dyDescent="0.25">
      <c r="A31" s="101" t="str">
        <f>'NIFTY GRP'!C26</f>
        <v>ITC</v>
      </c>
      <c r="B31" s="140">
        <f>VLOOKUP($A31,'Data shares'!$C:$FA,7)</f>
        <v>310.7</v>
      </c>
      <c r="C31" s="140">
        <f>VLOOKUP($A31,'Data shares'!$C:$FA,3)</f>
        <v>312.35000000000002</v>
      </c>
      <c r="D31" s="50">
        <f>VLOOKUP($A31,'Data shares'!$C:$FA,6)*100</f>
        <v>-0.13</v>
      </c>
      <c r="E31" s="51">
        <f>VLOOKUP($A31,'Data shares'!$C:$FA,98)</f>
        <v>327481925</v>
      </c>
      <c r="F31" s="51">
        <f>VLOOKUP($A31,'Data shares'!$C:$FA,99)</f>
        <v>317415475</v>
      </c>
      <c r="G31" s="50">
        <f>VLOOKUP($A31,'Data shares'!$C:$FA,101)*100</f>
        <v>3.17</v>
      </c>
      <c r="H31" s="49">
        <f>VLOOKUP($A31,'Data Vlaue (Cr)'!$C:$FB,99)</f>
        <v>10229</v>
      </c>
      <c r="I31" s="49">
        <f>VLOOKUP($A31,'Data Vlaue (Cr)'!$C:$FB,100)</f>
        <v>9914</v>
      </c>
      <c r="J31" s="49">
        <f>VLOOKUP($A31,'Data Vlaue (Cr)'!$C:$FB,102)*100</f>
        <v>3.17</v>
      </c>
    </row>
    <row r="32" spans="1:10" x14ac:dyDescent="0.25">
      <c r="A32" s="101" t="str">
        <f>'NIFTY GRP'!C27</f>
        <v>JIOFIN</v>
      </c>
      <c r="B32" s="140">
        <f>VLOOKUP($A32,'Data shares'!$C:$FA,7)</f>
        <v>252.44</v>
      </c>
      <c r="C32" s="140">
        <f>VLOOKUP($A32,'Data shares'!$C:$FA,3)</f>
        <v>254.02</v>
      </c>
      <c r="D32" s="50">
        <f>VLOOKUP($A32,'Data shares'!$C:$FA,6)*100</f>
        <v>1.95</v>
      </c>
      <c r="E32" s="51">
        <f>VLOOKUP($A32,'Data shares'!$C:$FA,98)</f>
        <v>300231300</v>
      </c>
      <c r="F32" s="51">
        <f>VLOOKUP($A32,'Data shares'!$C:$FA,99)</f>
        <v>300346450</v>
      </c>
      <c r="G32" s="50">
        <f>VLOOKUP($A32,'Data shares'!$C:$FA,101)*100</f>
        <v>-0.04</v>
      </c>
      <c r="H32" s="49">
        <f>VLOOKUP($A32,'Data Vlaue (Cr)'!$C:$FB,99)</f>
        <v>7626</v>
      </c>
      <c r="I32" s="49">
        <f>VLOOKUP($A32,'Data Vlaue (Cr)'!$C:$FB,100)</f>
        <v>7629</v>
      </c>
      <c r="J32" s="49">
        <f>VLOOKUP($A32,'Data Vlaue (Cr)'!$C:$FB,102)*100</f>
        <v>-0.04</v>
      </c>
    </row>
    <row r="33" spans="1:10" x14ac:dyDescent="0.25">
      <c r="A33" s="101" t="str">
        <f>'NIFTY GRP'!C28</f>
        <v>JSWSTEEL</v>
      </c>
      <c r="B33" s="140">
        <f>VLOOKUP($A33,'Data shares'!$C:$FA,7)</f>
        <v>1273.3</v>
      </c>
      <c r="C33" s="140">
        <f>VLOOKUP($A33,'Data shares'!$C:$FA,3)</f>
        <v>1280.5999999999999</v>
      </c>
      <c r="D33" s="50">
        <f>VLOOKUP($A33,'Data shares'!$C:$FA,6)*100</f>
        <v>1.7000000000000002</v>
      </c>
      <c r="E33" s="51">
        <f>VLOOKUP($A33,'Data shares'!$C:$FA,98)</f>
        <v>57661875</v>
      </c>
      <c r="F33" s="51">
        <f>VLOOKUP($A33,'Data shares'!$C:$FA,99)</f>
        <v>57929175</v>
      </c>
      <c r="G33" s="50">
        <f>VLOOKUP($A33,'Data shares'!$C:$FA,101)*100</f>
        <v>-0.45999999999999996</v>
      </c>
      <c r="H33" s="49">
        <f>VLOOKUP($A33,'Data Vlaue (Cr)'!$C:$FB,99)</f>
        <v>7384</v>
      </c>
      <c r="I33" s="49">
        <f>VLOOKUP($A33,'Data Vlaue (Cr)'!$C:$FB,100)</f>
        <v>7418</v>
      </c>
      <c r="J33" s="49">
        <f>VLOOKUP($A33,'Data Vlaue (Cr)'!$C:$FB,102)*100</f>
        <v>-0.45999999999999996</v>
      </c>
    </row>
    <row r="34" spans="1:10" x14ac:dyDescent="0.25">
      <c r="A34" s="101" t="str">
        <f>'NIFTY GRP'!C29</f>
        <v>KOTAKBANK</v>
      </c>
      <c r="B34" s="140">
        <f>VLOOKUP($A34,'Data shares'!$C:$FA,7)</f>
        <v>376.6</v>
      </c>
      <c r="C34" s="140">
        <f>VLOOKUP($A34,'Data shares'!$C:$FA,3)</f>
        <v>379</v>
      </c>
      <c r="D34" s="50">
        <f>VLOOKUP($A34,'Data shares'!$C:$FA,6)*100</f>
        <v>1.81</v>
      </c>
      <c r="E34" s="51">
        <f>VLOOKUP($A34,'Data shares'!$C:$FA,98)</f>
        <v>299546000</v>
      </c>
      <c r="F34" s="51">
        <f>VLOOKUP($A34,'Data shares'!$C:$FA,99)</f>
        <v>301052000</v>
      </c>
      <c r="G34" s="50">
        <f>VLOOKUP($A34,'Data shares'!$C:$FA,101)*100</f>
        <v>-0.5</v>
      </c>
      <c r="H34" s="49">
        <f>VLOOKUP($A34,'Data Vlaue (Cr)'!$C:$FB,99)</f>
        <v>11353</v>
      </c>
      <c r="I34" s="49">
        <f>VLOOKUP($A34,'Data Vlaue (Cr)'!$C:$FB,100)</f>
        <v>11410</v>
      </c>
      <c r="J34" s="49">
        <f>VLOOKUP($A34,'Data Vlaue (Cr)'!$C:$FB,102)*100</f>
        <v>-0.5</v>
      </c>
    </row>
    <row r="35" spans="1:10" x14ac:dyDescent="0.25">
      <c r="A35" s="101" t="str">
        <f>'NIFTY GRP'!C30</f>
        <v>LT</v>
      </c>
      <c r="B35" s="140">
        <f>VLOOKUP($A35,'Data shares'!$C:$FA,7)</f>
        <v>4008.5</v>
      </c>
      <c r="C35" s="140">
        <f>VLOOKUP($A35,'Data shares'!$C:$FA,3)</f>
        <v>3999.7</v>
      </c>
      <c r="D35" s="50">
        <f>VLOOKUP($A35,'Data shares'!$C:$FA,6)*100</f>
        <v>-1.95</v>
      </c>
      <c r="E35" s="51">
        <f>VLOOKUP($A35,'Data shares'!$C:$FA,98)</f>
        <v>30930200</v>
      </c>
      <c r="F35" s="51">
        <f>VLOOKUP($A35,'Data shares'!$C:$FA,99)</f>
        <v>25047225</v>
      </c>
      <c r="G35" s="50">
        <f>VLOOKUP($A35,'Data shares'!$C:$FA,101)*100</f>
        <v>23.49</v>
      </c>
      <c r="H35" s="49">
        <f>VLOOKUP($A35,'Data Vlaue (Cr)'!$C:$FB,99)</f>
        <v>12371</v>
      </c>
      <c r="I35" s="49">
        <f>VLOOKUP($A35,'Data Vlaue (Cr)'!$C:$FB,100)</f>
        <v>10018</v>
      </c>
      <c r="J35" s="49">
        <f>VLOOKUP($A35,'Data Vlaue (Cr)'!$C:$FB,102)*100</f>
        <v>23.49</v>
      </c>
    </row>
    <row r="36" spans="1:10" x14ac:dyDescent="0.25">
      <c r="A36" s="101" t="str">
        <f>'NIFTY GRP'!C31</f>
        <v>M&amp;M</v>
      </c>
      <c r="B36" s="140">
        <f>VLOOKUP($A36,'Data shares'!$C:$FA,7)</f>
        <v>3300.8</v>
      </c>
      <c r="C36" s="140">
        <f>VLOOKUP($A36,'Data shares'!$C:$FA,3)</f>
        <v>3314</v>
      </c>
      <c r="D36" s="50">
        <f>VLOOKUP($A36,'Data shares'!$C:$FA,6)*100</f>
        <v>2.6100000000000003</v>
      </c>
      <c r="E36" s="51">
        <f>VLOOKUP($A36,'Data shares'!$C:$FA,98)</f>
        <v>30425200</v>
      </c>
      <c r="F36" s="51">
        <f>VLOOKUP($A36,'Data shares'!$C:$FA,99)</f>
        <v>31042400</v>
      </c>
      <c r="G36" s="50">
        <f>VLOOKUP($A36,'Data shares'!$C:$FA,101)*100</f>
        <v>-1.9900000000000002</v>
      </c>
      <c r="H36" s="49">
        <f>VLOOKUP($A36,'Data Vlaue (Cr)'!$C:$FB,99)</f>
        <v>10083</v>
      </c>
      <c r="I36" s="49">
        <f>VLOOKUP($A36,'Data Vlaue (Cr)'!$C:$FB,100)</f>
        <v>10287</v>
      </c>
      <c r="J36" s="49">
        <f>VLOOKUP($A36,'Data Vlaue (Cr)'!$C:$FB,102)*100</f>
        <v>-1.9900000000000002</v>
      </c>
    </row>
    <row r="37" spans="1:10" x14ac:dyDescent="0.25">
      <c r="A37" s="101" t="str">
        <f>'NIFTY GRP'!C32</f>
        <v>MARUTI</v>
      </c>
      <c r="B37" s="140">
        <f>VLOOKUP($A37,'Data shares'!$C:$FA,7)</f>
        <v>13722</v>
      </c>
      <c r="C37" s="140">
        <f>VLOOKUP($A37,'Data shares'!$C:$FA,3)</f>
        <v>13804</v>
      </c>
      <c r="D37" s="50">
        <f>VLOOKUP($A37,'Data shares'!$C:$FA,6)*100</f>
        <v>2.62</v>
      </c>
      <c r="E37" s="51">
        <f>VLOOKUP($A37,'Data shares'!$C:$FA,98)</f>
        <v>6195150</v>
      </c>
      <c r="F37" s="51">
        <f>VLOOKUP($A37,'Data shares'!$C:$FA,99)</f>
        <v>6301550</v>
      </c>
      <c r="G37" s="50">
        <f>VLOOKUP($A37,'Data shares'!$C:$FA,101)*100</f>
        <v>-1.69</v>
      </c>
      <c r="H37" s="49">
        <f>VLOOKUP($A37,'Data Vlaue (Cr)'!$C:$FB,99)</f>
        <v>8552</v>
      </c>
      <c r="I37" s="49">
        <f>VLOOKUP($A37,'Data Vlaue (Cr)'!$C:$FB,100)</f>
        <v>8699</v>
      </c>
      <c r="J37" s="49">
        <f>VLOOKUP($A37,'Data Vlaue (Cr)'!$C:$FB,102)*100</f>
        <v>-1.69</v>
      </c>
    </row>
    <row r="38" spans="1:10" x14ac:dyDescent="0.25">
      <c r="A38" s="101" t="str">
        <f>'NIFTY GRP'!C33</f>
        <v>MAXHEALTH</v>
      </c>
      <c r="B38" s="140">
        <f>VLOOKUP($A38,'Data shares'!$C:$FA,7)</f>
        <v>1015.9</v>
      </c>
      <c r="C38" s="140">
        <f>VLOOKUP($A38,'Data shares'!$C:$FA,3)</f>
        <v>1022.25</v>
      </c>
      <c r="D38" s="50">
        <f>VLOOKUP($A38,'Data shares'!$C:$FA,6)*100</f>
        <v>1.6400000000000001</v>
      </c>
      <c r="E38" s="51">
        <f>VLOOKUP($A38,'Data shares'!$C:$FA,98)</f>
        <v>17104500</v>
      </c>
      <c r="F38" s="51">
        <f>VLOOKUP($A38,'Data shares'!$C:$FA,99)</f>
        <v>16941225</v>
      </c>
      <c r="G38" s="50">
        <f>VLOOKUP($A38,'Data shares'!$C:$FA,101)*100</f>
        <v>0.96</v>
      </c>
      <c r="H38" s="49">
        <f>VLOOKUP($A38,'Data Vlaue (Cr)'!$C:$FB,99)</f>
        <v>1749</v>
      </c>
      <c r="I38" s="49">
        <f>VLOOKUP($A38,'Data Vlaue (Cr)'!$C:$FB,100)</f>
        <v>1732</v>
      </c>
      <c r="J38" s="49">
        <f>VLOOKUP($A38,'Data Vlaue (Cr)'!$C:$FB,102)*100</f>
        <v>0.96</v>
      </c>
    </row>
    <row r="39" spans="1:10" x14ac:dyDescent="0.25">
      <c r="A39" s="101" t="str">
        <f>'NIFTY GRP'!C34</f>
        <v>NESTLEIND</v>
      </c>
      <c r="B39" s="140">
        <f>VLOOKUP($A39,'Data shares'!$C:$FA,7)</f>
        <v>1486.1</v>
      </c>
      <c r="C39" s="140">
        <f>VLOOKUP($A39,'Data shares'!$C:$FA,3)</f>
        <v>1490.7</v>
      </c>
      <c r="D39" s="50">
        <f>VLOOKUP($A39,'Data shares'!$C:$FA,6)*100</f>
        <v>0.74</v>
      </c>
      <c r="E39" s="51">
        <f>VLOOKUP($A39,'Data shares'!$C:$FA,98)</f>
        <v>23236000</v>
      </c>
      <c r="F39" s="51">
        <f>VLOOKUP($A39,'Data shares'!$C:$FA,99)</f>
        <v>22157000</v>
      </c>
      <c r="G39" s="50">
        <f>VLOOKUP($A39,'Data shares'!$C:$FA,101)*100</f>
        <v>4.87</v>
      </c>
      <c r="H39" s="49">
        <f>VLOOKUP($A39,'Data Vlaue (Cr)'!$C:$FB,99)</f>
        <v>3464</v>
      </c>
      <c r="I39" s="49">
        <f>VLOOKUP($A39,'Data Vlaue (Cr)'!$C:$FB,100)</f>
        <v>3303</v>
      </c>
      <c r="J39" s="49">
        <f>VLOOKUP($A39,'Data Vlaue (Cr)'!$C:$FB,102)*100</f>
        <v>4.87</v>
      </c>
    </row>
    <row r="40" spans="1:10" x14ac:dyDescent="0.25">
      <c r="A40" s="101" t="str">
        <f>'NIFTY GRP'!C35</f>
        <v>NTPC</v>
      </c>
      <c r="B40" s="140">
        <f>VLOOKUP($A40,'Data shares'!$C:$FA,7)</f>
        <v>394.85</v>
      </c>
      <c r="C40" s="140">
        <f>VLOOKUP($A40,'Data shares'!$C:$FA,3)</f>
        <v>397.1</v>
      </c>
      <c r="D40" s="50">
        <f>VLOOKUP($A40,'Data shares'!$C:$FA,6)*100</f>
        <v>-0.63</v>
      </c>
      <c r="E40" s="51">
        <f>VLOOKUP($A40,'Data shares'!$C:$FA,98)</f>
        <v>169789500</v>
      </c>
      <c r="F40" s="51">
        <f>VLOOKUP($A40,'Data shares'!$C:$FA,99)</f>
        <v>165553500</v>
      </c>
      <c r="G40" s="50">
        <f>VLOOKUP($A40,'Data shares'!$C:$FA,101)*100</f>
        <v>2.56</v>
      </c>
      <c r="H40" s="49">
        <f>VLOOKUP($A40,'Data Vlaue (Cr)'!$C:$FB,99)</f>
        <v>6742</v>
      </c>
      <c r="I40" s="49">
        <f>VLOOKUP($A40,'Data Vlaue (Cr)'!$C:$FB,100)</f>
        <v>6574</v>
      </c>
      <c r="J40" s="49">
        <f>VLOOKUP($A40,'Data Vlaue (Cr)'!$C:$FB,102)*100</f>
        <v>2.56</v>
      </c>
    </row>
    <row r="41" spans="1:10" x14ac:dyDescent="0.25">
      <c r="A41" s="101" t="str">
        <f>'NIFTY GRP'!C36</f>
        <v>ONGC</v>
      </c>
      <c r="B41" s="140">
        <f>VLOOKUP($A41,'Data shares'!$C:$FA,7)</f>
        <v>280.8</v>
      </c>
      <c r="C41" s="140">
        <f>VLOOKUP($A41,'Data shares'!$C:$FA,3)</f>
        <v>282.64999999999998</v>
      </c>
      <c r="D41" s="50">
        <f>VLOOKUP($A41,'Data shares'!$C:$FA,6)*100</f>
        <v>-2.8899999999999997</v>
      </c>
      <c r="E41" s="51">
        <f>VLOOKUP($A41,'Data shares'!$C:$FA,98)</f>
        <v>179212500</v>
      </c>
      <c r="F41" s="51">
        <f>VLOOKUP($A41,'Data shares'!$C:$FA,99)</f>
        <v>165863250</v>
      </c>
      <c r="G41" s="50">
        <f>VLOOKUP($A41,'Data shares'!$C:$FA,101)*100</f>
        <v>8.0500000000000007</v>
      </c>
      <c r="H41" s="49">
        <f>VLOOKUP($A41,'Data Vlaue (Cr)'!$C:$FB,99)</f>
        <v>5065</v>
      </c>
      <c r="I41" s="49">
        <f>VLOOKUP($A41,'Data Vlaue (Cr)'!$C:$FB,100)</f>
        <v>4688</v>
      </c>
      <c r="J41" s="49">
        <f>VLOOKUP($A41,'Data Vlaue (Cr)'!$C:$FB,102)*100</f>
        <v>8.0500000000000007</v>
      </c>
    </row>
    <row r="42" spans="1:10" x14ac:dyDescent="0.25">
      <c r="A42" s="101" t="str">
        <f>'NIFTY GRP'!C37</f>
        <v>POWERGRID</v>
      </c>
      <c r="B42" s="140">
        <f>VLOOKUP($A42,'Data shares'!$C:$FA,7)</f>
        <v>315.95</v>
      </c>
      <c r="C42" s="140">
        <f>VLOOKUP($A42,'Data shares'!$C:$FA,3)</f>
        <v>316.75</v>
      </c>
      <c r="D42" s="50">
        <f>VLOOKUP($A42,'Data shares'!$C:$FA,6)*100</f>
        <v>-0.91</v>
      </c>
      <c r="E42" s="51">
        <f>VLOOKUP($A42,'Data shares'!$C:$FA,98)</f>
        <v>118305400</v>
      </c>
      <c r="F42" s="51">
        <f>VLOOKUP($A42,'Data shares'!$C:$FA,99)</f>
        <v>115689100</v>
      </c>
      <c r="G42" s="50">
        <f>VLOOKUP($A42,'Data shares'!$C:$FA,101)*100</f>
        <v>2.2599999999999998</v>
      </c>
      <c r="H42" s="49">
        <f>VLOOKUP($A42,'Data Vlaue (Cr)'!$C:$FB,99)</f>
        <v>3747</v>
      </c>
      <c r="I42" s="49">
        <f>VLOOKUP($A42,'Data Vlaue (Cr)'!$C:$FB,100)</f>
        <v>3664</v>
      </c>
      <c r="J42" s="49">
        <f>VLOOKUP($A42,'Data Vlaue (Cr)'!$C:$FB,102)*100</f>
        <v>2.2599999999999998</v>
      </c>
    </row>
    <row r="43" spans="1:10" x14ac:dyDescent="0.25">
      <c r="A43" s="101" t="str">
        <f>'NIFTY GRP'!C38</f>
        <v>RELIANCE</v>
      </c>
      <c r="B43" s="140">
        <f>VLOOKUP($A43,'Data shares'!$C:$FA,7)</f>
        <v>1437.9</v>
      </c>
      <c r="C43" s="140">
        <f>VLOOKUP($A43,'Data shares'!$C:$FA,3)</f>
        <v>1446.2</v>
      </c>
      <c r="D43" s="50">
        <f>VLOOKUP($A43,'Data shares'!$C:$FA,6)*100</f>
        <v>-1.44</v>
      </c>
      <c r="E43" s="51">
        <f>VLOOKUP($A43,'Data shares'!$C:$FA,98)</f>
        <v>180792000</v>
      </c>
      <c r="F43" s="51">
        <f>VLOOKUP($A43,'Data shares'!$C:$FA,99)</f>
        <v>172977000</v>
      </c>
      <c r="G43" s="50">
        <f>VLOOKUP($A43,'Data shares'!$C:$FA,101)*100</f>
        <v>4.5199999999999996</v>
      </c>
      <c r="H43" s="49">
        <f>VLOOKUP($A43,'Data Vlaue (Cr)'!$C:$FB,99)</f>
        <v>26146</v>
      </c>
      <c r="I43" s="49">
        <f>VLOOKUP($A43,'Data Vlaue (Cr)'!$C:$FB,100)</f>
        <v>25016</v>
      </c>
      <c r="J43" s="49">
        <f>VLOOKUP($A43,'Data Vlaue (Cr)'!$C:$FB,102)*100</f>
        <v>4.5199999999999996</v>
      </c>
    </row>
    <row r="44" spans="1:10" x14ac:dyDescent="0.25">
      <c r="A44" s="101" t="str">
        <f>'NIFTY GRP'!C39</f>
        <v>SBILIFE</v>
      </c>
      <c r="B44" s="140">
        <f>VLOOKUP($A44,'Data shares'!$C:$FA,7)</f>
        <v>1859</v>
      </c>
      <c r="C44" s="140">
        <f>VLOOKUP($A44,'Data shares'!$C:$FA,3)</f>
        <v>1866.4</v>
      </c>
      <c r="D44" s="50">
        <f>VLOOKUP($A44,'Data shares'!$C:$FA,6)*100</f>
        <v>2.2399999999999998</v>
      </c>
      <c r="E44" s="51">
        <f>VLOOKUP($A44,'Data shares'!$C:$FA,98)</f>
        <v>16586625</v>
      </c>
      <c r="F44" s="51">
        <f>VLOOKUP($A44,'Data shares'!$C:$FA,99)</f>
        <v>16738875</v>
      </c>
      <c r="G44" s="50">
        <f>VLOOKUP($A44,'Data shares'!$C:$FA,101)*100</f>
        <v>-0.91</v>
      </c>
      <c r="H44" s="49">
        <f>VLOOKUP($A44,'Data Vlaue (Cr)'!$C:$FB,99)</f>
        <v>3096</v>
      </c>
      <c r="I44" s="49">
        <f>VLOOKUP($A44,'Data Vlaue (Cr)'!$C:$FB,100)</f>
        <v>3124</v>
      </c>
      <c r="J44" s="49">
        <f>VLOOKUP($A44,'Data Vlaue (Cr)'!$C:$FB,102)*100</f>
        <v>-0.91</v>
      </c>
    </row>
    <row r="45" spans="1:10" x14ac:dyDescent="0.25">
      <c r="A45" s="101" t="str">
        <f>'NIFTY GRP'!C40</f>
        <v>SBIN</v>
      </c>
      <c r="B45" s="140">
        <f>VLOOKUP($A45,'Data shares'!$C:$FA,7)</f>
        <v>1096</v>
      </c>
      <c r="C45" s="140">
        <f>VLOOKUP($A45,'Data shares'!$C:$FA,3)</f>
        <v>1090.2</v>
      </c>
      <c r="D45" s="50">
        <f>VLOOKUP($A45,'Data shares'!$C:$FA,6)*100</f>
        <v>3.65</v>
      </c>
      <c r="E45" s="51">
        <f>VLOOKUP($A45,'Data shares'!$C:$FA,98)</f>
        <v>158479500</v>
      </c>
      <c r="F45" s="51">
        <f>VLOOKUP($A45,'Data shares'!$C:$FA,99)</f>
        <v>155319000</v>
      </c>
      <c r="G45" s="50">
        <f>VLOOKUP($A45,'Data shares'!$C:$FA,101)*100</f>
        <v>2.0299999999999998</v>
      </c>
      <c r="H45" s="49">
        <f>VLOOKUP($A45,'Data Vlaue (Cr)'!$C:$FB,99)</f>
        <v>17277</v>
      </c>
      <c r="I45" s="49">
        <f>VLOOKUP($A45,'Data Vlaue (Cr)'!$C:$FB,100)</f>
        <v>16933</v>
      </c>
      <c r="J45" s="49">
        <f>VLOOKUP($A45,'Data Vlaue (Cr)'!$C:$FB,102)*100</f>
        <v>2.0299999999999998</v>
      </c>
    </row>
    <row r="46" spans="1:10" x14ac:dyDescent="0.25">
      <c r="A46" s="101" t="str">
        <f>'NIFTY GRP'!C41</f>
        <v>SHRIRAMFIN</v>
      </c>
      <c r="B46" s="140">
        <f>VLOOKUP($A46,'Data shares'!$C:$FA,7)</f>
        <v>1004.1</v>
      </c>
      <c r="C46" s="140">
        <f>VLOOKUP($A46,'Data shares'!$C:$FA,3)</f>
        <v>1010.5</v>
      </c>
      <c r="D46" s="50">
        <f>VLOOKUP($A46,'Data shares'!$C:$FA,6)*100</f>
        <v>4.46</v>
      </c>
      <c r="E46" s="51">
        <f>VLOOKUP($A46,'Data shares'!$C:$FA,98)</f>
        <v>69510375</v>
      </c>
      <c r="F46" s="51">
        <f>VLOOKUP($A46,'Data shares'!$C:$FA,99)</f>
        <v>72771600</v>
      </c>
      <c r="G46" s="50">
        <f>VLOOKUP($A46,'Data shares'!$C:$FA,101)*100</f>
        <v>-4.4799999999999995</v>
      </c>
      <c r="H46" s="49">
        <f>VLOOKUP($A46,'Data Vlaue (Cr)'!$C:$FB,99)</f>
        <v>7024</v>
      </c>
      <c r="I46" s="49">
        <f>VLOOKUP($A46,'Data Vlaue (Cr)'!$C:$FB,100)</f>
        <v>7354</v>
      </c>
      <c r="J46" s="49">
        <f>VLOOKUP($A46,'Data Vlaue (Cr)'!$C:$FB,102)*100</f>
        <v>-4.4799999999999995</v>
      </c>
    </row>
    <row r="47" spans="1:10" x14ac:dyDescent="0.25">
      <c r="A47" s="101" t="str">
        <f>'NIFTY GRP'!C42</f>
        <v>SUNPHARMA</v>
      </c>
      <c r="B47" s="140">
        <f>VLOOKUP($A47,'Data shares'!$C:$FA,7)</f>
        <v>1850.2</v>
      </c>
      <c r="C47" s="140">
        <f>VLOOKUP($A47,'Data shares'!$C:$FA,3)</f>
        <v>1857.5</v>
      </c>
      <c r="D47" s="50">
        <f>VLOOKUP($A47,'Data shares'!$C:$FA,6)*100</f>
        <v>1.76</v>
      </c>
      <c r="E47" s="51">
        <f>VLOOKUP($A47,'Data shares'!$C:$FA,98)</f>
        <v>45308200</v>
      </c>
      <c r="F47" s="51">
        <f>VLOOKUP($A47,'Data shares'!$C:$FA,99)</f>
        <v>44541000</v>
      </c>
      <c r="G47" s="50">
        <f>VLOOKUP($A47,'Data shares'!$C:$FA,101)*100</f>
        <v>1.72</v>
      </c>
      <c r="H47" s="49">
        <f>VLOOKUP($A47,'Data Vlaue (Cr)'!$C:$FB,99)</f>
        <v>8416</v>
      </c>
      <c r="I47" s="49">
        <f>VLOOKUP($A47,'Data Vlaue (Cr)'!$C:$FB,100)</f>
        <v>8273</v>
      </c>
      <c r="J47" s="49">
        <f>VLOOKUP($A47,'Data Vlaue (Cr)'!$C:$FB,102)*100</f>
        <v>1.72</v>
      </c>
    </row>
    <row r="48" spans="1:10" x14ac:dyDescent="0.25">
      <c r="A48" s="101" t="str">
        <f>'NIFTY GRP'!C43</f>
        <v>TATACONSUM</v>
      </c>
      <c r="B48" s="140">
        <f>VLOOKUP($A48,'Data shares'!$C:$FA,7)</f>
        <v>1152.2</v>
      </c>
      <c r="C48" s="140">
        <f>VLOOKUP($A48,'Data shares'!$C:$FA,3)</f>
        <v>1158.5</v>
      </c>
      <c r="D48" s="50">
        <f>VLOOKUP($A48,'Data shares'!$C:$FA,6)*100</f>
        <v>-0.03</v>
      </c>
      <c r="E48" s="51">
        <f>VLOOKUP($A48,'Data shares'!$C:$FA,98)</f>
        <v>13996400</v>
      </c>
      <c r="F48" s="51">
        <f>VLOOKUP($A48,'Data shares'!$C:$FA,99)</f>
        <v>13428250</v>
      </c>
      <c r="G48" s="50">
        <f>VLOOKUP($A48,'Data shares'!$C:$FA,101)*100</f>
        <v>4.2299999999999995</v>
      </c>
      <c r="H48" s="49">
        <f>VLOOKUP($A48,'Data Vlaue (Cr)'!$C:$FB,99)</f>
        <v>1621</v>
      </c>
      <c r="I48" s="49">
        <f>VLOOKUP($A48,'Data Vlaue (Cr)'!$C:$FB,100)</f>
        <v>1556</v>
      </c>
      <c r="J48" s="49">
        <f>VLOOKUP($A48,'Data Vlaue (Cr)'!$C:$FB,102)*100</f>
        <v>4.2299999999999995</v>
      </c>
    </row>
    <row r="49" spans="1:10" x14ac:dyDescent="0.25">
      <c r="A49" s="101" t="str">
        <f>'NIFTY GRP'!C44</f>
        <v>TATASTEEL</v>
      </c>
      <c r="B49" s="140">
        <f>VLOOKUP($A49,'Data shares'!$C:$FA,7)</f>
        <v>215.47</v>
      </c>
      <c r="C49" s="140">
        <f>VLOOKUP($A49,'Data shares'!$C:$FA,3)</f>
        <v>216.73</v>
      </c>
      <c r="D49" s="50">
        <f>VLOOKUP($A49,'Data shares'!$C:$FA,6)*100</f>
        <v>2.0099999999999998</v>
      </c>
      <c r="E49" s="51">
        <f>VLOOKUP($A49,'Data shares'!$C:$FA,98)</f>
        <v>324197500</v>
      </c>
      <c r="F49" s="51">
        <f>VLOOKUP($A49,'Data shares'!$C:$FA,99)</f>
        <v>322910500</v>
      </c>
      <c r="G49" s="50">
        <f>VLOOKUP($A49,'Data shares'!$C:$FA,101)*100</f>
        <v>0.4</v>
      </c>
      <c r="H49" s="49">
        <f>VLOOKUP($A49,'Data Vlaue (Cr)'!$C:$FB,99)</f>
        <v>7026</v>
      </c>
      <c r="I49" s="49">
        <f>VLOOKUP($A49,'Data Vlaue (Cr)'!$C:$FB,100)</f>
        <v>6998</v>
      </c>
      <c r="J49" s="49">
        <f>VLOOKUP($A49,'Data Vlaue (Cr)'!$C:$FB,102)*100</f>
        <v>0.4</v>
      </c>
    </row>
    <row r="50" spans="1:10" x14ac:dyDescent="0.25">
      <c r="A50" s="101" t="str">
        <f>'NIFTY GRP'!C45</f>
        <v>TCS</v>
      </c>
      <c r="B50" s="140">
        <f>VLOOKUP($A50,'Data shares'!$C:$FA,7)</f>
        <v>2435.4</v>
      </c>
      <c r="C50" s="140">
        <f>VLOOKUP($A50,'Data shares'!$C:$FA,3)</f>
        <v>2409.5</v>
      </c>
      <c r="D50" s="50">
        <f>VLOOKUP($A50,'Data shares'!$C:$FA,6)*100</f>
        <v>-0.36</v>
      </c>
      <c r="E50" s="51">
        <f>VLOOKUP($A50,'Data shares'!$C:$FA,98)</f>
        <v>61245500</v>
      </c>
      <c r="F50" s="51">
        <f>VLOOKUP($A50,'Data shares'!$C:$FA,99)</f>
        <v>57933150</v>
      </c>
      <c r="G50" s="50">
        <f>VLOOKUP($A50,'Data shares'!$C:$FA,101)*100</f>
        <v>5.72</v>
      </c>
      <c r="H50" s="49">
        <f>VLOOKUP($A50,'Data Vlaue (Cr)'!$C:$FB,99)</f>
        <v>14757</v>
      </c>
      <c r="I50" s="49">
        <f>VLOOKUP($A50,'Data Vlaue (Cr)'!$C:$FB,100)</f>
        <v>13959</v>
      </c>
      <c r="J50" s="49">
        <f>VLOOKUP($A50,'Data Vlaue (Cr)'!$C:$FB,102)*100</f>
        <v>5.72</v>
      </c>
    </row>
    <row r="51" spans="1:10" x14ac:dyDescent="0.25">
      <c r="A51" s="101" t="str">
        <f>'NIFTY GRP'!C46</f>
        <v>TECHM</v>
      </c>
      <c r="B51" s="140">
        <f>VLOOKUP($A51,'Data shares'!$C:$FA,7)</f>
        <v>1466.7</v>
      </c>
      <c r="C51" s="140">
        <f>VLOOKUP($A51,'Data shares'!$C:$FA,3)</f>
        <v>1466</v>
      </c>
      <c r="D51" s="50">
        <f>VLOOKUP($A51,'Data shares'!$C:$FA,6)*100</f>
        <v>0.84</v>
      </c>
      <c r="E51" s="51">
        <f>VLOOKUP($A51,'Data shares'!$C:$FA,98)</f>
        <v>30812400</v>
      </c>
      <c r="F51" s="51">
        <f>VLOOKUP($A51,'Data shares'!$C:$FA,99)</f>
        <v>30714600</v>
      </c>
      <c r="G51" s="50">
        <f>VLOOKUP($A51,'Data shares'!$C:$FA,101)*100</f>
        <v>0.32</v>
      </c>
      <c r="H51" s="49">
        <f>VLOOKUP($A51,'Data Vlaue (Cr)'!$C:$FB,99)</f>
        <v>4517</v>
      </c>
      <c r="I51" s="49">
        <f>VLOOKUP($A51,'Data Vlaue (Cr)'!$C:$FB,100)</f>
        <v>4503</v>
      </c>
      <c r="J51" s="49">
        <f>VLOOKUP($A51,'Data Vlaue (Cr)'!$C:$FB,102)*100</f>
        <v>0.32</v>
      </c>
    </row>
    <row r="52" spans="1:10" x14ac:dyDescent="0.25">
      <c r="A52" s="101" t="str">
        <f>'NIFTY GRP'!C47</f>
        <v>TITAN</v>
      </c>
      <c r="B52" s="140">
        <f>VLOOKUP($A52,'Data shares'!$C:$FA,7)</f>
        <v>4359.6000000000004</v>
      </c>
      <c r="C52" s="140">
        <f>VLOOKUP($A52,'Data shares'!$C:$FA,3)</f>
        <v>4375.8999999999996</v>
      </c>
      <c r="D52" s="50">
        <f>VLOOKUP($A52,'Data shares'!$C:$FA,6)*100</f>
        <v>-0.27</v>
      </c>
      <c r="E52" s="51">
        <f>VLOOKUP($A52,'Data shares'!$C:$FA,98)</f>
        <v>11988200</v>
      </c>
      <c r="F52" s="51">
        <f>VLOOKUP($A52,'Data shares'!$C:$FA,99)</f>
        <v>12032475</v>
      </c>
      <c r="G52" s="50">
        <f>VLOOKUP($A52,'Data shares'!$C:$FA,101)*100</f>
        <v>-0.37</v>
      </c>
      <c r="H52" s="49">
        <f>VLOOKUP($A52,'Data Vlaue (Cr)'!$C:$FB,99)</f>
        <v>5246</v>
      </c>
      <c r="I52" s="49">
        <f>VLOOKUP($A52,'Data Vlaue (Cr)'!$C:$FB,100)</f>
        <v>5265</v>
      </c>
      <c r="J52" s="49">
        <f>VLOOKUP($A52,'Data Vlaue (Cr)'!$C:$FB,102)*100</f>
        <v>-0.37</v>
      </c>
    </row>
    <row r="53" spans="1:10" x14ac:dyDescent="0.25">
      <c r="A53" s="101" t="str">
        <f>'NIFTY GRP'!C48</f>
        <v>TMPV</v>
      </c>
      <c r="B53" s="140">
        <f>VLOOKUP($A53,'Data shares'!$C:$FA,7)</f>
        <v>358.15</v>
      </c>
      <c r="C53" s="140">
        <f>VLOOKUP($A53,'Data shares'!$C:$FA,3)</f>
        <v>360.35</v>
      </c>
      <c r="D53" s="50">
        <f>VLOOKUP($A53,'Data shares'!$C:$FA,6)*100</f>
        <v>5.33</v>
      </c>
      <c r="E53" s="51">
        <f>VLOOKUP($A53,'Data shares'!$C:$FA,98)</f>
        <v>113307200</v>
      </c>
      <c r="F53" s="51">
        <f>VLOOKUP($A53,'Data shares'!$C:$FA,99)</f>
        <v>112266400</v>
      </c>
      <c r="G53" s="50">
        <f>VLOOKUP($A53,'Data shares'!$C:$FA,101)*100</f>
        <v>0.92999999999999994</v>
      </c>
      <c r="H53" s="49">
        <f>VLOOKUP($A53,'Data Vlaue (Cr)'!$C:$FB,99)</f>
        <v>4083</v>
      </c>
      <c r="I53" s="49">
        <f>VLOOKUP($A53,'Data Vlaue (Cr)'!$C:$FB,100)</f>
        <v>4046</v>
      </c>
      <c r="J53" s="49">
        <f>VLOOKUP($A53,'Data Vlaue (Cr)'!$C:$FB,102)*100</f>
        <v>0.92999999999999994</v>
      </c>
    </row>
    <row r="54" spans="1:10" x14ac:dyDescent="0.25">
      <c r="A54" s="101" t="str">
        <f>'NIFTY GRP'!C49</f>
        <v>TRENT</v>
      </c>
      <c r="B54" s="140">
        <f>VLOOKUP($A54,'Data shares'!$C:$FA,7)</f>
        <v>4289.8</v>
      </c>
      <c r="C54" s="140">
        <f>VLOOKUP($A54,'Data shares'!$C:$FA,3)</f>
        <v>4318.1000000000004</v>
      </c>
      <c r="D54" s="50">
        <f>VLOOKUP($A54,'Data shares'!$C:$FA,6)*100</f>
        <v>4.21</v>
      </c>
      <c r="E54" s="51">
        <f>VLOOKUP($A54,'Data shares'!$C:$FA,98)</f>
        <v>11761200</v>
      </c>
      <c r="F54" s="51">
        <f>VLOOKUP($A54,'Data shares'!$C:$FA,99)</f>
        <v>12028050</v>
      </c>
      <c r="G54" s="50">
        <f>VLOOKUP($A54,'Data shares'!$C:$FA,101)*100</f>
        <v>-2.2200000000000002</v>
      </c>
      <c r="H54" s="49">
        <f>VLOOKUP($A54,'Data Vlaue (Cr)'!$C:$FB,99)</f>
        <v>5079</v>
      </c>
      <c r="I54" s="49">
        <f>VLOOKUP($A54,'Data Vlaue (Cr)'!$C:$FB,100)</f>
        <v>5194</v>
      </c>
      <c r="J54" s="49">
        <f>VLOOKUP($A54,'Data Vlaue (Cr)'!$C:$FB,102)*100</f>
        <v>-2.2200000000000002</v>
      </c>
    </row>
    <row r="55" spans="1:10" x14ac:dyDescent="0.25">
      <c r="A55" s="101" t="str">
        <f>'NIFTY GRP'!C50</f>
        <v>ULTRACEMCO</v>
      </c>
      <c r="B55" s="140">
        <f>VLOOKUP($A55,'Data shares'!$C:$FA,7)</f>
        <v>12093</v>
      </c>
      <c r="C55" s="140">
        <f>VLOOKUP($A55,'Data shares'!$C:$FA,3)</f>
        <v>12169</v>
      </c>
      <c r="D55" s="50">
        <f>VLOOKUP($A55,'Data shares'!$C:$FA,6)*100</f>
        <v>1.52</v>
      </c>
      <c r="E55" s="51">
        <f>VLOOKUP($A55,'Data shares'!$C:$FA,98)</f>
        <v>4381150</v>
      </c>
      <c r="F55" s="51">
        <f>VLOOKUP($A55,'Data shares'!$C:$FA,99)</f>
        <v>4468350</v>
      </c>
      <c r="G55" s="50">
        <f>VLOOKUP($A55,'Data shares'!$C:$FA,101)*100</f>
        <v>-1.95</v>
      </c>
      <c r="H55" s="49">
        <f>VLOOKUP($A55,'Data Vlaue (Cr)'!$C:$FB,99)</f>
        <v>5331</v>
      </c>
      <c r="I55" s="49">
        <f>VLOOKUP($A55,'Data Vlaue (Cr)'!$C:$FB,100)</f>
        <v>5438</v>
      </c>
      <c r="J55" s="49">
        <f>VLOOKUP($A55,'Data Vlaue (Cr)'!$C:$FB,102)*100</f>
        <v>-1.95</v>
      </c>
    </row>
    <row r="56" spans="1:10" x14ac:dyDescent="0.25">
      <c r="A56" s="101" t="str">
        <f>'NIFTY GRP'!C51</f>
        <v>WIPRO</v>
      </c>
      <c r="B56" s="140">
        <f>VLOOKUP($A56,'Data shares'!$C:$FA,7)</f>
        <v>199.12</v>
      </c>
      <c r="C56" s="140">
        <f>VLOOKUP($A56,'Data shares'!$C:$FA,3)</f>
        <v>197.51</v>
      </c>
      <c r="D56" s="50">
        <f>VLOOKUP($A56,'Data shares'!$C:$FA,6)*100</f>
        <v>0.70000000000000007</v>
      </c>
      <c r="E56" s="51">
        <f>VLOOKUP($A56,'Data shares'!$C:$FA,98)</f>
        <v>505053000</v>
      </c>
      <c r="F56" s="51">
        <f>VLOOKUP($A56,'Data shares'!$C:$FA,99)</f>
        <v>504246000</v>
      </c>
      <c r="G56" s="50">
        <f>VLOOKUP($A56,'Data shares'!$C:$FA,101)*100</f>
        <v>0.16</v>
      </c>
      <c r="H56" s="49">
        <f>VLOOKUP($A56,'Data Vlaue (Cr)'!$C:$FB,99)</f>
        <v>9975</v>
      </c>
      <c r="I56" s="49">
        <f>VLOOKUP($A56,'Data Vlaue (Cr)'!$C:$FB,100)</f>
        <v>9959</v>
      </c>
      <c r="J56" s="49">
        <f>VLOOKUP($A56,'Data Vlaue (Cr)'!$C:$FB,102)*100</f>
        <v>0.16</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2"/>
      <c r="B62" s="17"/>
      <c r="C62" s="17"/>
      <c r="D62" s="17"/>
      <c r="E62" s="17"/>
      <c r="F62" s="17"/>
      <c r="G62" s="17"/>
      <c r="H62" s="17"/>
      <c r="I62" s="17"/>
      <c r="J62" s="17"/>
    </row>
    <row r="63" spans="1:10" x14ac:dyDescent="0.25">
      <c r="A63" s="102"/>
      <c r="B63" s="17"/>
      <c r="C63" s="17"/>
      <c r="D63" s="17"/>
      <c r="E63" s="17"/>
      <c r="F63" s="17"/>
      <c r="G63" s="17"/>
      <c r="H63" s="17"/>
      <c r="I63" s="17"/>
      <c r="J63" s="17"/>
    </row>
    <row r="64" spans="1:10" x14ac:dyDescent="0.25">
      <c r="A64" s="126" t="s">
        <v>391</v>
      </c>
      <c r="B64" s="122"/>
      <c r="C64" s="122"/>
      <c r="D64" s="122"/>
      <c r="E64" s="127">
        <f>SUM(E7:E62)</f>
        <v>5281319083</v>
      </c>
      <c r="F64" s="127">
        <f>SUM(F7:F62)</f>
        <v>5188728535</v>
      </c>
      <c r="G64" s="128">
        <f>(E64-F64)/F64</f>
        <v>1.7844554282506898E-2</v>
      </c>
      <c r="H64" s="127">
        <f>SUM(H7:H62)</f>
        <v>429181</v>
      </c>
      <c r="I64" s="127">
        <f>SUM(I7:I62)</f>
        <v>418989</v>
      </c>
      <c r="J64" s="128">
        <f>(H64-I64)/I64</f>
        <v>2.4325220948521322E-2</v>
      </c>
    </row>
    <row r="65" spans="1:10" x14ac:dyDescent="0.25">
      <c r="A65" s="126" t="s">
        <v>398</v>
      </c>
      <c r="B65" s="122"/>
      <c r="C65" s="122"/>
      <c r="D65" s="122"/>
      <c r="E65" s="125">
        <f>E64/10000000</f>
        <v>528.13190829999996</v>
      </c>
      <c r="F65" s="125">
        <f>F64/10000000</f>
        <v>518.87285350000002</v>
      </c>
      <c r="G65" s="128">
        <f>(E65-F65)/F65</f>
        <v>1.7844554282506791E-2</v>
      </c>
      <c r="H65" s="129">
        <f>H64/10000000</f>
        <v>4.2918100000000001E-2</v>
      </c>
      <c r="I65" s="129">
        <f>I64/10000000</f>
        <v>4.1898900000000003E-2</v>
      </c>
      <c r="J65" s="128">
        <f>(H65-I65)/I65</f>
        <v>2.432522094852127E-2</v>
      </c>
    </row>
    <row r="70" spans="1:10" x14ac:dyDescent="0.25">
      <c r="A70" s="43"/>
      <c r="B70" s="43"/>
      <c r="C70" s="44"/>
    </row>
    <row r="71" spans="1:10" ht="34.5" x14ac:dyDescent="0.25">
      <c r="A71" s="95" t="s">
        <v>411</v>
      </c>
      <c r="B71" s="45"/>
      <c r="C71" s="45" t="s">
        <v>385</v>
      </c>
    </row>
    <row r="72" spans="1:10" x14ac:dyDescent="0.25">
      <c r="A72" s="22" t="s">
        <v>412</v>
      </c>
      <c r="B72" s="22" t="s">
        <v>413</v>
      </c>
      <c r="C72" s="22" t="s">
        <v>414</v>
      </c>
    </row>
    <row r="73" spans="1:10" x14ac:dyDescent="0.25">
      <c r="A73" s="38">
        <f>H64</f>
        <v>429181</v>
      </c>
      <c r="B73" s="38">
        <f>I64</f>
        <v>418989</v>
      </c>
      <c r="C73" s="42">
        <f>J64</f>
        <v>2.4325220948521322E-2</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2"/>
  <sheetViews>
    <sheetView workbookViewId="0">
      <pane ySplit="6" topLeftCell="A191" activePane="bottomLeft" state="frozen"/>
      <selection pane="bottomLeft" activeCell="A7" sqref="A7:A221"/>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8" t="s">
        <v>356</v>
      </c>
      <c r="B3" s="299"/>
      <c r="C3" s="299"/>
      <c r="D3" s="299"/>
      <c r="E3" s="299"/>
      <c r="F3" s="299"/>
      <c r="G3" s="299"/>
      <c r="H3" s="299"/>
      <c r="I3" s="299"/>
      <c r="J3" s="299"/>
      <c r="K3" s="299"/>
      <c r="L3" s="299"/>
      <c r="M3" s="299"/>
      <c r="N3" s="299"/>
      <c r="O3" s="300"/>
    </row>
    <row r="4" spans="1:15" s="93" customFormat="1" x14ac:dyDescent="0.25">
      <c r="A4" s="285" t="s">
        <v>330</v>
      </c>
      <c r="B4" s="287" t="s">
        <v>308</v>
      </c>
      <c r="C4" s="289"/>
      <c r="D4" s="287" t="s">
        <v>357</v>
      </c>
      <c r="E4" s="288"/>
      <c r="F4" s="288"/>
      <c r="G4" s="288"/>
      <c r="H4" s="288"/>
      <c r="I4" s="288"/>
      <c r="J4" s="288"/>
      <c r="K4" s="288"/>
      <c r="L4" s="288"/>
      <c r="M4" s="288"/>
      <c r="N4" s="288"/>
      <c r="O4" s="289"/>
    </row>
    <row r="5" spans="1:15" s="93" customFormat="1" x14ac:dyDescent="0.25">
      <c r="A5" s="286"/>
      <c r="B5" s="301" t="s">
        <v>312</v>
      </c>
      <c r="C5" s="291"/>
      <c r="D5" s="301" t="s">
        <v>357</v>
      </c>
      <c r="E5" s="290"/>
      <c r="F5" s="291"/>
      <c r="G5" s="301" t="s">
        <v>358</v>
      </c>
      <c r="H5" s="290"/>
      <c r="I5" s="291"/>
      <c r="J5" s="301" t="s">
        <v>359</v>
      </c>
      <c r="K5" s="290"/>
      <c r="L5" s="291"/>
      <c r="M5" s="301" t="s">
        <v>360</v>
      </c>
      <c r="N5" s="290"/>
      <c r="O5" s="291"/>
    </row>
    <row r="6" spans="1:15" s="93" customFormat="1" x14ac:dyDescent="0.25">
      <c r="A6" s="76" t="s">
        <v>318</v>
      </c>
      <c r="B6" s="3">
        <f>'Nifty Baskets'!B6</f>
        <v>46148</v>
      </c>
      <c r="C6" s="76" t="s">
        <v>328</v>
      </c>
      <c r="D6" s="3">
        <f>B6</f>
        <v>46148</v>
      </c>
      <c r="E6" s="76" t="s">
        <v>322</v>
      </c>
      <c r="F6" s="76" t="s">
        <v>328</v>
      </c>
      <c r="G6" s="3">
        <f>D6</f>
        <v>46148</v>
      </c>
      <c r="H6" s="76" t="s">
        <v>322</v>
      </c>
      <c r="I6" s="76" t="s">
        <v>328</v>
      </c>
      <c r="J6" s="3">
        <f>D6</f>
        <v>46148</v>
      </c>
      <c r="K6" s="76" t="s">
        <v>322</v>
      </c>
      <c r="L6" s="76" t="s">
        <v>328</v>
      </c>
      <c r="M6" s="3">
        <f>D6</f>
        <v>46148</v>
      </c>
      <c r="N6" s="76" t="s">
        <v>322</v>
      </c>
      <c r="O6" s="76" t="s">
        <v>328</v>
      </c>
    </row>
    <row r="7" spans="1:15" x14ac:dyDescent="0.25">
      <c r="A7" s="101" t="str">
        <f>'Data Vlaue (Cr)'!C2</f>
        <v>360ONE</v>
      </c>
      <c r="B7" s="50">
        <f>VLOOKUP($A7,'Data Vlaue (Cr)'!$C:$FB,8)</f>
        <v>1084.0999999999999</v>
      </c>
      <c r="C7" s="50">
        <f>VLOOKUP($A7,'Data Vlaue (Cr)'!$C:$FB,11)*100</f>
        <v>1.25</v>
      </c>
      <c r="D7" s="50">
        <f>VLOOKUP($A7,'Data Vlaue (Cr)'!$C:$FB,143)</f>
        <v>282.39</v>
      </c>
      <c r="E7" s="50">
        <f>VLOOKUP($A7,'Data Vlaue (Cr)'!$C:$FB,144)</f>
        <v>327.35000000000002</v>
      </c>
      <c r="F7" s="50">
        <f>VLOOKUP($A7,'Data Vlaue (Cr)'!$C:$FB,146)*100</f>
        <v>-13.74</v>
      </c>
      <c r="G7" s="49">
        <f>VLOOKUP($A7,'Data Vlaue (Cr)'!$C:$FB,43)</f>
        <v>138</v>
      </c>
      <c r="H7" s="49">
        <f>VLOOKUP($A7,'Data Vlaue (Cr)'!$C:$FB,44)</f>
        <v>157</v>
      </c>
      <c r="I7" s="49">
        <f>VLOOKUP($A7,'Data Vlaue (Cr)'!$C:$FB,46)*100</f>
        <v>-11.940000000000001</v>
      </c>
      <c r="J7" s="51">
        <f>VLOOKUP($A7,'Data Vlaue (Cr)'!$C:$FB,59)</f>
        <v>112</v>
      </c>
      <c r="K7" s="51">
        <f>VLOOKUP($A7,'Data Vlaue (Cr)'!$C:$FB,60)</f>
        <v>120</v>
      </c>
      <c r="L7" s="51">
        <f>VLOOKUP($A7,'Data Vlaue (Cr)'!$C:$FB,62)*100</f>
        <v>-6.03</v>
      </c>
      <c r="M7" s="51">
        <f>VLOOKUP($A7,'Data Vlaue (Cr)'!$C:$FB,63)</f>
        <v>27</v>
      </c>
      <c r="N7" s="51">
        <f>VLOOKUP($A7,'Data Vlaue (Cr)'!$C:$FB,64)</f>
        <v>50</v>
      </c>
      <c r="O7" s="51">
        <f>VLOOKUP($A7,'Data Vlaue (Cr)'!$C:$FB,66)*100</f>
        <v>-44.6</v>
      </c>
    </row>
    <row r="8" spans="1:15" x14ac:dyDescent="0.25">
      <c r="A8" s="101" t="str">
        <f>'Data Vlaue (Cr)'!C3</f>
        <v>ABB</v>
      </c>
      <c r="B8" s="50">
        <f>VLOOKUP($A8,'Data Vlaue (Cr)'!$C:$FB,8)</f>
        <v>7182.5</v>
      </c>
      <c r="C8" s="50">
        <f>VLOOKUP($A8,'Data Vlaue (Cr)'!$C:$FB,11)*100</f>
        <v>-1.9900000000000002</v>
      </c>
      <c r="D8" s="50">
        <f>VLOOKUP($A8,'Data Vlaue (Cr)'!$C:$FB,143)</f>
        <v>2414.1799999999998</v>
      </c>
      <c r="E8" s="50">
        <f>VLOOKUP($A8,'Data Vlaue (Cr)'!$C:$FB,144)</f>
        <v>1672.52</v>
      </c>
      <c r="F8" s="50">
        <f>VLOOKUP($A8,'Data Vlaue (Cr)'!$C:$FB,146)*100</f>
        <v>44.34</v>
      </c>
      <c r="G8" s="49">
        <f>VLOOKUP($A8,'Data Vlaue (Cr)'!$C:$FB,43)</f>
        <v>436</v>
      </c>
      <c r="H8" s="49">
        <f>VLOOKUP($A8,'Data Vlaue (Cr)'!$C:$FB,44)</f>
        <v>283</v>
      </c>
      <c r="I8" s="49">
        <f>VLOOKUP($A8,'Data Vlaue (Cr)'!$C:$FB,46)*100</f>
        <v>54.13</v>
      </c>
      <c r="J8" s="51">
        <f>VLOOKUP($A8,'Data Vlaue (Cr)'!$C:$FB,59)</f>
        <v>1336</v>
      </c>
      <c r="K8" s="51">
        <f>VLOOKUP($A8,'Data Vlaue (Cr)'!$C:$FB,60)</f>
        <v>1027</v>
      </c>
      <c r="L8" s="51">
        <f>VLOOKUP($A8,'Data Vlaue (Cr)'!$C:$FB,62)*100</f>
        <v>30.09</v>
      </c>
      <c r="M8" s="51">
        <f>VLOOKUP($A8,'Data Vlaue (Cr)'!$C:$FB,63)</f>
        <v>528</v>
      </c>
      <c r="N8" s="51">
        <f>VLOOKUP($A8,'Data Vlaue (Cr)'!$C:$FB,64)</f>
        <v>261</v>
      </c>
      <c r="O8" s="51">
        <f>VLOOKUP($A8,'Data Vlaue (Cr)'!$C:$FB,66)*100</f>
        <v>102.44</v>
      </c>
    </row>
    <row r="9" spans="1:15" x14ac:dyDescent="0.25">
      <c r="A9" s="101" t="str">
        <f>'Data Vlaue (Cr)'!C4</f>
        <v>ABCAPITAL</v>
      </c>
      <c r="B9" s="50">
        <f>VLOOKUP($A9,'Data Vlaue (Cr)'!$C:$FB,8)</f>
        <v>369.3</v>
      </c>
      <c r="C9" s="50">
        <f>VLOOKUP($A9,'Data Vlaue (Cr)'!$C:$FB,11)*100</f>
        <v>2.34</v>
      </c>
      <c r="D9" s="50">
        <f>VLOOKUP($A9,'Data Vlaue (Cr)'!$C:$FB,143)</f>
        <v>3238.64</v>
      </c>
      <c r="E9" s="50">
        <f>VLOOKUP($A9,'Data Vlaue (Cr)'!$C:$FB,144)</f>
        <v>5467.58</v>
      </c>
      <c r="F9" s="50">
        <f>VLOOKUP($A9,'Data Vlaue (Cr)'!$C:$FB,146)*100</f>
        <v>-40.770000000000003</v>
      </c>
      <c r="G9" s="49">
        <f>VLOOKUP($A9,'Data Vlaue (Cr)'!$C:$FB,43)</f>
        <v>524</v>
      </c>
      <c r="H9" s="49">
        <f>VLOOKUP($A9,'Data Vlaue (Cr)'!$C:$FB,44)</f>
        <v>965</v>
      </c>
      <c r="I9" s="49">
        <f>VLOOKUP($A9,'Data Vlaue (Cr)'!$C:$FB,46)*100</f>
        <v>-45.73</v>
      </c>
      <c r="J9" s="51">
        <f>VLOOKUP($A9,'Data Vlaue (Cr)'!$C:$FB,59)</f>
        <v>1719</v>
      </c>
      <c r="K9" s="51">
        <f>VLOOKUP($A9,'Data Vlaue (Cr)'!$C:$FB,60)</f>
        <v>3130</v>
      </c>
      <c r="L9" s="51">
        <f>VLOOKUP($A9,'Data Vlaue (Cr)'!$C:$FB,62)*100</f>
        <v>-45.09</v>
      </c>
      <c r="M9" s="51">
        <f>VLOOKUP($A9,'Data Vlaue (Cr)'!$C:$FB,63)</f>
        <v>956</v>
      </c>
      <c r="N9" s="51">
        <f>VLOOKUP($A9,'Data Vlaue (Cr)'!$C:$FB,64)</f>
        <v>1406</v>
      </c>
      <c r="O9" s="51">
        <f>VLOOKUP($A9,'Data Vlaue (Cr)'!$C:$FB,66)*100</f>
        <v>-31.990000000000002</v>
      </c>
    </row>
    <row r="10" spans="1:15" x14ac:dyDescent="0.25">
      <c r="A10" s="101" t="str">
        <f>'Data Vlaue (Cr)'!C5</f>
        <v>ADANIENSOL</v>
      </c>
      <c r="B10" s="50">
        <f>VLOOKUP($A10,'Data Vlaue (Cr)'!$C:$FB,8)</f>
        <v>1407.3</v>
      </c>
      <c r="C10" s="50">
        <f>VLOOKUP($A10,'Data Vlaue (Cr)'!$C:$FB,11)*100</f>
        <v>-0.16</v>
      </c>
      <c r="D10" s="50">
        <f>VLOOKUP($A10,'Data Vlaue (Cr)'!$C:$FB,143)</f>
        <v>2313.44</v>
      </c>
      <c r="E10" s="50">
        <f>VLOOKUP($A10,'Data Vlaue (Cr)'!$C:$FB,144)</f>
        <v>2388.48</v>
      </c>
      <c r="F10" s="50">
        <f>VLOOKUP($A10,'Data Vlaue (Cr)'!$C:$FB,146)*100</f>
        <v>-3.1399999999999997</v>
      </c>
      <c r="G10" s="49">
        <f>VLOOKUP($A10,'Data Vlaue (Cr)'!$C:$FB,43)</f>
        <v>685</v>
      </c>
      <c r="H10" s="49">
        <f>VLOOKUP($A10,'Data Vlaue (Cr)'!$C:$FB,44)</f>
        <v>634</v>
      </c>
      <c r="I10" s="49">
        <f>VLOOKUP($A10,'Data Vlaue (Cr)'!$C:$FB,46)*100</f>
        <v>8.07</v>
      </c>
      <c r="J10" s="51">
        <f>VLOOKUP($A10,'Data Vlaue (Cr)'!$C:$FB,59)</f>
        <v>1089</v>
      </c>
      <c r="K10" s="51">
        <f>VLOOKUP($A10,'Data Vlaue (Cr)'!$C:$FB,60)</f>
        <v>1122</v>
      </c>
      <c r="L10" s="51">
        <f>VLOOKUP($A10,'Data Vlaue (Cr)'!$C:$FB,62)*100</f>
        <v>-2.93</v>
      </c>
      <c r="M10" s="51">
        <f>VLOOKUP($A10,'Data Vlaue (Cr)'!$C:$FB,63)</f>
        <v>484</v>
      </c>
      <c r="N10" s="51">
        <f>VLOOKUP($A10,'Data Vlaue (Cr)'!$C:$FB,64)</f>
        <v>568</v>
      </c>
      <c r="O10" s="51">
        <f>VLOOKUP($A10,'Data Vlaue (Cr)'!$C:$FB,66)*100</f>
        <v>-14.82</v>
      </c>
    </row>
    <row r="11" spans="1:15" x14ac:dyDescent="0.25">
      <c r="A11" s="101" t="str">
        <f>'Data Vlaue (Cr)'!C6</f>
        <v>ADANIENT</v>
      </c>
      <c r="B11" s="50">
        <f>VLOOKUP($A11,'Data Vlaue (Cr)'!$C:$FB,8)</f>
        <v>2540.3000000000002</v>
      </c>
      <c r="C11" s="50">
        <f>VLOOKUP($A11,'Data Vlaue (Cr)'!$C:$FB,11)*100</f>
        <v>3.18</v>
      </c>
      <c r="D11" s="50">
        <f>VLOOKUP($A11,'Data Vlaue (Cr)'!$C:$FB,143)</f>
        <v>7399.88</v>
      </c>
      <c r="E11" s="50">
        <f>VLOOKUP($A11,'Data Vlaue (Cr)'!$C:$FB,144)</f>
        <v>3536.52</v>
      </c>
      <c r="F11" s="50">
        <f>VLOOKUP($A11,'Data Vlaue (Cr)'!$C:$FB,146)*100</f>
        <v>109.24000000000001</v>
      </c>
      <c r="G11" s="49">
        <f>VLOOKUP($A11,'Data Vlaue (Cr)'!$C:$FB,43)</f>
        <v>1192</v>
      </c>
      <c r="H11" s="49">
        <f>VLOOKUP($A11,'Data Vlaue (Cr)'!$C:$FB,44)</f>
        <v>654</v>
      </c>
      <c r="I11" s="49">
        <f>VLOOKUP($A11,'Data Vlaue (Cr)'!$C:$FB,46)*100</f>
        <v>82.19</v>
      </c>
      <c r="J11" s="51">
        <f>VLOOKUP($A11,'Data Vlaue (Cr)'!$C:$FB,59)</f>
        <v>3936</v>
      </c>
      <c r="K11" s="51">
        <f>VLOOKUP($A11,'Data Vlaue (Cr)'!$C:$FB,60)</f>
        <v>1716</v>
      </c>
      <c r="L11" s="51">
        <f>VLOOKUP($A11,'Data Vlaue (Cr)'!$C:$FB,62)*100</f>
        <v>129.37</v>
      </c>
      <c r="M11" s="51">
        <f>VLOOKUP($A11,'Data Vlaue (Cr)'!$C:$FB,63)</f>
        <v>2248</v>
      </c>
      <c r="N11" s="51">
        <f>VLOOKUP($A11,'Data Vlaue (Cr)'!$C:$FB,64)</f>
        <v>1229</v>
      </c>
      <c r="O11" s="51">
        <f>VLOOKUP($A11,'Data Vlaue (Cr)'!$C:$FB,66)*100</f>
        <v>83</v>
      </c>
    </row>
    <row r="12" spans="1:15" x14ac:dyDescent="0.25">
      <c r="A12" s="101" t="str">
        <f>'Data Vlaue (Cr)'!C7</f>
        <v>ADANIGREEN</v>
      </c>
      <c r="B12" s="50">
        <f>VLOOKUP($A12,'Data Vlaue (Cr)'!$C:$FB,8)</f>
        <v>1353</v>
      </c>
      <c r="C12" s="50">
        <f>VLOOKUP($A12,'Data Vlaue (Cr)'!$C:$FB,11)*100</f>
        <v>1.6199999999999999</v>
      </c>
      <c r="D12" s="50">
        <f>VLOOKUP($A12,'Data Vlaue (Cr)'!$C:$FB,143)</f>
        <v>3550.84</v>
      </c>
      <c r="E12" s="50">
        <f>VLOOKUP($A12,'Data Vlaue (Cr)'!$C:$FB,144)</f>
        <v>3761.89</v>
      </c>
      <c r="F12" s="50">
        <f>VLOOKUP($A12,'Data Vlaue (Cr)'!$C:$FB,146)*100</f>
        <v>-5.6099999999999994</v>
      </c>
      <c r="G12" s="49">
        <f>VLOOKUP($A12,'Data Vlaue (Cr)'!$C:$FB,43)</f>
        <v>625</v>
      </c>
      <c r="H12" s="49">
        <f>VLOOKUP($A12,'Data Vlaue (Cr)'!$C:$FB,44)</f>
        <v>616</v>
      </c>
      <c r="I12" s="49">
        <f>VLOOKUP($A12,'Data Vlaue (Cr)'!$C:$FB,46)*100</f>
        <v>1.55</v>
      </c>
      <c r="J12" s="51">
        <f>VLOOKUP($A12,'Data Vlaue (Cr)'!$C:$FB,59)</f>
        <v>2025</v>
      </c>
      <c r="K12" s="51">
        <f>VLOOKUP($A12,'Data Vlaue (Cr)'!$C:$FB,60)</f>
        <v>2207</v>
      </c>
      <c r="L12" s="51">
        <f>VLOOKUP($A12,'Data Vlaue (Cr)'!$C:$FB,62)*100</f>
        <v>-8.24</v>
      </c>
      <c r="M12" s="51">
        <f>VLOOKUP($A12,'Data Vlaue (Cr)'!$C:$FB,63)</f>
        <v>856</v>
      </c>
      <c r="N12" s="51">
        <f>VLOOKUP($A12,'Data Vlaue (Cr)'!$C:$FB,64)</f>
        <v>949</v>
      </c>
      <c r="O12" s="51">
        <f>VLOOKUP($A12,'Data Vlaue (Cr)'!$C:$FB,66)*100</f>
        <v>-9.7799999999999994</v>
      </c>
    </row>
    <row r="13" spans="1:15" x14ac:dyDescent="0.25">
      <c r="A13" s="101" t="str">
        <f>'Data Vlaue (Cr)'!C8</f>
        <v>ADANIPORTS</v>
      </c>
      <c r="B13" s="50">
        <f>VLOOKUP($A13,'Data Vlaue (Cr)'!$C:$FB,8)</f>
        <v>1748.3</v>
      </c>
      <c r="C13" s="50">
        <f>VLOOKUP($A13,'Data Vlaue (Cr)'!$C:$FB,11)*100</f>
        <v>1.35</v>
      </c>
      <c r="D13" s="50">
        <f>VLOOKUP($A13,'Data Vlaue (Cr)'!$C:$FB,143)</f>
        <v>4504.2299999999996</v>
      </c>
      <c r="E13" s="50">
        <f>VLOOKUP($A13,'Data Vlaue (Cr)'!$C:$FB,144)</f>
        <v>5601.32</v>
      </c>
      <c r="F13" s="50">
        <f>VLOOKUP($A13,'Data Vlaue (Cr)'!$C:$FB,146)*100</f>
        <v>-19.59</v>
      </c>
      <c r="G13" s="49">
        <f>VLOOKUP($A13,'Data Vlaue (Cr)'!$C:$FB,43)</f>
        <v>681</v>
      </c>
      <c r="H13" s="49">
        <f>VLOOKUP($A13,'Data Vlaue (Cr)'!$C:$FB,44)</f>
        <v>794</v>
      </c>
      <c r="I13" s="49">
        <f>VLOOKUP($A13,'Data Vlaue (Cr)'!$C:$FB,46)*100</f>
        <v>-14.21</v>
      </c>
      <c r="J13" s="51">
        <f>VLOOKUP($A13,'Data Vlaue (Cr)'!$C:$FB,59)</f>
        <v>2386</v>
      </c>
      <c r="K13" s="51">
        <f>VLOOKUP($A13,'Data Vlaue (Cr)'!$C:$FB,60)</f>
        <v>3041</v>
      </c>
      <c r="L13" s="51">
        <f>VLOOKUP($A13,'Data Vlaue (Cr)'!$C:$FB,62)*100</f>
        <v>-21.560000000000002</v>
      </c>
      <c r="M13" s="51">
        <f>VLOOKUP($A13,'Data Vlaue (Cr)'!$C:$FB,63)</f>
        <v>1386</v>
      </c>
      <c r="N13" s="51">
        <f>VLOOKUP($A13,'Data Vlaue (Cr)'!$C:$FB,64)</f>
        <v>1708</v>
      </c>
      <c r="O13" s="51">
        <f>VLOOKUP($A13,'Data Vlaue (Cr)'!$C:$FB,66)*100</f>
        <v>-18.850000000000001</v>
      </c>
    </row>
    <row r="14" spans="1:15" x14ac:dyDescent="0.25">
      <c r="A14" s="101" t="str">
        <f>'Data Vlaue (Cr)'!C9</f>
        <v>ADANIPOWER</v>
      </c>
      <c r="B14" s="50">
        <f>VLOOKUP($A14,'Data Vlaue (Cr)'!$C:$FB,8)</f>
        <v>229.12</v>
      </c>
      <c r="C14" s="50">
        <f>VLOOKUP($A14,'Data Vlaue (Cr)'!$C:$FB,11)*100</f>
        <v>-0.37</v>
      </c>
      <c r="D14" s="50">
        <f>VLOOKUP($A14,'Data Vlaue (Cr)'!$C:$FB,143)</f>
        <v>1937.2</v>
      </c>
      <c r="E14" s="50">
        <f>VLOOKUP($A14,'Data Vlaue (Cr)'!$C:$FB,144)</f>
        <v>1862.61</v>
      </c>
      <c r="F14" s="50">
        <f>VLOOKUP($A14,'Data Vlaue (Cr)'!$C:$FB,146)*100</f>
        <v>4</v>
      </c>
      <c r="G14" s="49">
        <f>VLOOKUP($A14,'Data Vlaue (Cr)'!$C:$FB,43)</f>
        <v>628</v>
      </c>
      <c r="H14" s="49">
        <f>VLOOKUP($A14,'Data Vlaue (Cr)'!$C:$FB,44)</f>
        <v>447</v>
      </c>
      <c r="I14" s="49">
        <f>VLOOKUP($A14,'Data Vlaue (Cr)'!$C:$FB,46)*100</f>
        <v>40.67</v>
      </c>
      <c r="J14" s="51">
        <f>VLOOKUP($A14,'Data Vlaue (Cr)'!$C:$FB,59)</f>
        <v>898</v>
      </c>
      <c r="K14" s="51">
        <f>VLOOKUP($A14,'Data Vlaue (Cr)'!$C:$FB,60)</f>
        <v>1006</v>
      </c>
      <c r="L14" s="51">
        <f>VLOOKUP($A14,'Data Vlaue (Cr)'!$C:$FB,62)*100</f>
        <v>-10.76</v>
      </c>
      <c r="M14" s="51">
        <f>VLOOKUP($A14,'Data Vlaue (Cr)'!$C:$FB,63)</f>
        <v>382</v>
      </c>
      <c r="N14" s="51">
        <f>VLOOKUP($A14,'Data Vlaue (Cr)'!$C:$FB,64)</f>
        <v>341</v>
      </c>
      <c r="O14" s="51">
        <f>VLOOKUP($A14,'Data Vlaue (Cr)'!$C:$FB,66)*100</f>
        <v>12.08</v>
      </c>
    </row>
    <row r="15" spans="1:15" x14ac:dyDescent="0.25">
      <c r="A15" s="101" t="str">
        <f>'Data Vlaue (Cr)'!C10</f>
        <v>ALKEM</v>
      </c>
      <c r="B15" s="50">
        <f>VLOOKUP($A15,'Data Vlaue (Cr)'!$C:$FB,8)</f>
        <v>5557</v>
      </c>
      <c r="C15" s="50">
        <f>VLOOKUP($A15,'Data Vlaue (Cr)'!$C:$FB,11)*100</f>
        <v>2.85</v>
      </c>
      <c r="D15" s="50">
        <f>VLOOKUP($A15,'Data Vlaue (Cr)'!$C:$FB,143)</f>
        <v>851.9</v>
      </c>
      <c r="E15" s="50">
        <f>VLOOKUP($A15,'Data Vlaue (Cr)'!$C:$FB,144)</f>
        <v>202.28</v>
      </c>
      <c r="F15" s="50">
        <f>VLOOKUP($A15,'Data Vlaue (Cr)'!$C:$FB,146)*100</f>
        <v>321.15999999999997</v>
      </c>
      <c r="G15" s="49">
        <f>VLOOKUP($A15,'Data Vlaue (Cr)'!$C:$FB,43)</f>
        <v>114</v>
      </c>
      <c r="H15" s="49">
        <f>VLOOKUP($A15,'Data Vlaue (Cr)'!$C:$FB,44)</f>
        <v>42</v>
      </c>
      <c r="I15" s="49">
        <f>VLOOKUP($A15,'Data Vlaue (Cr)'!$C:$FB,46)*100</f>
        <v>168.79</v>
      </c>
      <c r="J15" s="51">
        <f>VLOOKUP($A15,'Data Vlaue (Cr)'!$C:$FB,59)</f>
        <v>554</v>
      </c>
      <c r="K15" s="51">
        <f>VLOOKUP($A15,'Data Vlaue (Cr)'!$C:$FB,60)</f>
        <v>117</v>
      </c>
      <c r="L15" s="51">
        <f>VLOOKUP($A15,'Data Vlaue (Cr)'!$C:$FB,62)*100</f>
        <v>374.23</v>
      </c>
      <c r="M15" s="51">
        <f>VLOOKUP($A15,'Data Vlaue (Cr)'!$C:$FB,63)</f>
        <v>160</v>
      </c>
      <c r="N15" s="51">
        <f>VLOOKUP($A15,'Data Vlaue (Cr)'!$C:$FB,64)</f>
        <v>43</v>
      </c>
      <c r="O15" s="51">
        <f>VLOOKUP($A15,'Data Vlaue (Cr)'!$C:$FB,66)*100</f>
        <v>272.58</v>
      </c>
    </row>
    <row r="16" spans="1:15" x14ac:dyDescent="0.25">
      <c r="A16" s="101" t="str">
        <f>'Data Vlaue (Cr)'!C11</f>
        <v>AMBER</v>
      </c>
      <c r="B16" s="50">
        <f>VLOOKUP($A16,'Data Vlaue (Cr)'!$C:$FB,8)</f>
        <v>8661.5</v>
      </c>
      <c r="C16" s="50">
        <f>VLOOKUP($A16,'Data Vlaue (Cr)'!$C:$FB,11)*100</f>
        <v>5.58</v>
      </c>
      <c r="D16" s="50">
        <f>VLOOKUP($A16,'Data Vlaue (Cr)'!$C:$FB,143)</f>
        <v>4241.79</v>
      </c>
      <c r="E16" s="50">
        <f>VLOOKUP($A16,'Data Vlaue (Cr)'!$C:$FB,144)</f>
        <v>1164.17</v>
      </c>
      <c r="F16" s="50">
        <f>VLOOKUP($A16,'Data Vlaue (Cr)'!$C:$FB,146)*100</f>
        <v>264.36</v>
      </c>
      <c r="G16" s="49">
        <f>VLOOKUP($A16,'Data Vlaue (Cr)'!$C:$FB,43)</f>
        <v>829</v>
      </c>
      <c r="H16" s="49">
        <f>VLOOKUP($A16,'Data Vlaue (Cr)'!$C:$FB,44)</f>
        <v>295</v>
      </c>
      <c r="I16" s="49">
        <f>VLOOKUP($A16,'Data Vlaue (Cr)'!$C:$FB,46)*100</f>
        <v>180.69</v>
      </c>
      <c r="J16" s="51">
        <f>VLOOKUP($A16,'Data Vlaue (Cr)'!$C:$FB,59)</f>
        <v>2411</v>
      </c>
      <c r="K16" s="51">
        <f>VLOOKUP($A16,'Data Vlaue (Cr)'!$C:$FB,60)</f>
        <v>674</v>
      </c>
      <c r="L16" s="51">
        <f>VLOOKUP($A16,'Data Vlaue (Cr)'!$C:$FB,62)*100</f>
        <v>257.71000000000004</v>
      </c>
      <c r="M16" s="51">
        <f>VLOOKUP($A16,'Data Vlaue (Cr)'!$C:$FB,63)</f>
        <v>976</v>
      </c>
      <c r="N16" s="51">
        <f>VLOOKUP($A16,'Data Vlaue (Cr)'!$C:$FB,64)</f>
        <v>238</v>
      </c>
      <c r="O16" s="51">
        <f>VLOOKUP($A16,'Data Vlaue (Cr)'!$C:$FB,66)*100</f>
        <v>309.16000000000003</v>
      </c>
    </row>
    <row r="17" spans="1:15" x14ac:dyDescent="0.25">
      <c r="A17" s="101" t="str">
        <f>'Data Vlaue (Cr)'!C12</f>
        <v>AMBUJACEM</v>
      </c>
      <c r="B17" s="50">
        <f>VLOOKUP($A17,'Data Vlaue (Cr)'!$C:$FB,8)</f>
        <v>446.9</v>
      </c>
      <c r="C17" s="50">
        <f>VLOOKUP($A17,'Data Vlaue (Cr)'!$C:$FB,11)*100</f>
        <v>3.19</v>
      </c>
      <c r="D17" s="50">
        <f>VLOOKUP($A17,'Data Vlaue (Cr)'!$C:$FB,143)</f>
        <v>3364.21</v>
      </c>
      <c r="E17" s="50">
        <f>VLOOKUP($A17,'Data Vlaue (Cr)'!$C:$FB,144)</f>
        <v>3243.64</v>
      </c>
      <c r="F17" s="50">
        <f>VLOOKUP($A17,'Data Vlaue (Cr)'!$C:$FB,146)*100</f>
        <v>3.7199999999999998</v>
      </c>
      <c r="G17" s="49">
        <f>VLOOKUP($A17,'Data Vlaue (Cr)'!$C:$FB,43)</f>
        <v>636</v>
      </c>
      <c r="H17" s="49">
        <f>VLOOKUP($A17,'Data Vlaue (Cr)'!$C:$FB,44)</f>
        <v>671</v>
      </c>
      <c r="I17" s="49">
        <f>VLOOKUP($A17,'Data Vlaue (Cr)'!$C:$FB,46)*100</f>
        <v>-5.1499999999999995</v>
      </c>
      <c r="J17" s="51">
        <f>VLOOKUP($A17,'Data Vlaue (Cr)'!$C:$FB,59)</f>
        <v>1967</v>
      </c>
      <c r="K17" s="51">
        <f>VLOOKUP($A17,'Data Vlaue (Cr)'!$C:$FB,60)</f>
        <v>1740</v>
      </c>
      <c r="L17" s="51">
        <f>VLOOKUP($A17,'Data Vlaue (Cr)'!$C:$FB,62)*100</f>
        <v>13.089999999999998</v>
      </c>
      <c r="M17" s="51">
        <f>VLOOKUP($A17,'Data Vlaue (Cr)'!$C:$FB,63)</f>
        <v>659</v>
      </c>
      <c r="N17" s="51">
        <f>VLOOKUP($A17,'Data Vlaue (Cr)'!$C:$FB,64)</f>
        <v>782</v>
      </c>
      <c r="O17" s="51">
        <f>VLOOKUP($A17,'Data Vlaue (Cr)'!$C:$FB,66)*100</f>
        <v>-15.78</v>
      </c>
    </row>
    <row r="18" spans="1:15" x14ac:dyDescent="0.25">
      <c r="A18" s="101" t="str">
        <f>'Data Vlaue (Cr)'!C13</f>
        <v>ANGELONE</v>
      </c>
      <c r="B18" s="50">
        <f>VLOOKUP($A18,'Data Vlaue (Cr)'!$C:$FB,8)</f>
        <v>316.85000000000002</v>
      </c>
      <c r="C18" s="50">
        <f>VLOOKUP($A18,'Data Vlaue (Cr)'!$C:$FB,11)*100</f>
        <v>0.77999999999999992</v>
      </c>
      <c r="D18" s="50">
        <f>VLOOKUP($A18,'Data Vlaue (Cr)'!$C:$FB,143)</f>
        <v>1649.2</v>
      </c>
      <c r="E18" s="50">
        <f>VLOOKUP($A18,'Data Vlaue (Cr)'!$C:$FB,144)</f>
        <v>1595.27</v>
      </c>
      <c r="F18" s="50">
        <f>VLOOKUP($A18,'Data Vlaue (Cr)'!$C:$FB,146)*100</f>
        <v>3.38</v>
      </c>
      <c r="G18" s="49">
        <f>VLOOKUP($A18,'Data Vlaue (Cr)'!$C:$FB,43)</f>
        <v>228</v>
      </c>
      <c r="H18" s="49">
        <f>VLOOKUP($A18,'Data Vlaue (Cr)'!$C:$FB,44)</f>
        <v>228</v>
      </c>
      <c r="I18" s="49">
        <f>VLOOKUP($A18,'Data Vlaue (Cr)'!$C:$FB,46)*100</f>
        <v>-0.21</v>
      </c>
      <c r="J18" s="51">
        <f>VLOOKUP($A18,'Data Vlaue (Cr)'!$C:$FB,59)</f>
        <v>1030</v>
      </c>
      <c r="K18" s="51">
        <f>VLOOKUP($A18,'Data Vlaue (Cr)'!$C:$FB,60)</f>
        <v>936</v>
      </c>
      <c r="L18" s="51">
        <f>VLOOKUP($A18,'Data Vlaue (Cr)'!$C:$FB,62)*100</f>
        <v>10.01</v>
      </c>
      <c r="M18" s="51">
        <f>VLOOKUP($A18,'Data Vlaue (Cr)'!$C:$FB,63)</f>
        <v>329</v>
      </c>
      <c r="N18" s="51">
        <f>VLOOKUP($A18,'Data Vlaue (Cr)'!$C:$FB,64)</f>
        <v>392</v>
      </c>
      <c r="O18" s="51">
        <f>VLOOKUP($A18,'Data Vlaue (Cr)'!$C:$FB,66)*100</f>
        <v>-16.04</v>
      </c>
    </row>
    <row r="19" spans="1:15" x14ac:dyDescent="0.25">
      <c r="A19" s="101" t="str">
        <f>'Data Vlaue (Cr)'!C14</f>
        <v>APLAPOLLO</v>
      </c>
      <c r="B19" s="50">
        <f>VLOOKUP($A19,'Data Vlaue (Cr)'!$C:$FB,8)</f>
        <v>1914.7</v>
      </c>
      <c r="C19" s="50">
        <f>VLOOKUP($A19,'Data Vlaue (Cr)'!$C:$FB,11)*100</f>
        <v>2.36</v>
      </c>
      <c r="D19" s="50">
        <f>VLOOKUP($A19,'Data Vlaue (Cr)'!$C:$FB,143)</f>
        <v>820.35</v>
      </c>
      <c r="E19" s="50">
        <f>VLOOKUP($A19,'Data Vlaue (Cr)'!$C:$FB,144)</f>
        <v>820.59</v>
      </c>
      <c r="F19" s="50">
        <f>VLOOKUP($A19,'Data Vlaue (Cr)'!$C:$FB,146)*100</f>
        <v>-0.03</v>
      </c>
      <c r="G19" s="49">
        <f>VLOOKUP($A19,'Data Vlaue (Cr)'!$C:$FB,43)</f>
        <v>110</v>
      </c>
      <c r="H19" s="49">
        <f>VLOOKUP($A19,'Data Vlaue (Cr)'!$C:$FB,44)</f>
        <v>188</v>
      </c>
      <c r="I19" s="49">
        <f>VLOOKUP($A19,'Data Vlaue (Cr)'!$C:$FB,46)*100</f>
        <v>-41.85</v>
      </c>
      <c r="J19" s="51">
        <f>VLOOKUP($A19,'Data Vlaue (Cr)'!$C:$FB,59)</f>
        <v>551</v>
      </c>
      <c r="K19" s="51">
        <f>VLOOKUP($A19,'Data Vlaue (Cr)'!$C:$FB,60)</f>
        <v>415</v>
      </c>
      <c r="L19" s="51">
        <f>VLOOKUP($A19,'Data Vlaue (Cr)'!$C:$FB,62)*100</f>
        <v>32.57</v>
      </c>
      <c r="M19" s="51">
        <f>VLOOKUP($A19,'Data Vlaue (Cr)'!$C:$FB,63)</f>
        <v>141</v>
      </c>
      <c r="N19" s="51">
        <f>VLOOKUP($A19,'Data Vlaue (Cr)'!$C:$FB,64)</f>
        <v>214</v>
      </c>
      <c r="O19" s="51">
        <f>VLOOKUP($A19,'Data Vlaue (Cr)'!$C:$FB,66)*100</f>
        <v>-34.06</v>
      </c>
    </row>
    <row r="20" spans="1:15" x14ac:dyDescent="0.25">
      <c r="A20" s="101" t="str">
        <f>'Data Vlaue (Cr)'!C15</f>
        <v>APOLLOHOSP</v>
      </c>
      <c r="B20" s="50">
        <f>VLOOKUP($A20,'Data Vlaue (Cr)'!$C:$FB,8)</f>
        <v>7760.5</v>
      </c>
      <c r="C20" s="50">
        <f>VLOOKUP($A20,'Data Vlaue (Cr)'!$C:$FB,11)*100</f>
        <v>-0.15</v>
      </c>
      <c r="D20" s="50">
        <f>VLOOKUP($A20,'Data Vlaue (Cr)'!$C:$FB,143)</f>
        <v>959.34</v>
      </c>
      <c r="E20" s="50">
        <f>VLOOKUP($A20,'Data Vlaue (Cr)'!$C:$FB,144)</f>
        <v>942</v>
      </c>
      <c r="F20" s="50">
        <f>VLOOKUP($A20,'Data Vlaue (Cr)'!$C:$FB,146)*100</f>
        <v>1.8399999999999999</v>
      </c>
      <c r="G20" s="49">
        <f>VLOOKUP($A20,'Data Vlaue (Cr)'!$C:$FB,43)</f>
        <v>190</v>
      </c>
      <c r="H20" s="49">
        <f>VLOOKUP($A20,'Data Vlaue (Cr)'!$C:$FB,44)</f>
        <v>156</v>
      </c>
      <c r="I20" s="49">
        <f>VLOOKUP($A20,'Data Vlaue (Cr)'!$C:$FB,46)*100</f>
        <v>21.709999999999997</v>
      </c>
      <c r="J20" s="51">
        <f>VLOOKUP($A20,'Data Vlaue (Cr)'!$C:$FB,59)</f>
        <v>530</v>
      </c>
      <c r="K20" s="51">
        <f>VLOOKUP($A20,'Data Vlaue (Cr)'!$C:$FB,60)</f>
        <v>507</v>
      </c>
      <c r="L20" s="51">
        <f>VLOOKUP($A20,'Data Vlaue (Cr)'!$C:$FB,62)*100</f>
        <v>4.63</v>
      </c>
      <c r="M20" s="51">
        <f>VLOOKUP($A20,'Data Vlaue (Cr)'!$C:$FB,63)</f>
        <v>215</v>
      </c>
      <c r="N20" s="51">
        <f>VLOOKUP($A20,'Data Vlaue (Cr)'!$C:$FB,64)</f>
        <v>266</v>
      </c>
      <c r="O20" s="51">
        <f>VLOOKUP($A20,'Data Vlaue (Cr)'!$C:$FB,66)*100</f>
        <v>-19.329999999999998</v>
      </c>
    </row>
    <row r="21" spans="1:15" x14ac:dyDescent="0.25">
      <c r="A21" s="101" t="str">
        <f>'Data Vlaue (Cr)'!C16</f>
        <v>ASHOKLEY</v>
      </c>
      <c r="B21" s="50">
        <f>VLOOKUP($A21,'Data Vlaue (Cr)'!$C:$FB,8)</f>
        <v>167.8</v>
      </c>
      <c r="C21" s="50">
        <f>VLOOKUP($A21,'Data Vlaue (Cr)'!$C:$FB,11)*100</f>
        <v>4.71</v>
      </c>
      <c r="D21" s="50">
        <f>VLOOKUP($A21,'Data Vlaue (Cr)'!$C:$FB,143)</f>
        <v>5019.43</v>
      </c>
      <c r="E21" s="50">
        <f>VLOOKUP($A21,'Data Vlaue (Cr)'!$C:$FB,144)</f>
        <v>1894.24</v>
      </c>
      <c r="F21" s="50">
        <f>VLOOKUP($A21,'Data Vlaue (Cr)'!$C:$FB,146)*100</f>
        <v>164.98</v>
      </c>
      <c r="G21" s="49">
        <f>VLOOKUP($A21,'Data Vlaue (Cr)'!$C:$FB,43)</f>
        <v>938</v>
      </c>
      <c r="H21" s="49">
        <f>VLOOKUP($A21,'Data Vlaue (Cr)'!$C:$FB,44)</f>
        <v>408</v>
      </c>
      <c r="I21" s="49">
        <f>VLOOKUP($A21,'Data Vlaue (Cr)'!$C:$FB,46)*100</f>
        <v>130.09</v>
      </c>
      <c r="J21" s="51">
        <f>VLOOKUP($A21,'Data Vlaue (Cr)'!$C:$FB,59)</f>
        <v>2959</v>
      </c>
      <c r="K21" s="51">
        <f>VLOOKUP($A21,'Data Vlaue (Cr)'!$C:$FB,60)</f>
        <v>914</v>
      </c>
      <c r="L21" s="51">
        <f>VLOOKUP($A21,'Data Vlaue (Cr)'!$C:$FB,62)*100</f>
        <v>223.60999999999999</v>
      </c>
      <c r="M21" s="51">
        <f>VLOOKUP($A21,'Data Vlaue (Cr)'!$C:$FB,63)</f>
        <v>983</v>
      </c>
      <c r="N21" s="51">
        <f>VLOOKUP($A21,'Data Vlaue (Cr)'!$C:$FB,64)</f>
        <v>523</v>
      </c>
      <c r="O21" s="51">
        <f>VLOOKUP($A21,'Data Vlaue (Cr)'!$C:$FB,66)*100</f>
        <v>88.06</v>
      </c>
    </row>
    <row r="22" spans="1:15" x14ac:dyDescent="0.25">
      <c r="A22" s="101" t="str">
        <f>'Data Vlaue (Cr)'!C17</f>
        <v>ASIANPAINT</v>
      </c>
      <c r="B22" s="50">
        <f>VLOOKUP($A22,'Data Vlaue (Cr)'!$C:$FB,8)</f>
        <v>2519</v>
      </c>
      <c r="C22" s="50">
        <f>VLOOKUP($A22,'Data Vlaue (Cr)'!$C:$FB,11)*100</f>
        <v>3.66</v>
      </c>
      <c r="D22" s="50">
        <f>VLOOKUP($A22,'Data Vlaue (Cr)'!$C:$FB,143)</f>
        <v>4256.7</v>
      </c>
      <c r="E22" s="50">
        <f>VLOOKUP($A22,'Data Vlaue (Cr)'!$C:$FB,144)</f>
        <v>1481.12</v>
      </c>
      <c r="F22" s="50">
        <f>VLOOKUP($A22,'Data Vlaue (Cr)'!$C:$FB,146)*100</f>
        <v>187.4</v>
      </c>
      <c r="G22" s="49">
        <f>VLOOKUP($A22,'Data Vlaue (Cr)'!$C:$FB,43)</f>
        <v>531</v>
      </c>
      <c r="H22" s="49">
        <f>VLOOKUP($A22,'Data Vlaue (Cr)'!$C:$FB,44)</f>
        <v>205</v>
      </c>
      <c r="I22" s="49">
        <f>VLOOKUP($A22,'Data Vlaue (Cr)'!$C:$FB,46)*100</f>
        <v>159.35</v>
      </c>
      <c r="J22" s="51">
        <f>VLOOKUP($A22,'Data Vlaue (Cr)'!$C:$FB,59)</f>
        <v>2322</v>
      </c>
      <c r="K22" s="51">
        <f>VLOOKUP($A22,'Data Vlaue (Cr)'!$C:$FB,60)</f>
        <v>753</v>
      </c>
      <c r="L22" s="51">
        <f>VLOOKUP($A22,'Data Vlaue (Cr)'!$C:$FB,62)*100</f>
        <v>208.29</v>
      </c>
      <c r="M22" s="51">
        <f>VLOOKUP($A22,'Data Vlaue (Cr)'!$C:$FB,63)</f>
        <v>1391</v>
      </c>
      <c r="N22" s="51">
        <f>VLOOKUP($A22,'Data Vlaue (Cr)'!$C:$FB,64)</f>
        <v>541</v>
      </c>
      <c r="O22" s="51">
        <f>VLOOKUP($A22,'Data Vlaue (Cr)'!$C:$FB,66)*100</f>
        <v>157.1</v>
      </c>
    </row>
    <row r="23" spans="1:15" x14ac:dyDescent="0.25">
      <c r="A23" s="101" t="str">
        <f>'Data Vlaue (Cr)'!C18</f>
        <v>ASTRAL</v>
      </c>
      <c r="B23" s="50">
        <f>VLOOKUP($A23,'Data Vlaue (Cr)'!$C:$FB,8)</f>
        <v>1576.1</v>
      </c>
      <c r="C23" s="50">
        <f>VLOOKUP($A23,'Data Vlaue (Cr)'!$C:$FB,11)*100</f>
        <v>2.91</v>
      </c>
      <c r="D23" s="50">
        <f>VLOOKUP($A23,'Data Vlaue (Cr)'!$C:$FB,143)</f>
        <v>1528.36</v>
      </c>
      <c r="E23" s="50">
        <f>VLOOKUP($A23,'Data Vlaue (Cr)'!$C:$FB,144)</f>
        <v>390.19</v>
      </c>
      <c r="F23" s="50">
        <f>VLOOKUP($A23,'Data Vlaue (Cr)'!$C:$FB,146)*100</f>
        <v>291.7</v>
      </c>
      <c r="G23" s="49">
        <f>VLOOKUP($A23,'Data Vlaue (Cr)'!$C:$FB,43)</f>
        <v>280</v>
      </c>
      <c r="H23" s="49">
        <f>VLOOKUP($A23,'Data Vlaue (Cr)'!$C:$FB,44)</f>
        <v>86</v>
      </c>
      <c r="I23" s="49">
        <f>VLOOKUP($A23,'Data Vlaue (Cr)'!$C:$FB,46)*100</f>
        <v>224.26</v>
      </c>
      <c r="J23" s="51">
        <f>VLOOKUP($A23,'Data Vlaue (Cr)'!$C:$FB,59)</f>
        <v>923</v>
      </c>
      <c r="K23" s="51">
        <f>VLOOKUP($A23,'Data Vlaue (Cr)'!$C:$FB,60)</f>
        <v>219</v>
      </c>
      <c r="L23" s="51">
        <f>VLOOKUP($A23,'Data Vlaue (Cr)'!$C:$FB,62)*100</f>
        <v>322.16999999999996</v>
      </c>
      <c r="M23" s="51">
        <f>VLOOKUP($A23,'Data Vlaue (Cr)'!$C:$FB,63)</f>
        <v>287</v>
      </c>
      <c r="N23" s="51">
        <f>VLOOKUP($A23,'Data Vlaue (Cr)'!$C:$FB,64)</f>
        <v>76</v>
      </c>
      <c r="O23" s="51">
        <f>VLOOKUP($A23,'Data Vlaue (Cr)'!$C:$FB,66)*100</f>
        <v>275.33</v>
      </c>
    </row>
    <row r="24" spans="1:15" x14ac:dyDescent="0.25">
      <c r="A24" s="101" t="str">
        <f>'Data Vlaue (Cr)'!C19</f>
        <v>AUBANK</v>
      </c>
      <c r="B24" s="50">
        <f>VLOOKUP($A24,'Data Vlaue (Cr)'!$C:$FB,8)</f>
        <v>1024</v>
      </c>
      <c r="C24" s="50">
        <f>VLOOKUP($A24,'Data Vlaue (Cr)'!$C:$FB,11)*100</f>
        <v>1.68</v>
      </c>
      <c r="D24" s="50">
        <f>VLOOKUP($A24,'Data Vlaue (Cr)'!$C:$FB,143)</f>
        <v>2222.16</v>
      </c>
      <c r="E24" s="50">
        <f>VLOOKUP($A24,'Data Vlaue (Cr)'!$C:$FB,144)</f>
        <v>1085.05</v>
      </c>
      <c r="F24" s="50">
        <f>VLOOKUP($A24,'Data Vlaue (Cr)'!$C:$FB,146)*100</f>
        <v>104.80000000000001</v>
      </c>
      <c r="G24" s="49">
        <f>VLOOKUP($A24,'Data Vlaue (Cr)'!$C:$FB,43)</f>
        <v>467</v>
      </c>
      <c r="H24" s="49">
        <f>VLOOKUP($A24,'Data Vlaue (Cr)'!$C:$FB,44)</f>
        <v>261</v>
      </c>
      <c r="I24" s="49">
        <f>VLOOKUP($A24,'Data Vlaue (Cr)'!$C:$FB,46)*100</f>
        <v>78.8</v>
      </c>
      <c r="J24" s="51">
        <f>VLOOKUP($A24,'Data Vlaue (Cr)'!$C:$FB,59)</f>
        <v>1197</v>
      </c>
      <c r="K24" s="51">
        <f>VLOOKUP($A24,'Data Vlaue (Cr)'!$C:$FB,60)</f>
        <v>573</v>
      </c>
      <c r="L24" s="51">
        <f>VLOOKUP($A24,'Data Vlaue (Cr)'!$C:$FB,62)*100</f>
        <v>108.99000000000001</v>
      </c>
      <c r="M24" s="51">
        <f>VLOOKUP($A24,'Data Vlaue (Cr)'!$C:$FB,63)</f>
        <v>518</v>
      </c>
      <c r="N24" s="51">
        <f>VLOOKUP($A24,'Data Vlaue (Cr)'!$C:$FB,64)</f>
        <v>234</v>
      </c>
      <c r="O24" s="51">
        <f>VLOOKUP($A24,'Data Vlaue (Cr)'!$C:$FB,66)*100</f>
        <v>120.71000000000001</v>
      </c>
    </row>
    <row r="25" spans="1:15" x14ac:dyDescent="0.25">
      <c r="A25" s="101" t="str">
        <f>'Data Vlaue (Cr)'!C20</f>
        <v>AUROPHARMA</v>
      </c>
      <c r="B25" s="50">
        <f>VLOOKUP($A25,'Data Vlaue (Cr)'!$C:$FB,8)</f>
        <v>1484</v>
      </c>
      <c r="C25" s="50">
        <f>VLOOKUP($A25,'Data Vlaue (Cr)'!$C:$FB,11)*100</f>
        <v>3.91</v>
      </c>
      <c r="D25" s="50">
        <f>VLOOKUP($A25,'Data Vlaue (Cr)'!$C:$FB,143)</f>
        <v>3259.99</v>
      </c>
      <c r="E25" s="50">
        <f>VLOOKUP($A25,'Data Vlaue (Cr)'!$C:$FB,144)</f>
        <v>1489.87</v>
      </c>
      <c r="F25" s="50">
        <f>VLOOKUP($A25,'Data Vlaue (Cr)'!$C:$FB,146)*100</f>
        <v>118.80999999999999</v>
      </c>
      <c r="G25" s="49">
        <f>VLOOKUP($A25,'Data Vlaue (Cr)'!$C:$FB,43)</f>
        <v>602</v>
      </c>
      <c r="H25" s="49">
        <f>VLOOKUP($A25,'Data Vlaue (Cr)'!$C:$FB,44)</f>
        <v>273</v>
      </c>
      <c r="I25" s="49">
        <f>VLOOKUP($A25,'Data Vlaue (Cr)'!$C:$FB,46)*100</f>
        <v>120.85</v>
      </c>
      <c r="J25" s="51">
        <f>VLOOKUP($A25,'Data Vlaue (Cr)'!$C:$FB,59)</f>
        <v>1872</v>
      </c>
      <c r="K25" s="51">
        <f>VLOOKUP($A25,'Data Vlaue (Cr)'!$C:$FB,60)</f>
        <v>1004</v>
      </c>
      <c r="L25" s="51">
        <f>VLOOKUP($A25,'Data Vlaue (Cr)'!$C:$FB,62)*100</f>
        <v>86.41</v>
      </c>
      <c r="M25" s="51">
        <f>VLOOKUP($A25,'Data Vlaue (Cr)'!$C:$FB,63)</f>
        <v>774</v>
      </c>
      <c r="N25" s="51">
        <f>VLOOKUP($A25,'Data Vlaue (Cr)'!$C:$FB,64)</f>
        <v>252</v>
      </c>
      <c r="O25" s="51">
        <f>VLOOKUP($A25,'Data Vlaue (Cr)'!$C:$FB,66)*100</f>
        <v>206.93</v>
      </c>
    </row>
    <row r="26" spans="1:15" x14ac:dyDescent="0.25">
      <c r="A26" s="101" t="str">
        <f>'Data Vlaue (Cr)'!C21</f>
        <v>AXISBANK</v>
      </c>
      <c r="B26" s="50">
        <f>VLOOKUP($A26,'Data Vlaue (Cr)'!$C:$FB,8)</f>
        <v>1294.2</v>
      </c>
      <c r="C26" s="50">
        <f>VLOOKUP($A26,'Data Vlaue (Cr)'!$C:$FB,11)*100</f>
        <v>2.74</v>
      </c>
      <c r="D26" s="50">
        <f>VLOOKUP($A26,'Data Vlaue (Cr)'!$C:$FB,143)</f>
        <v>8431.66</v>
      </c>
      <c r="E26" s="50">
        <f>VLOOKUP($A26,'Data Vlaue (Cr)'!$C:$FB,144)</f>
        <v>4471.76</v>
      </c>
      <c r="F26" s="50">
        <f>VLOOKUP($A26,'Data Vlaue (Cr)'!$C:$FB,146)*100</f>
        <v>88.55</v>
      </c>
      <c r="G26" s="49">
        <f>VLOOKUP($A26,'Data Vlaue (Cr)'!$C:$FB,43)</f>
        <v>1157</v>
      </c>
      <c r="H26" s="49">
        <f>VLOOKUP($A26,'Data Vlaue (Cr)'!$C:$FB,44)</f>
        <v>888</v>
      </c>
      <c r="I26" s="49">
        <f>VLOOKUP($A26,'Data Vlaue (Cr)'!$C:$FB,46)*100</f>
        <v>30.3</v>
      </c>
      <c r="J26" s="51">
        <f>VLOOKUP($A26,'Data Vlaue (Cr)'!$C:$FB,59)</f>
        <v>4640</v>
      </c>
      <c r="K26" s="51">
        <f>VLOOKUP($A26,'Data Vlaue (Cr)'!$C:$FB,60)</f>
        <v>2412</v>
      </c>
      <c r="L26" s="51">
        <f>VLOOKUP($A26,'Data Vlaue (Cr)'!$C:$FB,62)*100</f>
        <v>92.39</v>
      </c>
      <c r="M26" s="51">
        <f>VLOOKUP($A26,'Data Vlaue (Cr)'!$C:$FB,63)</f>
        <v>2590</v>
      </c>
      <c r="N26" s="51">
        <f>VLOOKUP($A26,'Data Vlaue (Cr)'!$C:$FB,64)</f>
        <v>1168</v>
      </c>
      <c r="O26" s="51">
        <f>VLOOKUP($A26,'Data Vlaue (Cr)'!$C:$FB,66)*100</f>
        <v>121.75</v>
      </c>
    </row>
    <row r="27" spans="1:15" x14ac:dyDescent="0.25">
      <c r="A27" s="101" t="str">
        <f>'Data Vlaue (Cr)'!C22</f>
        <v>BAJAJ-AUTO</v>
      </c>
      <c r="B27" s="50">
        <f>VLOOKUP($A27,'Data Vlaue (Cr)'!$C:$FB,8)</f>
        <v>10319</v>
      </c>
      <c r="C27" s="50">
        <f>VLOOKUP($A27,'Data Vlaue (Cr)'!$C:$FB,11)*100</f>
        <v>2.7199999999999998</v>
      </c>
      <c r="D27" s="50">
        <f>VLOOKUP($A27,'Data Vlaue (Cr)'!$C:$FB,143)</f>
        <v>10063.209999999999</v>
      </c>
      <c r="E27" s="50">
        <f>VLOOKUP($A27,'Data Vlaue (Cr)'!$C:$FB,144)</f>
        <v>3018.41</v>
      </c>
      <c r="F27" s="50">
        <f>VLOOKUP($A27,'Data Vlaue (Cr)'!$C:$FB,146)*100</f>
        <v>233.39</v>
      </c>
      <c r="G27" s="49">
        <f>VLOOKUP($A27,'Data Vlaue (Cr)'!$C:$FB,43)</f>
        <v>702</v>
      </c>
      <c r="H27" s="49">
        <f>VLOOKUP($A27,'Data Vlaue (Cr)'!$C:$FB,44)</f>
        <v>351</v>
      </c>
      <c r="I27" s="49">
        <f>VLOOKUP($A27,'Data Vlaue (Cr)'!$C:$FB,46)*100</f>
        <v>100.02</v>
      </c>
      <c r="J27" s="51">
        <f>VLOOKUP($A27,'Data Vlaue (Cr)'!$C:$FB,59)</f>
        <v>6418</v>
      </c>
      <c r="K27" s="51">
        <f>VLOOKUP($A27,'Data Vlaue (Cr)'!$C:$FB,60)</f>
        <v>1594</v>
      </c>
      <c r="L27" s="51">
        <f>VLOOKUP($A27,'Data Vlaue (Cr)'!$C:$FB,62)*100</f>
        <v>302.53999999999996</v>
      </c>
      <c r="M27" s="51">
        <f>VLOOKUP($A27,'Data Vlaue (Cr)'!$C:$FB,63)</f>
        <v>2759</v>
      </c>
      <c r="N27" s="51">
        <f>VLOOKUP($A27,'Data Vlaue (Cr)'!$C:$FB,64)</f>
        <v>1104</v>
      </c>
      <c r="O27" s="51">
        <f>VLOOKUP($A27,'Data Vlaue (Cr)'!$C:$FB,66)*100</f>
        <v>149.96</v>
      </c>
    </row>
    <row r="28" spans="1:15" x14ac:dyDescent="0.25">
      <c r="A28" s="101" t="str">
        <f>'Data Vlaue (Cr)'!C23</f>
        <v>BAJAJFINSV</v>
      </c>
      <c r="B28" s="50">
        <f>VLOOKUP($A28,'Data Vlaue (Cr)'!$C:$FB,8)</f>
        <v>1836.1</v>
      </c>
      <c r="C28" s="50">
        <f>VLOOKUP($A28,'Data Vlaue (Cr)'!$C:$FB,11)*100</f>
        <v>2.31</v>
      </c>
      <c r="D28" s="50">
        <f>VLOOKUP($A28,'Data Vlaue (Cr)'!$C:$FB,143)</f>
        <v>1876.08</v>
      </c>
      <c r="E28" s="50">
        <f>VLOOKUP($A28,'Data Vlaue (Cr)'!$C:$FB,144)</f>
        <v>1303.99</v>
      </c>
      <c r="F28" s="50">
        <f>VLOOKUP($A28,'Data Vlaue (Cr)'!$C:$FB,146)*100</f>
        <v>43.87</v>
      </c>
      <c r="G28" s="49">
        <f>VLOOKUP($A28,'Data Vlaue (Cr)'!$C:$FB,43)</f>
        <v>211</v>
      </c>
      <c r="H28" s="49">
        <f>VLOOKUP($A28,'Data Vlaue (Cr)'!$C:$FB,44)</f>
        <v>152</v>
      </c>
      <c r="I28" s="49">
        <f>VLOOKUP($A28,'Data Vlaue (Cr)'!$C:$FB,46)*100</f>
        <v>38.479999999999997</v>
      </c>
      <c r="J28" s="51">
        <f>VLOOKUP($A28,'Data Vlaue (Cr)'!$C:$FB,59)</f>
        <v>1097</v>
      </c>
      <c r="K28" s="51">
        <f>VLOOKUP($A28,'Data Vlaue (Cr)'!$C:$FB,60)</f>
        <v>697</v>
      </c>
      <c r="L28" s="51">
        <f>VLOOKUP($A28,'Data Vlaue (Cr)'!$C:$FB,62)*100</f>
        <v>57.440000000000005</v>
      </c>
      <c r="M28" s="51">
        <f>VLOOKUP($A28,'Data Vlaue (Cr)'!$C:$FB,63)</f>
        <v>551</v>
      </c>
      <c r="N28" s="51">
        <f>VLOOKUP($A28,'Data Vlaue (Cr)'!$C:$FB,64)</f>
        <v>472</v>
      </c>
      <c r="O28" s="51">
        <f>VLOOKUP($A28,'Data Vlaue (Cr)'!$C:$FB,66)*100</f>
        <v>16.600000000000001</v>
      </c>
    </row>
    <row r="29" spans="1:15" x14ac:dyDescent="0.25">
      <c r="A29" s="101" t="str">
        <f>'Data Vlaue (Cr)'!C24</f>
        <v>BAJAJHLDNG</v>
      </c>
      <c r="B29" s="50">
        <f>VLOOKUP($A29,'Data Vlaue (Cr)'!$C:$FB,8)</f>
        <v>10612</v>
      </c>
      <c r="C29" s="50">
        <f>VLOOKUP($A29,'Data Vlaue (Cr)'!$C:$FB,11)*100</f>
        <v>1.37</v>
      </c>
      <c r="D29" s="50">
        <f>VLOOKUP($A29,'Data Vlaue (Cr)'!$C:$FB,143)</f>
        <v>279.95999999999998</v>
      </c>
      <c r="E29" s="50">
        <f>VLOOKUP($A29,'Data Vlaue (Cr)'!$C:$FB,144)</f>
        <v>129.13</v>
      </c>
      <c r="F29" s="50">
        <f>VLOOKUP($A29,'Data Vlaue (Cr)'!$C:$FB,146)*100</f>
        <v>116.80999999999999</v>
      </c>
      <c r="G29" s="49">
        <f>VLOOKUP($A29,'Data Vlaue (Cr)'!$C:$FB,43)</f>
        <v>47</v>
      </c>
      <c r="H29" s="49">
        <f>VLOOKUP($A29,'Data Vlaue (Cr)'!$C:$FB,44)</f>
        <v>28</v>
      </c>
      <c r="I29" s="49">
        <f>VLOOKUP($A29,'Data Vlaue (Cr)'!$C:$FB,46)*100</f>
        <v>69.75</v>
      </c>
      <c r="J29" s="51">
        <f>VLOOKUP($A29,'Data Vlaue (Cr)'!$C:$FB,59)</f>
        <v>199</v>
      </c>
      <c r="K29" s="51">
        <f>VLOOKUP($A29,'Data Vlaue (Cr)'!$C:$FB,60)</f>
        <v>79</v>
      </c>
      <c r="L29" s="51">
        <f>VLOOKUP($A29,'Data Vlaue (Cr)'!$C:$FB,62)*100</f>
        <v>152.41</v>
      </c>
      <c r="M29" s="51">
        <f>VLOOKUP($A29,'Data Vlaue (Cr)'!$C:$FB,63)</f>
        <v>23</v>
      </c>
      <c r="N29" s="51">
        <f>VLOOKUP($A29,'Data Vlaue (Cr)'!$C:$FB,64)</f>
        <v>21</v>
      </c>
      <c r="O29" s="51">
        <f>VLOOKUP($A29,'Data Vlaue (Cr)'!$C:$FB,66)*100</f>
        <v>9.2100000000000009</v>
      </c>
    </row>
    <row r="30" spans="1:15" x14ac:dyDescent="0.25">
      <c r="A30" s="101" t="str">
        <f>'Data Vlaue (Cr)'!C25</f>
        <v>BAJFINANCE</v>
      </c>
      <c r="B30" s="50">
        <f>VLOOKUP($A30,'Data Vlaue (Cr)'!$C:$FB,8)</f>
        <v>980.75</v>
      </c>
      <c r="C30" s="50">
        <f>VLOOKUP($A30,'Data Vlaue (Cr)'!$C:$FB,11)*100</f>
        <v>2.31</v>
      </c>
      <c r="D30" s="50">
        <f>VLOOKUP($A30,'Data Vlaue (Cr)'!$C:$FB,143)</f>
        <v>6845.48</v>
      </c>
      <c r="E30" s="50">
        <f>VLOOKUP($A30,'Data Vlaue (Cr)'!$C:$FB,144)</f>
        <v>4150.8500000000004</v>
      </c>
      <c r="F30" s="50">
        <f>VLOOKUP($A30,'Data Vlaue (Cr)'!$C:$FB,146)*100</f>
        <v>64.92</v>
      </c>
      <c r="G30" s="49">
        <f>VLOOKUP($A30,'Data Vlaue (Cr)'!$C:$FB,43)</f>
        <v>911</v>
      </c>
      <c r="H30" s="49">
        <f>VLOOKUP($A30,'Data Vlaue (Cr)'!$C:$FB,44)</f>
        <v>600</v>
      </c>
      <c r="I30" s="49">
        <f>VLOOKUP($A30,'Data Vlaue (Cr)'!$C:$FB,46)*100</f>
        <v>51.92</v>
      </c>
      <c r="J30" s="51">
        <f>VLOOKUP($A30,'Data Vlaue (Cr)'!$C:$FB,59)</f>
        <v>3893</v>
      </c>
      <c r="K30" s="51">
        <f>VLOOKUP($A30,'Data Vlaue (Cr)'!$C:$FB,60)</f>
        <v>2085</v>
      </c>
      <c r="L30" s="51">
        <f>VLOOKUP($A30,'Data Vlaue (Cr)'!$C:$FB,62)*100</f>
        <v>86.72</v>
      </c>
      <c r="M30" s="51">
        <f>VLOOKUP($A30,'Data Vlaue (Cr)'!$C:$FB,63)</f>
        <v>1985</v>
      </c>
      <c r="N30" s="51">
        <f>VLOOKUP($A30,'Data Vlaue (Cr)'!$C:$FB,64)</f>
        <v>1548</v>
      </c>
      <c r="O30" s="51">
        <f>VLOOKUP($A30,'Data Vlaue (Cr)'!$C:$FB,66)*100</f>
        <v>28.22</v>
      </c>
    </row>
    <row r="31" spans="1:15" x14ac:dyDescent="0.25">
      <c r="A31" s="101" t="str">
        <f>'Data Vlaue (Cr)'!C26</f>
        <v>BANDHANBNK</v>
      </c>
      <c r="B31" s="50">
        <f>VLOOKUP($A31,'Data Vlaue (Cr)'!$C:$FB,8)</f>
        <v>208.88</v>
      </c>
      <c r="C31" s="50">
        <f>VLOOKUP($A31,'Data Vlaue (Cr)'!$C:$FB,11)*100</f>
        <v>1.18</v>
      </c>
      <c r="D31" s="50">
        <f>VLOOKUP($A31,'Data Vlaue (Cr)'!$C:$FB,143)</f>
        <v>1774.27</v>
      </c>
      <c r="E31" s="50">
        <f>VLOOKUP($A31,'Data Vlaue (Cr)'!$C:$FB,144)</f>
        <v>1846.4</v>
      </c>
      <c r="F31" s="50">
        <f>VLOOKUP($A31,'Data Vlaue (Cr)'!$C:$FB,146)*100</f>
        <v>-3.91</v>
      </c>
      <c r="G31" s="49">
        <f>VLOOKUP($A31,'Data Vlaue (Cr)'!$C:$FB,43)</f>
        <v>317</v>
      </c>
      <c r="H31" s="49">
        <f>VLOOKUP($A31,'Data Vlaue (Cr)'!$C:$FB,44)</f>
        <v>307</v>
      </c>
      <c r="I31" s="49">
        <f>VLOOKUP($A31,'Data Vlaue (Cr)'!$C:$FB,46)*100</f>
        <v>3.08</v>
      </c>
      <c r="J31" s="51">
        <f>VLOOKUP($A31,'Data Vlaue (Cr)'!$C:$FB,59)</f>
        <v>879</v>
      </c>
      <c r="K31" s="51">
        <f>VLOOKUP($A31,'Data Vlaue (Cr)'!$C:$FB,60)</f>
        <v>849</v>
      </c>
      <c r="L31" s="51">
        <f>VLOOKUP($A31,'Data Vlaue (Cr)'!$C:$FB,62)*100</f>
        <v>3.4299999999999997</v>
      </c>
      <c r="M31" s="51">
        <f>VLOOKUP($A31,'Data Vlaue (Cr)'!$C:$FB,63)</f>
        <v>558</v>
      </c>
      <c r="N31" s="51">
        <f>VLOOKUP($A31,'Data Vlaue (Cr)'!$C:$FB,64)</f>
        <v>686</v>
      </c>
      <c r="O31" s="51">
        <f>VLOOKUP($A31,'Data Vlaue (Cr)'!$C:$FB,66)*100</f>
        <v>-18.78</v>
      </c>
    </row>
    <row r="32" spans="1:15" x14ac:dyDescent="0.25">
      <c r="A32" s="101" t="str">
        <f>'Data Vlaue (Cr)'!C27</f>
        <v>BANKBARODA</v>
      </c>
      <c r="B32" s="50">
        <f>VLOOKUP($A32,'Data Vlaue (Cr)'!$C:$FB,8)</f>
        <v>270.3</v>
      </c>
      <c r="C32" s="50">
        <f>VLOOKUP($A32,'Data Vlaue (Cr)'!$C:$FB,11)*100</f>
        <v>2.62</v>
      </c>
      <c r="D32" s="50">
        <f>VLOOKUP($A32,'Data Vlaue (Cr)'!$C:$FB,143)</f>
        <v>2505.5700000000002</v>
      </c>
      <c r="E32" s="50">
        <f>VLOOKUP($A32,'Data Vlaue (Cr)'!$C:$FB,144)</f>
        <v>937.19</v>
      </c>
      <c r="F32" s="50">
        <f>VLOOKUP($A32,'Data Vlaue (Cr)'!$C:$FB,146)*100</f>
        <v>167.35</v>
      </c>
      <c r="G32" s="49">
        <f>VLOOKUP($A32,'Data Vlaue (Cr)'!$C:$FB,43)</f>
        <v>620</v>
      </c>
      <c r="H32" s="49">
        <f>VLOOKUP($A32,'Data Vlaue (Cr)'!$C:$FB,44)</f>
        <v>247</v>
      </c>
      <c r="I32" s="49">
        <f>VLOOKUP($A32,'Data Vlaue (Cr)'!$C:$FB,46)*100</f>
        <v>151.02000000000001</v>
      </c>
      <c r="J32" s="51">
        <f>VLOOKUP($A32,'Data Vlaue (Cr)'!$C:$FB,59)</f>
        <v>1348</v>
      </c>
      <c r="K32" s="51">
        <f>VLOOKUP($A32,'Data Vlaue (Cr)'!$C:$FB,60)</f>
        <v>493</v>
      </c>
      <c r="L32" s="51">
        <f>VLOOKUP($A32,'Data Vlaue (Cr)'!$C:$FB,62)*100</f>
        <v>173.23999999999998</v>
      </c>
      <c r="M32" s="51">
        <f>VLOOKUP($A32,'Data Vlaue (Cr)'!$C:$FB,63)</f>
        <v>477</v>
      </c>
      <c r="N32" s="51">
        <f>VLOOKUP($A32,'Data Vlaue (Cr)'!$C:$FB,64)</f>
        <v>185</v>
      </c>
      <c r="O32" s="51">
        <f>VLOOKUP($A32,'Data Vlaue (Cr)'!$C:$FB,66)*100</f>
        <v>157.57000000000002</v>
      </c>
    </row>
    <row r="33" spans="1:15" x14ac:dyDescent="0.25">
      <c r="A33" s="101" t="str">
        <f>'Data Vlaue (Cr)'!C28</f>
        <v>BANKINDIA</v>
      </c>
      <c r="B33" s="50">
        <f>VLOOKUP($A33,'Data Vlaue (Cr)'!$C:$FB,8)</f>
        <v>142.34</v>
      </c>
      <c r="C33" s="50">
        <f>VLOOKUP($A33,'Data Vlaue (Cr)'!$C:$FB,11)*100</f>
        <v>2.71</v>
      </c>
      <c r="D33" s="50">
        <f>VLOOKUP($A33,'Data Vlaue (Cr)'!$C:$FB,143)</f>
        <v>888.83</v>
      </c>
      <c r="E33" s="50">
        <f>VLOOKUP($A33,'Data Vlaue (Cr)'!$C:$FB,144)</f>
        <v>433.94</v>
      </c>
      <c r="F33" s="50">
        <f>VLOOKUP($A33,'Data Vlaue (Cr)'!$C:$FB,146)*100</f>
        <v>104.83</v>
      </c>
      <c r="G33" s="49">
        <f>VLOOKUP($A33,'Data Vlaue (Cr)'!$C:$FB,43)</f>
        <v>314</v>
      </c>
      <c r="H33" s="49">
        <f>VLOOKUP($A33,'Data Vlaue (Cr)'!$C:$FB,44)</f>
        <v>125</v>
      </c>
      <c r="I33" s="49">
        <f>VLOOKUP($A33,'Data Vlaue (Cr)'!$C:$FB,46)*100</f>
        <v>150.65</v>
      </c>
      <c r="J33" s="51">
        <f>VLOOKUP($A33,'Data Vlaue (Cr)'!$C:$FB,59)</f>
        <v>380</v>
      </c>
      <c r="K33" s="51">
        <f>VLOOKUP($A33,'Data Vlaue (Cr)'!$C:$FB,60)</f>
        <v>218</v>
      </c>
      <c r="L33" s="51">
        <f>VLOOKUP($A33,'Data Vlaue (Cr)'!$C:$FB,62)*100</f>
        <v>74.64</v>
      </c>
      <c r="M33" s="51">
        <f>VLOOKUP($A33,'Data Vlaue (Cr)'!$C:$FB,63)</f>
        <v>177</v>
      </c>
      <c r="N33" s="51">
        <f>VLOOKUP($A33,'Data Vlaue (Cr)'!$C:$FB,64)</f>
        <v>88</v>
      </c>
      <c r="O33" s="51">
        <f>VLOOKUP($A33,'Data Vlaue (Cr)'!$C:$FB,66)*100</f>
        <v>102.3</v>
      </c>
    </row>
    <row r="34" spans="1:15" x14ac:dyDescent="0.25">
      <c r="A34" s="101" t="str">
        <f>'Data Vlaue (Cr)'!C29</f>
        <v>BANKNIFTY</v>
      </c>
      <c r="B34" s="50">
        <f>VLOOKUP($A34,'Data Vlaue (Cr)'!$C:$FB,8)</f>
        <v>55981.05</v>
      </c>
      <c r="C34" s="50">
        <f>VLOOKUP($A34,'Data Vlaue (Cr)'!$C:$FB,11)*100</f>
        <v>2.63</v>
      </c>
      <c r="D34" s="50">
        <f>VLOOKUP($A34,'Data Vlaue (Cr)'!$C:$FB,143)</f>
        <v>498554.41</v>
      </c>
      <c r="E34" s="50">
        <f>VLOOKUP($A34,'Data Vlaue (Cr)'!$C:$FB,144)</f>
        <v>297125.61</v>
      </c>
      <c r="F34" s="50">
        <f>VLOOKUP($A34,'Data Vlaue (Cr)'!$C:$FB,146)*100</f>
        <v>67.789999999999992</v>
      </c>
      <c r="G34" s="49">
        <f>VLOOKUP($A34,'Data Vlaue (Cr)'!$C:$FB,43)</f>
        <v>9162</v>
      </c>
      <c r="H34" s="49">
        <f>VLOOKUP($A34,'Data Vlaue (Cr)'!$C:$FB,44)</f>
        <v>5266</v>
      </c>
      <c r="I34" s="49">
        <f>VLOOKUP($A34,'Data Vlaue (Cr)'!$C:$FB,46)*100</f>
        <v>73.97</v>
      </c>
      <c r="J34" s="51">
        <f>VLOOKUP($A34,'Data Vlaue (Cr)'!$C:$FB,59)</f>
        <v>265398</v>
      </c>
      <c r="K34" s="51">
        <f>VLOOKUP($A34,'Data Vlaue (Cr)'!$C:$FB,60)</f>
        <v>160187</v>
      </c>
      <c r="L34" s="51">
        <f>VLOOKUP($A34,'Data Vlaue (Cr)'!$C:$FB,62)*100</f>
        <v>65.680000000000007</v>
      </c>
      <c r="M34" s="51">
        <f>VLOOKUP($A34,'Data Vlaue (Cr)'!$C:$FB,63)</f>
        <v>226416</v>
      </c>
      <c r="N34" s="51">
        <f>VLOOKUP($A34,'Data Vlaue (Cr)'!$C:$FB,64)</f>
        <v>134228</v>
      </c>
      <c r="O34" s="51">
        <f>VLOOKUP($A34,'Data Vlaue (Cr)'!$C:$FB,66)*100</f>
        <v>68.679999999999993</v>
      </c>
    </row>
    <row r="35" spans="1:15" x14ac:dyDescent="0.25">
      <c r="A35" s="101" t="str">
        <f>'Data Vlaue (Cr)'!C30</f>
        <v>BDL</v>
      </c>
      <c r="B35" s="50">
        <f>VLOOKUP($A35,'Data Vlaue (Cr)'!$C:$FB,8)</f>
        <v>1401.5</v>
      </c>
      <c r="C35" s="50">
        <f>VLOOKUP($A35,'Data Vlaue (Cr)'!$C:$FB,11)*100</f>
        <v>0.21</v>
      </c>
      <c r="D35" s="50">
        <f>VLOOKUP($A35,'Data Vlaue (Cr)'!$C:$FB,143)</f>
        <v>688.89</v>
      </c>
      <c r="E35" s="50">
        <f>VLOOKUP($A35,'Data Vlaue (Cr)'!$C:$FB,144)</f>
        <v>631.48</v>
      </c>
      <c r="F35" s="50">
        <f>VLOOKUP($A35,'Data Vlaue (Cr)'!$C:$FB,146)*100</f>
        <v>9.09</v>
      </c>
      <c r="G35" s="49">
        <f>VLOOKUP($A35,'Data Vlaue (Cr)'!$C:$FB,43)</f>
        <v>133</v>
      </c>
      <c r="H35" s="49">
        <f>VLOOKUP($A35,'Data Vlaue (Cr)'!$C:$FB,44)</f>
        <v>97</v>
      </c>
      <c r="I35" s="49">
        <f>VLOOKUP($A35,'Data Vlaue (Cr)'!$C:$FB,46)*100</f>
        <v>36.730000000000004</v>
      </c>
      <c r="J35" s="51">
        <f>VLOOKUP($A35,'Data Vlaue (Cr)'!$C:$FB,59)</f>
        <v>420</v>
      </c>
      <c r="K35" s="51">
        <f>VLOOKUP($A35,'Data Vlaue (Cr)'!$C:$FB,60)</f>
        <v>396</v>
      </c>
      <c r="L35" s="51">
        <f>VLOOKUP($A35,'Data Vlaue (Cr)'!$C:$FB,62)*100</f>
        <v>6.04</v>
      </c>
      <c r="M35" s="51">
        <f>VLOOKUP($A35,'Data Vlaue (Cr)'!$C:$FB,63)</f>
        <v>107</v>
      </c>
      <c r="N35" s="51">
        <f>VLOOKUP($A35,'Data Vlaue (Cr)'!$C:$FB,64)</f>
        <v>119</v>
      </c>
      <c r="O35" s="51">
        <f>VLOOKUP($A35,'Data Vlaue (Cr)'!$C:$FB,66)*100</f>
        <v>-10.459999999999999</v>
      </c>
    </row>
    <row r="36" spans="1:15" x14ac:dyDescent="0.25">
      <c r="A36" s="101" t="str">
        <f>'Data Vlaue (Cr)'!C31</f>
        <v>BEL</v>
      </c>
      <c r="B36" s="50">
        <f>VLOOKUP($A36,'Data Vlaue (Cr)'!$C:$FB,8)</f>
        <v>438.2</v>
      </c>
      <c r="C36" s="50">
        <f>VLOOKUP($A36,'Data Vlaue (Cr)'!$C:$FB,11)*100</f>
        <v>1.1199999999999999</v>
      </c>
      <c r="D36" s="50">
        <f>VLOOKUP($A36,'Data Vlaue (Cr)'!$C:$FB,143)</f>
        <v>3115.26</v>
      </c>
      <c r="E36" s="50">
        <f>VLOOKUP($A36,'Data Vlaue (Cr)'!$C:$FB,144)</f>
        <v>2499.41</v>
      </c>
      <c r="F36" s="50">
        <f>VLOOKUP($A36,'Data Vlaue (Cr)'!$C:$FB,146)*100</f>
        <v>24.64</v>
      </c>
      <c r="G36" s="49">
        <f>VLOOKUP($A36,'Data Vlaue (Cr)'!$C:$FB,43)</f>
        <v>585</v>
      </c>
      <c r="H36" s="49">
        <f>VLOOKUP($A36,'Data Vlaue (Cr)'!$C:$FB,44)</f>
        <v>474</v>
      </c>
      <c r="I36" s="49">
        <f>VLOOKUP($A36,'Data Vlaue (Cr)'!$C:$FB,46)*100</f>
        <v>23.34</v>
      </c>
      <c r="J36" s="51">
        <f>VLOOKUP($A36,'Data Vlaue (Cr)'!$C:$FB,59)</f>
        <v>1710</v>
      </c>
      <c r="K36" s="51">
        <f>VLOOKUP($A36,'Data Vlaue (Cr)'!$C:$FB,60)</f>
        <v>1464</v>
      </c>
      <c r="L36" s="51">
        <f>VLOOKUP($A36,'Data Vlaue (Cr)'!$C:$FB,62)*100</f>
        <v>16.850000000000001</v>
      </c>
      <c r="M36" s="51">
        <f>VLOOKUP($A36,'Data Vlaue (Cr)'!$C:$FB,63)</f>
        <v>738</v>
      </c>
      <c r="N36" s="51">
        <f>VLOOKUP($A36,'Data Vlaue (Cr)'!$C:$FB,64)</f>
        <v>497</v>
      </c>
      <c r="O36" s="51">
        <f>VLOOKUP($A36,'Data Vlaue (Cr)'!$C:$FB,66)*100</f>
        <v>48.42</v>
      </c>
    </row>
    <row r="37" spans="1:15" x14ac:dyDescent="0.25">
      <c r="A37" s="101" t="str">
        <f>'Data Vlaue (Cr)'!C32</f>
        <v>BHARATFORG</v>
      </c>
      <c r="B37" s="50">
        <f>VLOOKUP($A37,'Data Vlaue (Cr)'!$C:$FB,8)</f>
        <v>1873.8</v>
      </c>
      <c r="C37" s="50">
        <f>VLOOKUP($A37,'Data Vlaue (Cr)'!$C:$FB,11)*100</f>
        <v>0.38999999999999996</v>
      </c>
      <c r="D37" s="50">
        <f>VLOOKUP($A37,'Data Vlaue (Cr)'!$C:$FB,143)</f>
        <v>2791.84</v>
      </c>
      <c r="E37" s="50">
        <f>VLOOKUP($A37,'Data Vlaue (Cr)'!$C:$FB,144)</f>
        <v>1837.22</v>
      </c>
      <c r="F37" s="50">
        <f>VLOOKUP($A37,'Data Vlaue (Cr)'!$C:$FB,146)*100</f>
        <v>51.959999999999994</v>
      </c>
      <c r="G37" s="49">
        <f>VLOOKUP($A37,'Data Vlaue (Cr)'!$C:$FB,43)</f>
        <v>667</v>
      </c>
      <c r="H37" s="49">
        <f>VLOOKUP($A37,'Data Vlaue (Cr)'!$C:$FB,44)</f>
        <v>376</v>
      </c>
      <c r="I37" s="49">
        <f>VLOOKUP($A37,'Data Vlaue (Cr)'!$C:$FB,46)*100</f>
        <v>77.66</v>
      </c>
      <c r="J37" s="51">
        <f>VLOOKUP($A37,'Data Vlaue (Cr)'!$C:$FB,59)</f>
        <v>1278</v>
      </c>
      <c r="K37" s="51">
        <f>VLOOKUP($A37,'Data Vlaue (Cr)'!$C:$FB,60)</f>
        <v>888</v>
      </c>
      <c r="L37" s="51">
        <f>VLOOKUP($A37,'Data Vlaue (Cr)'!$C:$FB,62)*100</f>
        <v>43.980000000000004</v>
      </c>
      <c r="M37" s="51">
        <f>VLOOKUP($A37,'Data Vlaue (Cr)'!$C:$FB,63)</f>
        <v>775</v>
      </c>
      <c r="N37" s="51">
        <f>VLOOKUP($A37,'Data Vlaue (Cr)'!$C:$FB,64)</f>
        <v>541</v>
      </c>
      <c r="O37" s="51">
        <f>VLOOKUP($A37,'Data Vlaue (Cr)'!$C:$FB,66)*100</f>
        <v>43.46</v>
      </c>
    </row>
    <row r="38" spans="1:15" x14ac:dyDescent="0.25">
      <c r="A38" s="101" t="str">
        <f>'Data Vlaue (Cr)'!C33</f>
        <v>BHARTIARTL</v>
      </c>
      <c r="B38" s="50">
        <f>VLOOKUP($A38,'Data Vlaue (Cr)'!$C:$FB,8)</f>
        <v>1833.7</v>
      </c>
      <c r="C38" s="50">
        <f>VLOOKUP($A38,'Data Vlaue (Cr)'!$C:$FB,11)*100</f>
        <v>1.53</v>
      </c>
      <c r="D38" s="50">
        <f>VLOOKUP($A38,'Data Vlaue (Cr)'!$C:$FB,143)</f>
        <v>5961.47</v>
      </c>
      <c r="E38" s="50">
        <f>VLOOKUP($A38,'Data Vlaue (Cr)'!$C:$FB,144)</f>
        <v>7733.87</v>
      </c>
      <c r="F38" s="50">
        <f>VLOOKUP($A38,'Data Vlaue (Cr)'!$C:$FB,146)*100</f>
        <v>-22.919999999999998</v>
      </c>
      <c r="G38" s="49">
        <f>VLOOKUP($A38,'Data Vlaue (Cr)'!$C:$FB,43)</f>
        <v>749</v>
      </c>
      <c r="H38" s="49">
        <f>VLOOKUP($A38,'Data Vlaue (Cr)'!$C:$FB,44)</f>
        <v>1003</v>
      </c>
      <c r="I38" s="49">
        <f>VLOOKUP($A38,'Data Vlaue (Cr)'!$C:$FB,46)*100</f>
        <v>-25.330000000000002</v>
      </c>
      <c r="J38" s="51">
        <f>VLOOKUP($A38,'Data Vlaue (Cr)'!$C:$FB,59)</f>
        <v>3334</v>
      </c>
      <c r="K38" s="51">
        <f>VLOOKUP($A38,'Data Vlaue (Cr)'!$C:$FB,60)</f>
        <v>4615</v>
      </c>
      <c r="L38" s="51">
        <f>VLOOKUP($A38,'Data Vlaue (Cr)'!$C:$FB,62)*100</f>
        <v>-27.77</v>
      </c>
      <c r="M38" s="51">
        <f>VLOOKUP($A38,'Data Vlaue (Cr)'!$C:$FB,63)</f>
        <v>1779</v>
      </c>
      <c r="N38" s="51">
        <f>VLOOKUP($A38,'Data Vlaue (Cr)'!$C:$FB,64)</f>
        <v>1982</v>
      </c>
      <c r="O38" s="51">
        <f>VLOOKUP($A38,'Data Vlaue (Cr)'!$C:$FB,66)*100</f>
        <v>-10.220000000000001</v>
      </c>
    </row>
    <row r="39" spans="1:15" x14ac:dyDescent="0.25">
      <c r="A39" s="101" t="str">
        <f>'Data Vlaue (Cr)'!C34</f>
        <v>BHEL</v>
      </c>
      <c r="B39" s="50">
        <f>VLOOKUP($A39,'Data Vlaue (Cr)'!$C:$FB,8)</f>
        <v>385.95</v>
      </c>
      <c r="C39" s="50">
        <f>VLOOKUP($A39,'Data Vlaue (Cr)'!$C:$FB,11)*100</f>
        <v>2.93</v>
      </c>
      <c r="D39" s="50">
        <f>VLOOKUP($A39,'Data Vlaue (Cr)'!$C:$FB,143)</f>
        <v>7670.55</v>
      </c>
      <c r="E39" s="50">
        <f>VLOOKUP($A39,'Data Vlaue (Cr)'!$C:$FB,144)</f>
        <v>9369.81</v>
      </c>
      <c r="F39" s="50">
        <f>VLOOKUP($A39,'Data Vlaue (Cr)'!$C:$FB,146)*100</f>
        <v>-18.14</v>
      </c>
      <c r="G39" s="49">
        <f>VLOOKUP($A39,'Data Vlaue (Cr)'!$C:$FB,43)</f>
        <v>1062</v>
      </c>
      <c r="H39" s="49">
        <f>VLOOKUP($A39,'Data Vlaue (Cr)'!$C:$FB,44)</f>
        <v>1303</v>
      </c>
      <c r="I39" s="49">
        <f>VLOOKUP($A39,'Data Vlaue (Cr)'!$C:$FB,46)*100</f>
        <v>-18.54</v>
      </c>
      <c r="J39" s="51">
        <f>VLOOKUP($A39,'Data Vlaue (Cr)'!$C:$FB,59)</f>
        <v>4036</v>
      </c>
      <c r="K39" s="51">
        <f>VLOOKUP($A39,'Data Vlaue (Cr)'!$C:$FB,60)</f>
        <v>5077</v>
      </c>
      <c r="L39" s="51">
        <f>VLOOKUP($A39,'Data Vlaue (Cr)'!$C:$FB,62)*100</f>
        <v>-20.5</v>
      </c>
      <c r="M39" s="51">
        <f>VLOOKUP($A39,'Data Vlaue (Cr)'!$C:$FB,63)</f>
        <v>2527</v>
      </c>
      <c r="N39" s="51">
        <f>VLOOKUP($A39,'Data Vlaue (Cr)'!$C:$FB,64)</f>
        <v>2883</v>
      </c>
      <c r="O39" s="51">
        <f>VLOOKUP($A39,'Data Vlaue (Cr)'!$C:$FB,66)*100</f>
        <v>-12.36</v>
      </c>
    </row>
    <row r="40" spans="1:15" x14ac:dyDescent="0.25">
      <c r="A40" s="101" t="str">
        <f>'Data Vlaue (Cr)'!C35</f>
        <v>BIOCON</v>
      </c>
      <c r="B40" s="50">
        <f>VLOOKUP($A40,'Data Vlaue (Cr)'!$C:$FB,8)</f>
        <v>380.6</v>
      </c>
      <c r="C40" s="50">
        <f>VLOOKUP($A40,'Data Vlaue (Cr)'!$C:$FB,11)*100</f>
        <v>3.35</v>
      </c>
      <c r="D40" s="50">
        <f>VLOOKUP($A40,'Data Vlaue (Cr)'!$C:$FB,143)</f>
        <v>3606.8</v>
      </c>
      <c r="E40" s="50">
        <f>VLOOKUP($A40,'Data Vlaue (Cr)'!$C:$FB,144)</f>
        <v>1610.32</v>
      </c>
      <c r="F40" s="50">
        <f>VLOOKUP($A40,'Data Vlaue (Cr)'!$C:$FB,146)*100</f>
        <v>123.98</v>
      </c>
      <c r="G40" s="49">
        <f>VLOOKUP($A40,'Data Vlaue (Cr)'!$C:$FB,43)</f>
        <v>488</v>
      </c>
      <c r="H40" s="49">
        <f>VLOOKUP($A40,'Data Vlaue (Cr)'!$C:$FB,44)</f>
        <v>257</v>
      </c>
      <c r="I40" s="49">
        <f>VLOOKUP($A40,'Data Vlaue (Cr)'!$C:$FB,46)*100</f>
        <v>89.710000000000008</v>
      </c>
      <c r="J40" s="51">
        <f>VLOOKUP($A40,'Data Vlaue (Cr)'!$C:$FB,59)</f>
        <v>2190</v>
      </c>
      <c r="K40" s="51">
        <f>VLOOKUP($A40,'Data Vlaue (Cr)'!$C:$FB,60)</f>
        <v>995</v>
      </c>
      <c r="L40" s="51">
        <f>VLOOKUP($A40,'Data Vlaue (Cr)'!$C:$FB,62)*100</f>
        <v>120.13000000000001</v>
      </c>
      <c r="M40" s="51">
        <f>VLOOKUP($A40,'Data Vlaue (Cr)'!$C:$FB,63)</f>
        <v>848</v>
      </c>
      <c r="N40" s="51">
        <f>VLOOKUP($A40,'Data Vlaue (Cr)'!$C:$FB,64)</f>
        <v>368</v>
      </c>
      <c r="O40" s="51">
        <f>VLOOKUP($A40,'Data Vlaue (Cr)'!$C:$FB,66)*100</f>
        <v>130.21</v>
      </c>
    </row>
    <row r="41" spans="1:15" x14ac:dyDescent="0.25">
      <c r="A41" s="101" t="str">
        <f>'Data Vlaue (Cr)'!C36</f>
        <v>BLUESTARCO</v>
      </c>
      <c r="B41" s="50">
        <f>VLOOKUP($A41,'Data Vlaue (Cr)'!$C:$FB,8)</f>
        <v>1806.6</v>
      </c>
      <c r="C41" s="50">
        <f>VLOOKUP($A41,'Data Vlaue (Cr)'!$C:$FB,11)*100</f>
        <v>0.24</v>
      </c>
      <c r="D41" s="50">
        <f>VLOOKUP($A41,'Data Vlaue (Cr)'!$C:$FB,143)</f>
        <v>948.16</v>
      </c>
      <c r="E41" s="50">
        <f>VLOOKUP($A41,'Data Vlaue (Cr)'!$C:$FB,144)</f>
        <v>370.95</v>
      </c>
      <c r="F41" s="50">
        <f>VLOOKUP($A41,'Data Vlaue (Cr)'!$C:$FB,146)*100</f>
        <v>155.61000000000001</v>
      </c>
      <c r="G41" s="49">
        <f>VLOOKUP($A41,'Data Vlaue (Cr)'!$C:$FB,43)</f>
        <v>269</v>
      </c>
      <c r="H41" s="49">
        <f>VLOOKUP($A41,'Data Vlaue (Cr)'!$C:$FB,44)</f>
        <v>145</v>
      </c>
      <c r="I41" s="49">
        <f>VLOOKUP($A41,'Data Vlaue (Cr)'!$C:$FB,46)*100</f>
        <v>86.240000000000009</v>
      </c>
      <c r="J41" s="51">
        <f>VLOOKUP($A41,'Data Vlaue (Cr)'!$C:$FB,59)</f>
        <v>484</v>
      </c>
      <c r="K41" s="51">
        <f>VLOOKUP($A41,'Data Vlaue (Cr)'!$C:$FB,60)</f>
        <v>153</v>
      </c>
      <c r="L41" s="51">
        <f>VLOOKUP($A41,'Data Vlaue (Cr)'!$C:$FB,62)*100</f>
        <v>216.1</v>
      </c>
      <c r="M41" s="51">
        <f>VLOOKUP($A41,'Data Vlaue (Cr)'!$C:$FB,63)</f>
        <v>164</v>
      </c>
      <c r="N41" s="51">
        <f>VLOOKUP($A41,'Data Vlaue (Cr)'!$C:$FB,64)</f>
        <v>61</v>
      </c>
      <c r="O41" s="51">
        <f>VLOOKUP($A41,'Data Vlaue (Cr)'!$C:$FB,66)*100</f>
        <v>168.11</v>
      </c>
    </row>
    <row r="42" spans="1:15" x14ac:dyDescent="0.25">
      <c r="A42" s="101" t="str">
        <f>'Data Vlaue (Cr)'!C37</f>
        <v>BOSCHLTD</v>
      </c>
      <c r="B42" s="50">
        <f>VLOOKUP($A42,'Data Vlaue (Cr)'!$C:$FB,8)</f>
        <v>36645</v>
      </c>
      <c r="C42" s="50">
        <f>VLOOKUP($A42,'Data Vlaue (Cr)'!$C:$FB,11)*100</f>
        <v>2.16</v>
      </c>
      <c r="D42" s="50">
        <f>VLOOKUP($A42,'Data Vlaue (Cr)'!$C:$FB,143)</f>
        <v>343.74</v>
      </c>
      <c r="E42" s="50">
        <f>VLOOKUP($A42,'Data Vlaue (Cr)'!$C:$FB,144)</f>
        <v>238.84</v>
      </c>
      <c r="F42" s="50">
        <f>VLOOKUP($A42,'Data Vlaue (Cr)'!$C:$FB,146)*100</f>
        <v>43.919999999999995</v>
      </c>
      <c r="G42" s="49">
        <f>VLOOKUP($A42,'Data Vlaue (Cr)'!$C:$FB,43)</f>
        <v>129</v>
      </c>
      <c r="H42" s="49">
        <f>VLOOKUP($A42,'Data Vlaue (Cr)'!$C:$FB,44)</f>
        <v>70</v>
      </c>
      <c r="I42" s="49">
        <f>VLOOKUP($A42,'Data Vlaue (Cr)'!$C:$FB,46)*100</f>
        <v>85.54</v>
      </c>
      <c r="J42" s="51">
        <f>VLOOKUP($A42,'Data Vlaue (Cr)'!$C:$FB,59)</f>
        <v>153</v>
      </c>
      <c r="K42" s="51">
        <f>VLOOKUP($A42,'Data Vlaue (Cr)'!$C:$FB,60)</f>
        <v>108</v>
      </c>
      <c r="L42" s="51">
        <f>VLOOKUP($A42,'Data Vlaue (Cr)'!$C:$FB,62)*100</f>
        <v>41.75</v>
      </c>
      <c r="M42" s="51">
        <f>VLOOKUP($A42,'Data Vlaue (Cr)'!$C:$FB,63)</f>
        <v>55</v>
      </c>
      <c r="N42" s="51">
        <f>VLOOKUP($A42,'Data Vlaue (Cr)'!$C:$FB,64)</f>
        <v>59</v>
      </c>
      <c r="O42" s="51">
        <f>VLOOKUP($A42,'Data Vlaue (Cr)'!$C:$FB,66)*100</f>
        <v>-6.11</v>
      </c>
    </row>
    <row r="43" spans="1:15" x14ac:dyDescent="0.25">
      <c r="A43" s="101" t="str">
        <f>'Data Vlaue (Cr)'!C38</f>
        <v>BPCL</v>
      </c>
      <c r="B43" s="50">
        <f>VLOOKUP($A43,'Data Vlaue (Cr)'!$C:$FB,8)</f>
        <v>314.05</v>
      </c>
      <c r="C43" s="50">
        <f>VLOOKUP($A43,'Data Vlaue (Cr)'!$C:$FB,11)*100</f>
        <v>5.21</v>
      </c>
      <c r="D43" s="50">
        <f>VLOOKUP($A43,'Data Vlaue (Cr)'!$C:$FB,143)</f>
        <v>2964.6</v>
      </c>
      <c r="E43" s="50">
        <f>VLOOKUP($A43,'Data Vlaue (Cr)'!$C:$FB,144)</f>
        <v>1356.86</v>
      </c>
      <c r="F43" s="50">
        <f>VLOOKUP($A43,'Data Vlaue (Cr)'!$C:$FB,146)*100</f>
        <v>118.49000000000001</v>
      </c>
      <c r="G43" s="49">
        <f>VLOOKUP($A43,'Data Vlaue (Cr)'!$C:$FB,43)</f>
        <v>399</v>
      </c>
      <c r="H43" s="49">
        <f>VLOOKUP($A43,'Data Vlaue (Cr)'!$C:$FB,44)</f>
        <v>219</v>
      </c>
      <c r="I43" s="49">
        <f>VLOOKUP($A43,'Data Vlaue (Cr)'!$C:$FB,46)*100</f>
        <v>82.66</v>
      </c>
      <c r="J43" s="51">
        <f>VLOOKUP($A43,'Data Vlaue (Cr)'!$C:$FB,59)</f>
        <v>1758</v>
      </c>
      <c r="K43" s="51">
        <f>VLOOKUP($A43,'Data Vlaue (Cr)'!$C:$FB,60)</f>
        <v>631</v>
      </c>
      <c r="L43" s="51">
        <f>VLOOKUP($A43,'Data Vlaue (Cr)'!$C:$FB,62)*100</f>
        <v>178.48</v>
      </c>
      <c r="M43" s="51">
        <f>VLOOKUP($A43,'Data Vlaue (Cr)'!$C:$FB,63)</f>
        <v>733</v>
      </c>
      <c r="N43" s="51">
        <f>VLOOKUP($A43,'Data Vlaue (Cr)'!$C:$FB,64)</f>
        <v>530</v>
      </c>
      <c r="O43" s="51">
        <f>VLOOKUP($A43,'Data Vlaue (Cr)'!$C:$FB,66)*100</f>
        <v>38.229999999999997</v>
      </c>
    </row>
    <row r="44" spans="1:15" x14ac:dyDescent="0.25">
      <c r="A44" s="101" t="str">
        <f>'Data Vlaue (Cr)'!C39</f>
        <v>BRITANNIA</v>
      </c>
      <c r="B44" s="50">
        <f>VLOOKUP($A44,'Data Vlaue (Cr)'!$C:$FB,8)</f>
        <v>5783</v>
      </c>
      <c r="C44" s="50">
        <f>VLOOKUP($A44,'Data Vlaue (Cr)'!$C:$FB,11)*100</f>
        <v>-0.88</v>
      </c>
      <c r="D44" s="50">
        <f>VLOOKUP($A44,'Data Vlaue (Cr)'!$C:$FB,143)</f>
        <v>1578.35</v>
      </c>
      <c r="E44" s="50">
        <f>VLOOKUP($A44,'Data Vlaue (Cr)'!$C:$FB,144)</f>
        <v>1521.39</v>
      </c>
      <c r="F44" s="50">
        <f>VLOOKUP($A44,'Data Vlaue (Cr)'!$C:$FB,146)*100</f>
        <v>3.74</v>
      </c>
      <c r="G44" s="49">
        <f>VLOOKUP($A44,'Data Vlaue (Cr)'!$C:$FB,43)</f>
        <v>354</v>
      </c>
      <c r="H44" s="49">
        <f>VLOOKUP($A44,'Data Vlaue (Cr)'!$C:$FB,44)</f>
        <v>419</v>
      </c>
      <c r="I44" s="49">
        <f>VLOOKUP($A44,'Data Vlaue (Cr)'!$C:$FB,46)*100</f>
        <v>-15.52</v>
      </c>
      <c r="J44" s="51">
        <f>VLOOKUP($A44,'Data Vlaue (Cr)'!$C:$FB,59)</f>
        <v>689</v>
      </c>
      <c r="K44" s="51">
        <f>VLOOKUP($A44,'Data Vlaue (Cr)'!$C:$FB,60)</f>
        <v>725</v>
      </c>
      <c r="L44" s="51">
        <f>VLOOKUP($A44,'Data Vlaue (Cr)'!$C:$FB,62)*100</f>
        <v>-5.0200000000000005</v>
      </c>
      <c r="M44" s="51">
        <f>VLOOKUP($A44,'Data Vlaue (Cr)'!$C:$FB,63)</f>
        <v>513</v>
      </c>
      <c r="N44" s="51">
        <f>VLOOKUP($A44,'Data Vlaue (Cr)'!$C:$FB,64)</f>
        <v>344</v>
      </c>
      <c r="O44" s="51">
        <f>VLOOKUP($A44,'Data Vlaue (Cr)'!$C:$FB,66)*100</f>
        <v>49.01</v>
      </c>
    </row>
    <row r="45" spans="1:15" x14ac:dyDescent="0.25">
      <c r="A45" s="101" t="str">
        <f>'Data Vlaue (Cr)'!C40</f>
        <v>BSE</v>
      </c>
      <c r="B45" s="50">
        <f>VLOOKUP($A45,'Data Vlaue (Cr)'!$C:$FB,8)</f>
        <v>3852.1</v>
      </c>
      <c r="C45" s="50">
        <f>VLOOKUP($A45,'Data Vlaue (Cr)'!$C:$FB,11)*100</f>
        <v>3.38</v>
      </c>
      <c r="D45" s="50">
        <f>VLOOKUP($A45,'Data Vlaue (Cr)'!$C:$FB,143)</f>
        <v>8976.52</v>
      </c>
      <c r="E45" s="50">
        <f>VLOOKUP($A45,'Data Vlaue (Cr)'!$C:$FB,144)</f>
        <v>5986.64</v>
      </c>
      <c r="F45" s="50">
        <f>VLOOKUP($A45,'Data Vlaue (Cr)'!$C:$FB,146)*100</f>
        <v>49.94</v>
      </c>
      <c r="G45" s="49">
        <f>VLOOKUP($A45,'Data Vlaue (Cr)'!$C:$FB,43)</f>
        <v>1091</v>
      </c>
      <c r="H45" s="49">
        <f>VLOOKUP($A45,'Data Vlaue (Cr)'!$C:$FB,44)</f>
        <v>762</v>
      </c>
      <c r="I45" s="49">
        <f>VLOOKUP($A45,'Data Vlaue (Cr)'!$C:$FB,46)*100</f>
        <v>43.08</v>
      </c>
      <c r="J45" s="51">
        <f>VLOOKUP($A45,'Data Vlaue (Cr)'!$C:$FB,59)</f>
        <v>4781</v>
      </c>
      <c r="K45" s="51">
        <f>VLOOKUP($A45,'Data Vlaue (Cr)'!$C:$FB,60)</f>
        <v>3201</v>
      </c>
      <c r="L45" s="51">
        <f>VLOOKUP($A45,'Data Vlaue (Cr)'!$C:$FB,62)*100</f>
        <v>49.35</v>
      </c>
      <c r="M45" s="51">
        <f>VLOOKUP($A45,'Data Vlaue (Cr)'!$C:$FB,63)</f>
        <v>3097</v>
      </c>
      <c r="N45" s="51">
        <f>VLOOKUP($A45,'Data Vlaue (Cr)'!$C:$FB,64)</f>
        <v>2086</v>
      </c>
      <c r="O45" s="51">
        <f>VLOOKUP($A45,'Data Vlaue (Cr)'!$C:$FB,66)*100</f>
        <v>48.47</v>
      </c>
    </row>
    <row r="46" spans="1:15" x14ac:dyDescent="0.25">
      <c r="A46" s="101" t="str">
        <f>'Data Vlaue (Cr)'!C41</f>
        <v>CAMS</v>
      </c>
      <c r="B46" s="50">
        <f>VLOOKUP($A46,'Data Vlaue (Cr)'!$C:$FB,8)</f>
        <v>815.85</v>
      </c>
      <c r="C46" s="50">
        <f>VLOOKUP($A46,'Data Vlaue (Cr)'!$C:$FB,11)*100</f>
        <v>2.31</v>
      </c>
      <c r="D46" s="50">
        <f>VLOOKUP($A46,'Data Vlaue (Cr)'!$C:$FB,143)</f>
        <v>2311.58</v>
      </c>
      <c r="E46" s="50">
        <f>VLOOKUP($A46,'Data Vlaue (Cr)'!$C:$FB,144)</f>
        <v>8620.77</v>
      </c>
      <c r="F46" s="50">
        <f>VLOOKUP($A46,'Data Vlaue (Cr)'!$C:$FB,146)*100</f>
        <v>-73.19</v>
      </c>
      <c r="G46" s="49">
        <f>VLOOKUP($A46,'Data Vlaue (Cr)'!$C:$FB,43)</f>
        <v>267</v>
      </c>
      <c r="H46" s="49">
        <f>VLOOKUP($A46,'Data Vlaue (Cr)'!$C:$FB,44)</f>
        <v>686</v>
      </c>
      <c r="I46" s="49">
        <f>VLOOKUP($A46,'Data Vlaue (Cr)'!$C:$FB,46)*100</f>
        <v>-61.01</v>
      </c>
      <c r="J46" s="51">
        <f>VLOOKUP($A46,'Data Vlaue (Cr)'!$C:$FB,59)</f>
        <v>1302</v>
      </c>
      <c r="K46" s="51">
        <f>VLOOKUP($A46,'Data Vlaue (Cr)'!$C:$FB,60)</f>
        <v>5917</v>
      </c>
      <c r="L46" s="51">
        <f>VLOOKUP($A46,'Data Vlaue (Cr)'!$C:$FB,62)*100</f>
        <v>-77.990000000000009</v>
      </c>
      <c r="M46" s="51">
        <f>VLOOKUP($A46,'Data Vlaue (Cr)'!$C:$FB,63)</f>
        <v>725</v>
      </c>
      <c r="N46" s="51">
        <f>VLOOKUP($A46,'Data Vlaue (Cr)'!$C:$FB,64)</f>
        <v>2157</v>
      </c>
      <c r="O46" s="51">
        <f>VLOOKUP($A46,'Data Vlaue (Cr)'!$C:$FB,66)*100</f>
        <v>-66.39</v>
      </c>
    </row>
    <row r="47" spans="1:15" x14ac:dyDescent="0.25">
      <c r="A47" s="101" t="str">
        <f>'Data Vlaue (Cr)'!C42</f>
        <v>CANBK</v>
      </c>
      <c r="B47" s="50">
        <f>VLOOKUP($A47,'Data Vlaue (Cr)'!$C:$FB,8)</f>
        <v>138.04</v>
      </c>
      <c r="C47" s="50">
        <f>VLOOKUP($A47,'Data Vlaue (Cr)'!$C:$FB,11)*100</f>
        <v>2.78</v>
      </c>
      <c r="D47" s="50">
        <f>VLOOKUP($A47,'Data Vlaue (Cr)'!$C:$FB,143)</f>
        <v>2462.79</v>
      </c>
      <c r="E47" s="50">
        <f>VLOOKUP($A47,'Data Vlaue (Cr)'!$C:$FB,144)</f>
        <v>1209.03</v>
      </c>
      <c r="F47" s="50">
        <f>VLOOKUP($A47,'Data Vlaue (Cr)'!$C:$FB,146)*100</f>
        <v>103.69999999999999</v>
      </c>
      <c r="G47" s="49">
        <f>VLOOKUP($A47,'Data Vlaue (Cr)'!$C:$FB,43)</f>
        <v>550</v>
      </c>
      <c r="H47" s="49">
        <f>VLOOKUP($A47,'Data Vlaue (Cr)'!$C:$FB,44)</f>
        <v>284</v>
      </c>
      <c r="I47" s="49">
        <f>VLOOKUP($A47,'Data Vlaue (Cr)'!$C:$FB,46)*100</f>
        <v>93.589999999999989</v>
      </c>
      <c r="J47" s="51">
        <f>VLOOKUP($A47,'Data Vlaue (Cr)'!$C:$FB,59)</f>
        <v>1297</v>
      </c>
      <c r="K47" s="51">
        <f>VLOOKUP($A47,'Data Vlaue (Cr)'!$C:$FB,60)</f>
        <v>567</v>
      </c>
      <c r="L47" s="51">
        <f>VLOOKUP($A47,'Data Vlaue (Cr)'!$C:$FB,62)*100</f>
        <v>128.68</v>
      </c>
      <c r="M47" s="51">
        <f>VLOOKUP($A47,'Data Vlaue (Cr)'!$C:$FB,63)</f>
        <v>574</v>
      </c>
      <c r="N47" s="51">
        <f>VLOOKUP($A47,'Data Vlaue (Cr)'!$C:$FB,64)</f>
        <v>356</v>
      </c>
      <c r="O47" s="51">
        <f>VLOOKUP($A47,'Data Vlaue (Cr)'!$C:$FB,66)*100</f>
        <v>61.08</v>
      </c>
    </row>
    <row r="48" spans="1:15" x14ac:dyDescent="0.25">
      <c r="A48" s="101" t="str">
        <f>'Data Vlaue (Cr)'!C43</f>
        <v>CDSL</v>
      </c>
      <c r="B48" s="50">
        <f>VLOOKUP($A48,'Data Vlaue (Cr)'!$C:$FB,8)</f>
        <v>1282.8</v>
      </c>
      <c r="C48" s="50">
        <f>VLOOKUP($A48,'Data Vlaue (Cr)'!$C:$FB,11)*100</f>
        <v>2.2399999999999998</v>
      </c>
      <c r="D48" s="50">
        <f>VLOOKUP($A48,'Data Vlaue (Cr)'!$C:$FB,143)</f>
        <v>3462.17</v>
      </c>
      <c r="E48" s="50">
        <f>VLOOKUP($A48,'Data Vlaue (Cr)'!$C:$FB,144)</f>
        <v>2240.69</v>
      </c>
      <c r="F48" s="50">
        <f>VLOOKUP($A48,'Data Vlaue (Cr)'!$C:$FB,146)*100</f>
        <v>54.510000000000005</v>
      </c>
      <c r="G48" s="49">
        <f>VLOOKUP($A48,'Data Vlaue (Cr)'!$C:$FB,43)</f>
        <v>680</v>
      </c>
      <c r="H48" s="49">
        <f>VLOOKUP($A48,'Data Vlaue (Cr)'!$C:$FB,44)</f>
        <v>377</v>
      </c>
      <c r="I48" s="49">
        <f>VLOOKUP($A48,'Data Vlaue (Cr)'!$C:$FB,46)*100</f>
        <v>80.38</v>
      </c>
      <c r="J48" s="51">
        <f>VLOOKUP($A48,'Data Vlaue (Cr)'!$C:$FB,59)</f>
        <v>2010</v>
      </c>
      <c r="K48" s="51">
        <f>VLOOKUP($A48,'Data Vlaue (Cr)'!$C:$FB,60)</f>
        <v>1311</v>
      </c>
      <c r="L48" s="51">
        <f>VLOOKUP($A48,'Data Vlaue (Cr)'!$C:$FB,62)*100</f>
        <v>53.300000000000004</v>
      </c>
      <c r="M48" s="51">
        <f>VLOOKUP($A48,'Data Vlaue (Cr)'!$C:$FB,63)</f>
        <v>722</v>
      </c>
      <c r="N48" s="51">
        <f>VLOOKUP($A48,'Data Vlaue (Cr)'!$C:$FB,64)</f>
        <v>542</v>
      </c>
      <c r="O48" s="51">
        <f>VLOOKUP($A48,'Data Vlaue (Cr)'!$C:$FB,66)*100</f>
        <v>33.090000000000003</v>
      </c>
    </row>
    <row r="49" spans="1:15" x14ac:dyDescent="0.25">
      <c r="A49" s="101" t="str">
        <f>'Data Vlaue (Cr)'!C44</f>
        <v>CGPOWER</v>
      </c>
      <c r="B49" s="50">
        <f>VLOOKUP($A49,'Data Vlaue (Cr)'!$C:$FB,8)</f>
        <v>828.9</v>
      </c>
      <c r="C49" s="50">
        <f>VLOOKUP($A49,'Data Vlaue (Cr)'!$C:$FB,11)*100</f>
        <v>0.24</v>
      </c>
      <c r="D49" s="50">
        <f>VLOOKUP($A49,'Data Vlaue (Cr)'!$C:$FB,143)</f>
        <v>6264.42</v>
      </c>
      <c r="E49" s="50">
        <f>VLOOKUP($A49,'Data Vlaue (Cr)'!$C:$FB,144)</f>
        <v>2267</v>
      </c>
      <c r="F49" s="50">
        <f>VLOOKUP($A49,'Data Vlaue (Cr)'!$C:$FB,146)*100</f>
        <v>176.33</v>
      </c>
      <c r="G49" s="49">
        <f>VLOOKUP($A49,'Data Vlaue (Cr)'!$C:$FB,43)</f>
        <v>1164</v>
      </c>
      <c r="H49" s="49">
        <f>VLOOKUP($A49,'Data Vlaue (Cr)'!$C:$FB,44)</f>
        <v>483</v>
      </c>
      <c r="I49" s="49">
        <f>VLOOKUP($A49,'Data Vlaue (Cr)'!$C:$FB,46)*100</f>
        <v>140.98999999999998</v>
      </c>
      <c r="J49" s="51">
        <f>VLOOKUP($A49,'Data Vlaue (Cr)'!$C:$FB,59)</f>
        <v>3563</v>
      </c>
      <c r="K49" s="51">
        <f>VLOOKUP($A49,'Data Vlaue (Cr)'!$C:$FB,60)</f>
        <v>1329</v>
      </c>
      <c r="L49" s="51">
        <f>VLOOKUP($A49,'Data Vlaue (Cr)'!$C:$FB,62)*100</f>
        <v>168.01</v>
      </c>
      <c r="M49" s="51">
        <f>VLOOKUP($A49,'Data Vlaue (Cr)'!$C:$FB,63)</f>
        <v>1357</v>
      </c>
      <c r="N49" s="51">
        <f>VLOOKUP($A49,'Data Vlaue (Cr)'!$C:$FB,64)</f>
        <v>397</v>
      </c>
      <c r="O49" s="51">
        <f>VLOOKUP($A49,'Data Vlaue (Cr)'!$C:$FB,66)*100</f>
        <v>242.09</v>
      </c>
    </row>
    <row r="50" spans="1:15" x14ac:dyDescent="0.25">
      <c r="A50" s="101" t="str">
        <f>'Data Vlaue (Cr)'!C45</f>
        <v>CHOLAFIN</v>
      </c>
      <c r="B50" s="50">
        <f>VLOOKUP($A50,'Data Vlaue (Cr)'!$C:$FB,8)</f>
        <v>1711.9</v>
      </c>
      <c r="C50" s="50">
        <f>VLOOKUP($A50,'Data Vlaue (Cr)'!$C:$FB,11)*100</f>
        <v>3.29</v>
      </c>
      <c r="D50" s="50">
        <f>VLOOKUP($A50,'Data Vlaue (Cr)'!$C:$FB,143)</f>
        <v>1885.59</v>
      </c>
      <c r="E50" s="50">
        <f>VLOOKUP($A50,'Data Vlaue (Cr)'!$C:$FB,144)</f>
        <v>1716.39</v>
      </c>
      <c r="F50" s="50">
        <f>VLOOKUP($A50,'Data Vlaue (Cr)'!$C:$FB,146)*100</f>
        <v>9.86</v>
      </c>
      <c r="G50" s="49">
        <f>VLOOKUP($A50,'Data Vlaue (Cr)'!$C:$FB,43)</f>
        <v>345</v>
      </c>
      <c r="H50" s="49">
        <f>VLOOKUP($A50,'Data Vlaue (Cr)'!$C:$FB,44)</f>
        <v>397</v>
      </c>
      <c r="I50" s="49">
        <f>VLOOKUP($A50,'Data Vlaue (Cr)'!$C:$FB,46)*100</f>
        <v>-13.15</v>
      </c>
      <c r="J50" s="51">
        <f>VLOOKUP($A50,'Data Vlaue (Cr)'!$C:$FB,59)</f>
        <v>911</v>
      </c>
      <c r="K50" s="51">
        <f>VLOOKUP($A50,'Data Vlaue (Cr)'!$C:$FB,60)</f>
        <v>807</v>
      </c>
      <c r="L50" s="51">
        <f>VLOOKUP($A50,'Data Vlaue (Cr)'!$C:$FB,62)*100</f>
        <v>12.83</v>
      </c>
      <c r="M50" s="51">
        <f>VLOOKUP($A50,'Data Vlaue (Cr)'!$C:$FB,63)</f>
        <v>637</v>
      </c>
      <c r="N50" s="51">
        <f>VLOOKUP($A50,'Data Vlaue (Cr)'!$C:$FB,64)</f>
        <v>560</v>
      </c>
      <c r="O50" s="51">
        <f>VLOOKUP($A50,'Data Vlaue (Cr)'!$C:$FB,66)*100</f>
        <v>13.58</v>
      </c>
    </row>
    <row r="51" spans="1:15" x14ac:dyDescent="0.25">
      <c r="A51" s="101" t="str">
        <f>'Data Vlaue (Cr)'!C46</f>
        <v>CIPLA</v>
      </c>
      <c r="B51" s="50">
        <f>VLOOKUP($A51,'Data Vlaue (Cr)'!$C:$FB,8)</f>
        <v>1364.4</v>
      </c>
      <c r="C51" s="50">
        <f>VLOOKUP($A51,'Data Vlaue (Cr)'!$C:$FB,11)*100</f>
        <v>2.2999999999999998</v>
      </c>
      <c r="D51" s="50">
        <f>VLOOKUP($A51,'Data Vlaue (Cr)'!$C:$FB,143)</f>
        <v>2046.65</v>
      </c>
      <c r="E51" s="50">
        <f>VLOOKUP($A51,'Data Vlaue (Cr)'!$C:$FB,144)</f>
        <v>956.98</v>
      </c>
      <c r="F51" s="50">
        <f>VLOOKUP($A51,'Data Vlaue (Cr)'!$C:$FB,146)*100</f>
        <v>113.87</v>
      </c>
      <c r="G51" s="49">
        <f>VLOOKUP($A51,'Data Vlaue (Cr)'!$C:$FB,43)</f>
        <v>259</v>
      </c>
      <c r="H51" s="49">
        <f>VLOOKUP($A51,'Data Vlaue (Cr)'!$C:$FB,44)</f>
        <v>146</v>
      </c>
      <c r="I51" s="49">
        <f>VLOOKUP($A51,'Data Vlaue (Cr)'!$C:$FB,46)*100</f>
        <v>77.990000000000009</v>
      </c>
      <c r="J51" s="51">
        <f>VLOOKUP($A51,'Data Vlaue (Cr)'!$C:$FB,59)</f>
        <v>1299</v>
      </c>
      <c r="K51" s="51">
        <f>VLOOKUP($A51,'Data Vlaue (Cr)'!$C:$FB,60)</f>
        <v>551</v>
      </c>
      <c r="L51" s="51">
        <f>VLOOKUP($A51,'Data Vlaue (Cr)'!$C:$FB,62)*100</f>
        <v>135.65</v>
      </c>
      <c r="M51" s="51">
        <f>VLOOKUP($A51,'Data Vlaue (Cr)'!$C:$FB,63)</f>
        <v>457</v>
      </c>
      <c r="N51" s="51">
        <f>VLOOKUP($A51,'Data Vlaue (Cr)'!$C:$FB,64)</f>
        <v>266</v>
      </c>
      <c r="O51" s="51">
        <f>VLOOKUP($A51,'Data Vlaue (Cr)'!$C:$FB,66)*100</f>
        <v>71.94</v>
      </c>
    </row>
    <row r="52" spans="1:15" x14ac:dyDescent="0.25">
      <c r="A52" s="101" t="str">
        <f>'Data Vlaue (Cr)'!C47</f>
        <v>COALINDIA</v>
      </c>
      <c r="B52" s="50">
        <f>VLOOKUP($A52,'Data Vlaue (Cr)'!$C:$FB,8)</f>
        <v>470.2</v>
      </c>
      <c r="C52" s="50">
        <f>VLOOKUP($A52,'Data Vlaue (Cr)'!$C:$FB,11)*100</f>
        <v>-0.51</v>
      </c>
      <c r="D52" s="50">
        <f>VLOOKUP($A52,'Data Vlaue (Cr)'!$C:$FB,143)</f>
        <v>3557.82</v>
      </c>
      <c r="E52" s="50">
        <f>VLOOKUP($A52,'Data Vlaue (Cr)'!$C:$FB,144)</f>
        <v>2177.31</v>
      </c>
      <c r="F52" s="50">
        <f>VLOOKUP($A52,'Data Vlaue (Cr)'!$C:$FB,146)*100</f>
        <v>63.4</v>
      </c>
      <c r="G52" s="49">
        <f>VLOOKUP($A52,'Data Vlaue (Cr)'!$C:$FB,43)</f>
        <v>434</v>
      </c>
      <c r="H52" s="49">
        <f>VLOOKUP($A52,'Data Vlaue (Cr)'!$C:$FB,44)</f>
        <v>219</v>
      </c>
      <c r="I52" s="49">
        <f>VLOOKUP($A52,'Data Vlaue (Cr)'!$C:$FB,46)*100</f>
        <v>98.460000000000008</v>
      </c>
      <c r="J52" s="51">
        <f>VLOOKUP($A52,'Data Vlaue (Cr)'!$C:$FB,59)</f>
        <v>1865</v>
      </c>
      <c r="K52" s="51">
        <f>VLOOKUP($A52,'Data Vlaue (Cr)'!$C:$FB,60)</f>
        <v>1184</v>
      </c>
      <c r="L52" s="51">
        <f>VLOOKUP($A52,'Data Vlaue (Cr)'!$C:$FB,62)*100</f>
        <v>57.54</v>
      </c>
      <c r="M52" s="51">
        <f>VLOOKUP($A52,'Data Vlaue (Cr)'!$C:$FB,63)</f>
        <v>1150</v>
      </c>
      <c r="N52" s="51">
        <f>VLOOKUP($A52,'Data Vlaue (Cr)'!$C:$FB,64)</f>
        <v>699</v>
      </c>
      <c r="O52" s="51">
        <f>VLOOKUP($A52,'Data Vlaue (Cr)'!$C:$FB,66)*100</f>
        <v>64.56</v>
      </c>
    </row>
    <row r="53" spans="1:15" x14ac:dyDescent="0.25">
      <c r="A53" s="101" t="str">
        <f>'Data Vlaue (Cr)'!C48</f>
        <v>COCHINSHIP</v>
      </c>
      <c r="B53" s="50">
        <f>VLOOKUP($A53,'Data Vlaue (Cr)'!$C:$FB,8)</f>
        <v>1753.1</v>
      </c>
      <c r="C53" s="50">
        <f>VLOOKUP($A53,'Data Vlaue (Cr)'!$C:$FB,11)*100</f>
        <v>2.39</v>
      </c>
      <c r="D53" s="50">
        <f>VLOOKUP($A53,'Data Vlaue (Cr)'!$C:$FB,143)</f>
        <v>683.65</v>
      </c>
      <c r="E53" s="50">
        <f>VLOOKUP($A53,'Data Vlaue (Cr)'!$C:$FB,144)</f>
        <v>259.77999999999997</v>
      </c>
      <c r="F53" s="50">
        <f>VLOOKUP($A53,'Data Vlaue (Cr)'!$C:$FB,146)*100</f>
        <v>163.16999999999999</v>
      </c>
      <c r="G53" s="49">
        <f>VLOOKUP($A53,'Data Vlaue (Cr)'!$C:$FB,43)</f>
        <v>135</v>
      </c>
      <c r="H53" s="49">
        <f>VLOOKUP($A53,'Data Vlaue (Cr)'!$C:$FB,44)</f>
        <v>91</v>
      </c>
      <c r="I53" s="49">
        <f>VLOOKUP($A53,'Data Vlaue (Cr)'!$C:$FB,46)*100</f>
        <v>48.3</v>
      </c>
      <c r="J53" s="51">
        <f>VLOOKUP($A53,'Data Vlaue (Cr)'!$C:$FB,59)</f>
        <v>431</v>
      </c>
      <c r="K53" s="51">
        <f>VLOOKUP($A53,'Data Vlaue (Cr)'!$C:$FB,60)</f>
        <v>123</v>
      </c>
      <c r="L53" s="51">
        <f>VLOOKUP($A53,'Data Vlaue (Cr)'!$C:$FB,62)*100</f>
        <v>249.6</v>
      </c>
      <c r="M53" s="51">
        <f>VLOOKUP($A53,'Data Vlaue (Cr)'!$C:$FB,63)</f>
        <v>96</v>
      </c>
      <c r="N53" s="51">
        <f>VLOOKUP($A53,'Data Vlaue (Cr)'!$C:$FB,64)</f>
        <v>46</v>
      </c>
      <c r="O53" s="51">
        <f>VLOOKUP($A53,'Data Vlaue (Cr)'!$C:$FB,66)*100</f>
        <v>111.11</v>
      </c>
    </row>
    <row r="54" spans="1:15" x14ac:dyDescent="0.25">
      <c r="A54" s="101" t="str">
        <f>'Data Vlaue (Cr)'!C49</f>
        <v>COFORGE</v>
      </c>
      <c r="B54" s="50">
        <f>VLOOKUP($A54,'Data Vlaue (Cr)'!$C:$FB,8)</f>
        <v>1280.4000000000001</v>
      </c>
      <c r="C54" s="50">
        <f>VLOOKUP($A54,'Data Vlaue (Cr)'!$C:$FB,11)*100</f>
        <v>9.5500000000000007</v>
      </c>
      <c r="D54" s="50">
        <f>VLOOKUP($A54,'Data Vlaue (Cr)'!$C:$FB,143)</f>
        <v>17642.34</v>
      </c>
      <c r="E54" s="50">
        <f>VLOOKUP($A54,'Data Vlaue (Cr)'!$C:$FB,144)</f>
        <v>2308.1799999999998</v>
      </c>
      <c r="F54" s="50">
        <f>VLOOKUP($A54,'Data Vlaue (Cr)'!$C:$FB,146)*100</f>
        <v>664.33999999999992</v>
      </c>
      <c r="G54" s="49">
        <f>VLOOKUP($A54,'Data Vlaue (Cr)'!$C:$FB,43)</f>
        <v>1875</v>
      </c>
      <c r="H54" s="49">
        <f>VLOOKUP($A54,'Data Vlaue (Cr)'!$C:$FB,44)</f>
        <v>337</v>
      </c>
      <c r="I54" s="49">
        <f>VLOOKUP($A54,'Data Vlaue (Cr)'!$C:$FB,46)*100</f>
        <v>456.67</v>
      </c>
      <c r="J54" s="51">
        <f>VLOOKUP($A54,'Data Vlaue (Cr)'!$C:$FB,59)</f>
        <v>10114</v>
      </c>
      <c r="K54" s="51">
        <f>VLOOKUP($A54,'Data Vlaue (Cr)'!$C:$FB,60)</f>
        <v>1370</v>
      </c>
      <c r="L54" s="51">
        <f>VLOOKUP($A54,'Data Vlaue (Cr)'!$C:$FB,62)*100</f>
        <v>638.08999999999992</v>
      </c>
      <c r="M54" s="51">
        <f>VLOOKUP($A54,'Data Vlaue (Cr)'!$C:$FB,63)</f>
        <v>5386</v>
      </c>
      <c r="N54" s="51">
        <f>VLOOKUP($A54,'Data Vlaue (Cr)'!$C:$FB,64)</f>
        <v>736</v>
      </c>
      <c r="O54" s="51">
        <f>VLOOKUP($A54,'Data Vlaue (Cr)'!$C:$FB,66)*100</f>
        <v>631.44000000000005</v>
      </c>
    </row>
    <row r="55" spans="1:15" x14ac:dyDescent="0.25">
      <c r="A55" s="101" t="str">
        <f>'Data Vlaue (Cr)'!C50</f>
        <v>COLPAL</v>
      </c>
      <c r="B55" s="50">
        <f>VLOOKUP($A55,'Data Vlaue (Cr)'!$C:$FB,8)</f>
        <v>2157.1</v>
      </c>
      <c r="C55" s="50">
        <f>VLOOKUP($A55,'Data Vlaue (Cr)'!$C:$FB,11)*100</f>
        <v>-1</v>
      </c>
      <c r="D55" s="50">
        <f>VLOOKUP($A55,'Data Vlaue (Cr)'!$C:$FB,143)</f>
        <v>426.22</v>
      </c>
      <c r="E55" s="50">
        <f>VLOOKUP($A55,'Data Vlaue (Cr)'!$C:$FB,144)</f>
        <v>488.06</v>
      </c>
      <c r="F55" s="50">
        <f>VLOOKUP($A55,'Data Vlaue (Cr)'!$C:$FB,146)*100</f>
        <v>-12.67</v>
      </c>
      <c r="G55" s="49">
        <f>VLOOKUP($A55,'Data Vlaue (Cr)'!$C:$FB,43)</f>
        <v>93</v>
      </c>
      <c r="H55" s="49">
        <f>VLOOKUP($A55,'Data Vlaue (Cr)'!$C:$FB,44)</f>
        <v>116</v>
      </c>
      <c r="I55" s="49">
        <f>VLOOKUP($A55,'Data Vlaue (Cr)'!$C:$FB,46)*100</f>
        <v>-19.439999999999998</v>
      </c>
      <c r="J55" s="51">
        <f>VLOOKUP($A55,'Data Vlaue (Cr)'!$C:$FB,59)</f>
        <v>235</v>
      </c>
      <c r="K55" s="51">
        <f>VLOOKUP($A55,'Data Vlaue (Cr)'!$C:$FB,60)</f>
        <v>275</v>
      </c>
      <c r="L55" s="51">
        <f>VLOOKUP($A55,'Data Vlaue (Cr)'!$C:$FB,62)*100</f>
        <v>-14.48</v>
      </c>
      <c r="M55" s="51">
        <f>VLOOKUP($A55,'Data Vlaue (Cr)'!$C:$FB,63)</f>
        <v>85</v>
      </c>
      <c r="N55" s="51">
        <f>VLOOKUP($A55,'Data Vlaue (Cr)'!$C:$FB,64)</f>
        <v>84</v>
      </c>
      <c r="O55" s="51">
        <f>VLOOKUP($A55,'Data Vlaue (Cr)'!$C:$FB,66)*100</f>
        <v>1.81</v>
      </c>
    </row>
    <row r="56" spans="1:15" x14ac:dyDescent="0.25">
      <c r="A56" s="101" t="str">
        <f>'Data Vlaue (Cr)'!C51</f>
        <v>CONCOR</v>
      </c>
      <c r="B56" s="50">
        <f>VLOOKUP($A56,'Data Vlaue (Cr)'!$C:$FB,8)</f>
        <v>524.20000000000005</v>
      </c>
      <c r="C56" s="50">
        <f>VLOOKUP($A56,'Data Vlaue (Cr)'!$C:$FB,11)*100</f>
        <v>1.1900000000000002</v>
      </c>
      <c r="D56" s="50">
        <f>VLOOKUP($A56,'Data Vlaue (Cr)'!$C:$FB,143)</f>
        <v>553.34</v>
      </c>
      <c r="E56" s="50">
        <f>VLOOKUP($A56,'Data Vlaue (Cr)'!$C:$FB,144)</f>
        <v>278.66000000000003</v>
      </c>
      <c r="F56" s="50">
        <f>VLOOKUP($A56,'Data Vlaue (Cr)'!$C:$FB,146)*100</f>
        <v>98.570000000000007</v>
      </c>
      <c r="G56" s="49">
        <f>VLOOKUP($A56,'Data Vlaue (Cr)'!$C:$FB,43)</f>
        <v>89</v>
      </c>
      <c r="H56" s="49">
        <f>VLOOKUP($A56,'Data Vlaue (Cr)'!$C:$FB,44)</f>
        <v>62</v>
      </c>
      <c r="I56" s="49">
        <f>VLOOKUP($A56,'Data Vlaue (Cr)'!$C:$FB,46)*100</f>
        <v>43.74</v>
      </c>
      <c r="J56" s="51">
        <f>VLOOKUP($A56,'Data Vlaue (Cr)'!$C:$FB,59)</f>
        <v>339</v>
      </c>
      <c r="K56" s="51">
        <f>VLOOKUP($A56,'Data Vlaue (Cr)'!$C:$FB,60)</f>
        <v>173</v>
      </c>
      <c r="L56" s="51">
        <f>VLOOKUP($A56,'Data Vlaue (Cr)'!$C:$FB,62)*100</f>
        <v>95.81</v>
      </c>
      <c r="M56" s="51">
        <f>VLOOKUP($A56,'Data Vlaue (Cr)'!$C:$FB,63)</f>
        <v>106</v>
      </c>
      <c r="N56" s="51">
        <f>VLOOKUP($A56,'Data Vlaue (Cr)'!$C:$FB,64)</f>
        <v>37</v>
      </c>
      <c r="O56" s="51">
        <f>VLOOKUP($A56,'Data Vlaue (Cr)'!$C:$FB,66)*100</f>
        <v>189.41</v>
      </c>
    </row>
    <row r="57" spans="1:15" x14ac:dyDescent="0.25">
      <c r="A57" s="101" t="str">
        <f>'Data Vlaue (Cr)'!C52</f>
        <v>CROMPTON</v>
      </c>
      <c r="B57" s="50">
        <f>VLOOKUP($A57,'Data Vlaue (Cr)'!$C:$FB,8)</f>
        <v>284.05</v>
      </c>
      <c r="C57" s="50">
        <f>VLOOKUP($A57,'Data Vlaue (Cr)'!$C:$FB,11)*100</f>
        <v>3.1</v>
      </c>
      <c r="D57" s="50">
        <f>VLOOKUP($A57,'Data Vlaue (Cr)'!$C:$FB,143)</f>
        <v>1681.97</v>
      </c>
      <c r="E57" s="50">
        <f>VLOOKUP($A57,'Data Vlaue (Cr)'!$C:$FB,144)</f>
        <v>605.11</v>
      </c>
      <c r="F57" s="50">
        <f>VLOOKUP($A57,'Data Vlaue (Cr)'!$C:$FB,146)*100</f>
        <v>177.96</v>
      </c>
      <c r="G57" s="49">
        <f>VLOOKUP($A57,'Data Vlaue (Cr)'!$C:$FB,43)</f>
        <v>382</v>
      </c>
      <c r="H57" s="49">
        <f>VLOOKUP($A57,'Data Vlaue (Cr)'!$C:$FB,44)</f>
        <v>189</v>
      </c>
      <c r="I57" s="49">
        <f>VLOOKUP($A57,'Data Vlaue (Cr)'!$C:$FB,46)*100</f>
        <v>101.98</v>
      </c>
      <c r="J57" s="51">
        <f>VLOOKUP($A57,'Data Vlaue (Cr)'!$C:$FB,59)</f>
        <v>988</v>
      </c>
      <c r="K57" s="51">
        <f>VLOOKUP($A57,'Data Vlaue (Cr)'!$C:$FB,60)</f>
        <v>295</v>
      </c>
      <c r="L57" s="51">
        <f>VLOOKUP($A57,'Data Vlaue (Cr)'!$C:$FB,62)*100</f>
        <v>234.60999999999999</v>
      </c>
      <c r="M57" s="51">
        <f>VLOOKUP($A57,'Data Vlaue (Cr)'!$C:$FB,63)</f>
        <v>260</v>
      </c>
      <c r="N57" s="51">
        <f>VLOOKUP($A57,'Data Vlaue (Cr)'!$C:$FB,64)</f>
        <v>117</v>
      </c>
      <c r="O57" s="51">
        <f>VLOOKUP($A57,'Data Vlaue (Cr)'!$C:$FB,66)*100</f>
        <v>121.9</v>
      </c>
    </row>
    <row r="58" spans="1:15" x14ac:dyDescent="0.25">
      <c r="A58" s="101" t="str">
        <f>'Data Vlaue (Cr)'!C53</f>
        <v>CUMMINSIND</v>
      </c>
      <c r="B58" s="50">
        <f>VLOOKUP($A58,'Data Vlaue (Cr)'!$C:$FB,8)</f>
        <v>5324.5</v>
      </c>
      <c r="C58" s="50">
        <f>VLOOKUP($A58,'Data Vlaue (Cr)'!$C:$FB,11)*100</f>
        <v>1.23</v>
      </c>
      <c r="D58" s="50">
        <f>VLOOKUP($A58,'Data Vlaue (Cr)'!$C:$FB,143)</f>
        <v>1499.31</v>
      </c>
      <c r="E58" s="50">
        <f>VLOOKUP($A58,'Data Vlaue (Cr)'!$C:$FB,144)</f>
        <v>593.87</v>
      </c>
      <c r="F58" s="50">
        <f>VLOOKUP($A58,'Data Vlaue (Cr)'!$C:$FB,146)*100</f>
        <v>152.46</v>
      </c>
      <c r="G58" s="49">
        <f>VLOOKUP($A58,'Data Vlaue (Cr)'!$C:$FB,43)</f>
        <v>398</v>
      </c>
      <c r="H58" s="49">
        <f>VLOOKUP($A58,'Data Vlaue (Cr)'!$C:$FB,44)</f>
        <v>204</v>
      </c>
      <c r="I58" s="49">
        <f>VLOOKUP($A58,'Data Vlaue (Cr)'!$C:$FB,46)*100</f>
        <v>95.43</v>
      </c>
      <c r="J58" s="51">
        <f>VLOOKUP($A58,'Data Vlaue (Cr)'!$C:$FB,59)</f>
        <v>708</v>
      </c>
      <c r="K58" s="51">
        <f>VLOOKUP($A58,'Data Vlaue (Cr)'!$C:$FB,60)</f>
        <v>245</v>
      </c>
      <c r="L58" s="51">
        <f>VLOOKUP($A58,'Data Vlaue (Cr)'!$C:$FB,62)*100</f>
        <v>188.79</v>
      </c>
      <c r="M58" s="51">
        <f>VLOOKUP($A58,'Data Vlaue (Cr)'!$C:$FB,63)</f>
        <v>378</v>
      </c>
      <c r="N58" s="51">
        <f>VLOOKUP($A58,'Data Vlaue (Cr)'!$C:$FB,64)</f>
        <v>142</v>
      </c>
      <c r="O58" s="51">
        <f>VLOOKUP($A58,'Data Vlaue (Cr)'!$C:$FB,66)*100</f>
        <v>165.29</v>
      </c>
    </row>
    <row r="59" spans="1:15" x14ac:dyDescent="0.25">
      <c r="A59" s="101" t="str">
        <f>'Data Vlaue (Cr)'!C54</f>
        <v>DABUR</v>
      </c>
      <c r="B59" s="50">
        <f>VLOOKUP($A59,'Data Vlaue (Cr)'!$C:$FB,8)</f>
        <v>466.25</v>
      </c>
      <c r="C59" s="50">
        <f>VLOOKUP($A59,'Data Vlaue (Cr)'!$C:$FB,11)*100</f>
        <v>1.24</v>
      </c>
      <c r="D59" s="50">
        <f>VLOOKUP($A59,'Data Vlaue (Cr)'!$C:$FB,143)</f>
        <v>1481</v>
      </c>
      <c r="E59" s="50">
        <f>VLOOKUP($A59,'Data Vlaue (Cr)'!$C:$FB,144)</f>
        <v>1462.97</v>
      </c>
      <c r="F59" s="50">
        <f>VLOOKUP($A59,'Data Vlaue (Cr)'!$C:$FB,146)*100</f>
        <v>1.23</v>
      </c>
      <c r="G59" s="49">
        <f>VLOOKUP($A59,'Data Vlaue (Cr)'!$C:$FB,43)</f>
        <v>237</v>
      </c>
      <c r="H59" s="49">
        <f>VLOOKUP($A59,'Data Vlaue (Cr)'!$C:$FB,44)</f>
        <v>244</v>
      </c>
      <c r="I59" s="49">
        <f>VLOOKUP($A59,'Data Vlaue (Cr)'!$C:$FB,46)*100</f>
        <v>-2.67</v>
      </c>
      <c r="J59" s="51">
        <f>VLOOKUP($A59,'Data Vlaue (Cr)'!$C:$FB,59)</f>
        <v>958</v>
      </c>
      <c r="K59" s="51">
        <f>VLOOKUP($A59,'Data Vlaue (Cr)'!$C:$FB,60)</f>
        <v>966</v>
      </c>
      <c r="L59" s="51">
        <f>VLOOKUP($A59,'Data Vlaue (Cr)'!$C:$FB,62)*100</f>
        <v>-0.88</v>
      </c>
      <c r="M59" s="51">
        <f>VLOOKUP($A59,'Data Vlaue (Cr)'!$C:$FB,63)</f>
        <v>242</v>
      </c>
      <c r="N59" s="51">
        <f>VLOOKUP($A59,'Data Vlaue (Cr)'!$C:$FB,64)</f>
        <v>239</v>
      </c>
      <c r="O59" s="51">
        <f>VLOOKUP($A59,'Data Vlaue (Cr)'!$C:$FB,66)*100</f>
        <v>0.95</v>
      </c>
    </row>
    <row r="60" spans="1:15" x14ac:dyDescent="0.25">
      <c r="A60" s="101" t="str">
        <f>'Data Vlaue (Cr)'!C55</f>
        <v>DALBHARAT</v>
      </c>
      <c r="B60" s="50">
        <f>VLOOKUP($A60,'Data Vlaue (Cr)'!$C:$FB,8)</f>
        <v>1974.6</v>
      </c>
      <c r="C60" s="50">
        <f>VLOOKUP($A60,'Data Vlaue (Cr)'!$C:$FB,11)*100</f>
        <v>0.33</v>
      </c>
      <c r="D60" s="50">
        <f>VLOOKUP($A60,'Data Vlaue (Cr)'!$C:$FB,143)</f>
        <v>457.86</v>
      </c>
      <c r="E60" s="50">
        <f>VLOOKUP($A60,'Data Vlaue (Cr)'!$C:$FB,144)</f>
        <v>340.35</v>
      </c>
      <c r="F60" s="50">
        <f>VLOOKUP($A60,'Data Vlaue (Cr)'!$C:$FB,146)*100</f>
        <v>34.53</v>
      </c>
      <c r="G60" s="49">
        <f>VLOOKUP($A60,'Data Vlaue (Cr)'!$C:$FB,43)</f>
        <v>107</v>
      </c>
      <c r="H60" s="49">
        <f>VLOOKUP($A60,'Data Vlaue (Cr)'!$C:$FB,44)</f>
        <v>121</v>
      </c>
      <c r="I60" s="49">
        <f>VLOOKUP($A60,'Data Vlaue (Cr)'!$C:$FB,46)*100</f>
        <v>-11.799999999999999</v>
      </c>
      <c r="J60" s="51">
        <f>VLOOKUP($A60,'Data Vlaue (Cr)'!$C:$FB,59)</f>
        <v>276</v>
      </c>
      <c r="K60" s="51">
        <f>VLOOKUP($A60,'Data Vlaue (Cr)'!$C:$FB,60)</f>
        <v>154</v>
      </c>
      <c r="L60" s="51">
        <f>VLOOKUP($A60,'Data Vlaue (Cr)'!$C:$FB,62)*100</f>
        <v>79.149999999999991</v>
      </c>
      <c r="M60" s="51">
        <f>VLOOKUP($A60,'Data Vlaue (Cr)'!$C:$FB,63)</f>
        <v>62</v>
      </c>
      <c r="N60" s="51">
        <f>VLOOKUP($A60,'Data Vlaue (Cr)'!$C:$FB,64)</f>
        <v>58</v>
      </c>
      <c r="O60" s="51">
        <f>VLOOKUP($A60,'Data Vlaue (Cr)'!$C:$FB,66)*100</f>
        <v>7.3800000000000008</v>
      </c>
    </row>
    <row r="61" spans="1:15" x14ac:dyDescent="0.25">
      <c r="A61" s="101" t="str">
        <f>'Data Vlaue (Cr)'!C56</f>
        <v>DELHIVERY</v>
      </c>
      <c r="B61" s="50">
        <f>VLOOKUP($A61,'Data Vlaue (Cr)'!$C:$FB,8)</f>
        <v>471</v>
      </c>
      <c r="C61" s="50">
        <f>VLOOKUP($A61,'Data Vlaue (Cr)'!$C:$FB,11)*100</f>
        <v>2.5</v>
      </c>
      <c r="D61" s="50">
        <f>VLOOKUP($A61,'Data Vlaue (Cr)'!$C:$FB,143)</f>
        <v>855.57</v>
      </c>
      <c r="E61" s="50">
        <f>VLOOKUP($A61,'Data Vlaue (Cr)'!$C:$FB,144)</f>
        <v>1927.6</v>
      </c>
      <c r="F61" s="50">
        <f>VLOOKUP($A61,'Data Vlaue (Cr)'!$C:$FB,146)*100</f>
        <v>-55.610000000000007</v>
      </c>
      <c r="G61" s="49">
        <f>VLOOKUP($A61,'Data Vlaue (Cr)'!$C:$FB,43)</f>
        <v>260</v>
      </c>
      <c r="H61" s="49">
        <f>VLOOKUP($A61,'Data Vlaue (Cr)'!$C:$FB,44)</f>
        <v>496</v>
      </c>
      <c r="I61" s="49">
        <f>VLOOKUP($A61,'Data Vlaue (Cr)'!$C:$FB,46)*100</f>
        <v>-47.589999999999996</v>
      </c>
      <c r="J61" s="51">
        <f>VLOOKUP($A61,'Data Vlaue (Cr)'!$C:$FB,59)</f>
        <v>378</v>
      </c>
      <c r="K61" s="51">
        <f>VLOOKUP($A61,'Data Vlaue (Cr)'!$C:$FB,60)</f>
        <v>629</v>
      </c>
      <c r="L61" s="51">
        <f>VLOOKUP($A61,'Data Vlaue (Cr)'!$C:$FB,62)*100</f>
        <v>-40.01</v>
      </c>
      <c r="M61" s="51">
        <f>VLOOKUP($A61,'Data Vlaue (Cr)'!$C:$FB,63)</f>
        <v>212</v>
      </c>
      <c r="N61" s="51">
        <f>VLOOKUP($A61,'Data Vlaue (Cr)'!$C:$FB,64)</f>
        <v>830</v>
      </c>
      <c r="O61" s="51">
        <f>VLOOKUP($A61,'Data Vlaue (Cr)'!$C:$FB,66)*100</f>
        <v>-74.48</v>
      </c>
    </row>
    <row r="62" spans="1:15" x14ac:dyDescent="0.25">
      <c r="A62" s="101" t="str">
        <f>'Data Vlaue (Cr)'!C57</f>
        <v>DIVISLAB</v>
      </c>
      <c r="B62" s="50">
        <f>VLOOKUP($A62,'Data Vlaue (Cr)'!$C:$FB,8)</f>
        <v>6702</v>
      </c>
      <c r="C62" s="50">
        <f>VLOOKUP($A62,'Data Vlaue (Cr)'!$C:$FB,11)*100</f>
        <v>0.77</v>
      </c>
      <c r="D62" s="50">
        <f>VLOOKUP($A62,'Data Vlaue (Cr)'!$C:$FB,143)</f>
        <v>1327.76</v>
      </c>
      <c r="E62" s="50">
        <f>VLOOKUP($A62,'Data Vlaue (Cr)'!$C:$FB,144)</f>
        <v>909.15</v>
      </c>
      <c r="F62" s="50">
        <f>VLOOKUP($A62,'Data Vlaue (Cr)'!$C:$FB,146)*100</f>
        <v>46.04</v>
      </c>
      <c r="G62" s="49">
        <f>VLOOKUP($A62,'Data Vlaue (Cr)'!$C:$FB,43)</f>
        <v>211</v>
      </c>
      <c r="H62" s="49">
        <f>VLOOKUP($A62,'Data Vlaue (Cr)'!$C:$FB,44)</f>
        <v>108</v>
      </c>
      <c r="I62" s="49">
        <f>VLOOKUP($A62,'Data Vlaue (Cr)'!$C:$FB,46)*100</f>
        <v>95.81</v>
      </c>
      <c r="J62" s="51">
        <f>VLOOKUP($A62,'Data Vlaue (Cr)'!$C:$FB,59)</f>
        <v>755</v>
      </c>
      <c r="K62" s="51">
        <f>VLOOKUP($A62,'Data Vlaue (Cr)'!$C:$FB,60)</f>
        <v>550</v>
      </c>
      <c r="L62" s="51">
        <f>VLOOKUP($A62,'Data Vlaue (Cr)'!$C:$FB,62)*100</f>
        <v>37.340000000000003</v>
      </c>
      <c r="M62" s="51">
        <f>VLOOKUP($A62,'Data Vlaue (Cr)'!$C:$FB,63)</f>
        <v>339</v>
      </c>
      <c r="N62" s="51">
        <f>VLOOKUP($A62,'Data Vlaue (Cr)'!$C:$FB,64)</f>
        <v>240</v>
      </c>
      <c r="O62" s="51">
        <f>VLOOKUP($A62,'Data Vlaue (Cr)'!$C:$FB,66)*100</f>
        <v>41.11</v>
      </c>
    </row>
    <row r="63" spans="1:15" x14ac:dyDescent="0.25">
      <c r="A63" s="101" t="str">
        <f>'Data Vlaue (Cr)'!C58</f>
        <v>DIXON</v>
      </c>
      <c r="B63" s="50">
        <f>VLOOKUP($A63,'Data Vlaue (Cr)'!$C:$FB,8)</f>
        <v>11299</v>
      </c>
      <c r="C63" s="50">
        <f>VLOOKUP($A63,'Data Vlaue (Cr)'!$C:$FB,11)*100</f>
        <v>0.41000000000000003</v>
      </c>
      <c r="D63" s="50">
        <f>VLOOKUP($A63,'Data Vlaue (Cr)'!$C:$FB,143)</f>
        <v>2379.1799999999998</v>
      </c>
      <c r="E63" s="50">
        <f>VLOOKUP($A63,'Data Vlaue (Cr)'!$C:$FB,144)</f>
        <v>3533.27</v>
      </c>
      <c r="F63" s="50">
        <f>VLOOKUP($A63,'Data Vlaue (Cr)'!$C:$FB,146)*100</f>
        <v>-32.659999999999997</v>
      </c>
      <c r="G63" s="49">
        <f>VLOOKUP($A63,'Data Vlaue (Cr)'!$C:$FB,43)</f>
        <v>551</v>
      </c>
      <c r="H63" s="49">
        <f>VLOOKUP($A63,'Data Vlaue (Cr)'!$C:$FB,44)</f>
        <v>820</v>
      </c>
      <c r="I63" s="49">
        <f>VLOOKUP($A63,'Data Vlaue (Cr)'!$C:$FB,46)*100</f>
        <v>-32.83</v>
      </c>
      <c r="J63" s="51">
        <f>VLOOKUP($A63,'Data Vlaue (Cr)'!$C:$FB,59)</f>
        <v>1223</v>
      </c>
      <c r="K63" s="51">
        <f>VLOOKUP($A63,'Data Vlaue (Cr)'!$C:$FB,60)</f>
        <v>1705</v>
      </c>
      <c r="L63" s="51">
        <f>VLOOKUP($A63,'Data Vlaue (Cr)'!$C:$FB,62)*100</f>
        <v>-28.299999999999997</v>
      </c>
      <c r="M63" s="51">
        <f>VLOOKUP($A63,'Data Vlaue (Cr)'!$C:$FB,63)</f>
        <v>542</v>
      </c>
      <c r="N63" s="51">
        <f>VLOOKUP($A63,'Data Vlaue (Cr)'!$C:$FB,64)</f>
        <v>887</v>
      </c>
      <c r="O63" s="51">
        <f>VLOOKUP($A63,'Data Vlaue (Cr)'!$C:$FB,66)*100</f>
        <v>-38.83</v>
      </c>
    </row>
    <row r="64" spans="1:15" x14ac:dyDescent="0.25">
      <c r="A64" s="101" t="str">
        <f>'Data Vlaue (Cr)'!C59</f>
        <v>DLF</v>
      </c>
      <c r="B64" s="50">
        <f>VLOOKUP($A64,'Data Vlaue (Cr)'!$C:$FB,8)</f>
        <v>609.6</v>
      </c>
      <c r="C64" s="50">
        <f>VLOOKUP($A64,'Data Vlaue (Cr)'!$C:$FB,11)*100</f>
        <v>2.06</v>
      </c>
      <c r="D64" s="50">
        <f>VLOOKUP($A64,'Data Vlaue (Cr)'!$C:$FB,143)</f>
        <v>1288.53</v>
      </c>
      <c r="E64" s="50">
        <f>VLOOKUP($A64,'Data Vlaue (Cr)'!$C:$FB,144)</f>
        <v>1200.8499999999999</v>
      </c>
      <c r="F64" s="50">
        <f>VLOOKUP($A64,'Data Vlaue (Cr)'!$C:$FB,146)*100</f>
        <v>7.3</v>
      </c>
      <c r="G64" s="49">
        <f>VLOOKUP($A64,'Data Vlaue (Cr)'!$C:$FB,43)</f>
        <v>284</v>
      </c>
      <c r="H64" s="49">
        <f>VLOOKUP($A64,'Data Vlaue (Cr)'!$C:$FB,44)</f>
        <v>254</v>
      </c>
      <c r="I64" s="49">
        <f>VLOOKUP($A64,'Data Vlaue (Cr)'!$C:$FB,46)*100</f>
        <v>11.83</v>
      </c>
      <c r="J64" s="51">
        <f>VLOOKUP($A64,'Data Vlaue (Cr)'!$C:$FB,59)</f>
        <v>686</v>
      </c>
      <c r="K64" s="51">
        <f>VLOOKUP($A64,'Data Vlaue (Cr)'!$C:$FB,60)</f>
        <v>639</v>
      </c>
      <c r="L64" s="51">
        <f>VLOOKUP($A64,'Data Vlaue (Cr)'!$C:$FB,62)*100</f>
        <v>7.3800000000000008</v>
      </c>
      <c r="M64" s="51">
        <f>VLOOKUP($A64,'Data Vlaue (Cr)'!$C:$FB,63)</f>
        <v>298</v>
      </c>
      <c r="N64" s="51">
        <f>VLOOKUP($A64,'Data Vlaue (Cr)'!$C:$FB,64)</f>
        <v>292</v>
      </c>
      <c r="O64" s="51">
        <f>VLOOKUP($A64,'Data Vlaue (Cr)'!$C:$FB,66)*100</f>
        <v>2.0099999999999998</v>
      </c>
    </row>
    <row r="65" spans="1:15" x14ac:dyDescent="0.25">
      <c r="A65" s="101" t="str">
        <f>'Data Vlaue (Cr)'!C60</f>
        <v>DMART</v>
      </c>
      <c r="B65" s="50">
        <f>VLOOKUP($A65,'Data Vlaue (Cr)'!$C:$FB,8)</f>
        <v>4432.2</v>
      </c>
      <c r="C65" s="50">
        <f>VLOOKUP($A65,'Data Vlaue (Cr)'!$C:$FB,11)*100</f>
        <v>1.69</v>
      </c>
      <c r="D65" s="50">
        <f>VLOOKUP($A65,'Data Vlaue (Cr)'!$C:$FB,143)</f>
        <v>2275.5</v>
      </c>
      <c r="E65" s="50">
        <f>VLOOKUP($A65,'Data Vlaue (Cr)'!$C:$FB,144)</f>
        <v>2487.5700000000002</v>
      </c>
      <c r="F65" s="50">
        <f>VLOOKUP($A65,'Data Vlaue (Cr)'!$C:$FB,146)*100</f>
        <v>-8.5299999999999994</v>
      </c>
      <c r="G65" s="49">
        <f>VLOOKUP($A65,'Data Vlaue (Cr)'!$C:$FB,43)</f>
        <v>240</v>
      </c>
      <c r="H65" s="49">
        <f>VLOOKUP($A65,'Data Vlaue (Cr)'!$C:$FB,44)</f>
        <v>213</v>
      </c>
      <c r="I65" s="49">
        <f>VLOOKUP($A65,'Data Vlaue (Cr)'!$C:$FB,46)*100</f>
        <v>12.46</v>
      </c>
      <c r="J65" s="51">
        <f>VLOOKUP($A65,'Data Vlaue (Cr)'!$C:$FB,59)</f>
        <v>1434</v>
      </c>
      <c r="K65" s="51">
        <f>VLOOKUP($A65,'Data Vlaue (Cr)'!$C:$FB,60)</f>
        <v>1567</v>
      </c>
      <c r="L65" s="51">
        <f>VLOOKUP($A65,'Data Vlaue (Cr)'!$C:$FB,62)*100</f>
        <v>-8.4599999999999991</v>
      </c>
      <c r="M65" s="51">
        <f>VLOOKUP($A65,'Data Vlaue (Cr)'!$C:$FB,63)</f>
        <v>537</v>
      </c>
      <c r="N65" s="51">
        <f>VLOOKUP($A65,'Data Vlaue (Cr)'!$C:$FB,64)</f>
        <v>654</v>
      </c>
      <c r="O65" s="51">
        <f>VLOOKUP($A65,'Data Vlaue (Cr)'!$C:$FB,66)*100</f>
        <v>-17.98</v>
      </c>
    </row>
    <row r="66" spans="1:15" x14ac:dyDescent="0.25">
      <c r="A66" s="101" t="str">
        <f>'Data Vlaue (Cr)'!C61</f>
        <v>DRREDDY</v>
      </c>
      <c r="B66" s="50">
        <f>VLOOKUP($A66,'Data Vlaue (Cr)'!$C:$FB,8)</f>
        <v>1311</v>
      </c>
      <c r="C66" s="50">
        <f>VLOOKUP($A66,'Data Vlaue (Cr)'!$C:$FB,11)*100</f>
        <v>3.1300000000000003</v>
      </c>
      <c r="D66" s="50">
        <f>VLOOKUP($A66,'Data Vlaue (Cr)'!$C:$FB,143)</f>
        <v>5135.79</v>
      </c>
      <c r="E66" s="50">
        <f>VLOOKUP($A66,'Data Vlaue (Cr)'!$C:$FB,144)</f>
        <v>1974.57</v>
      </c>
      <c r="F66" s="50">
        <f>VLOOKUP($A66,'Data Vlaue (Cr)'!$C:$FB,146)*100</f>
        <v>160.1</v>
      </c>
      <c r="G66" s="49">
        <f>VLOOKUP($A66,'Data Vlaue (Cr)'!$C:$FB,43)</f>
        <v>658</v>
      </c>
      <c r="H66" s="49">
        <f>VLOOKUP($A66,'Data Vlaue (Cr)'!$C:$FB,44)</f>
        <v>382</v>
      </c>
      <c r="I66" s="49">
        <f>VLOOKUP($A66,'Data Vlaue (Cr)'!$C:$FB,46)*100</f>
        <v>72.150000000000006</v>
      </c>
      <c r="J66" s="51">
        <f>VLOOKUP($A66,'Data Vlaue (Cr)'!$C:$FB,59)</f>
        <v>3111</v>
      </c>
      <c r="K66" s="51">
        <f>VLOOKUP($A66,'Data Vlaue (Cr)'!$C:$FB,60)</f>
        <v>1081</v>
      </c>
      <c r="L66" s="51">
        <f>VLOOKUP($A66,'Data Vlaue (Cr)'!$C:$FB,62)*100</f>
        <v>187.71</v>
      </c>
      <c r="M66" s="51">
        <f>VLOOKUP($A66,'Data Vlaue (Cr)'!$C:$FB,63)</f>
        <v>1229</v>
      </c>
      <c r="N66" s="51">
        <f>VLOOKUP($A66,'Data Vlaue (Cr)'!$C:$FB,64)</f>
        <v>490</v>
      </c>
      <c r="O66" s="51">
        <f>VLOOKUP($A66,'Data Vlaue (Cr)'!$C:$FB,66)*100</f>
        <v>150.97</v>
      </c>
    </row>
    <row r="67" spans="1:15" x14ac:dyDescent="0.25">
      <c r="A67" s="101" t="str">
        <f>'Data Vlaue (Cr)'!C62</f>
        <v>EICHERMOT</v>
      </c>
      <c r="B67" s="50">
        <f>VLOOKUP($A67,'Data Vlaue (Cr)'!$C:$FB,8)</f>
        <v>7310.5</v>
      </c>
      <c r="C67" s="50">
        <f>VLOOKUP($A67,'Data Vlaue (Cr)'!$C:$FB,11)*100</f>
        <v>0.12</v>
      </c>
      <c r="D67" s="50">
        <f>VLOOKUP($A67,'Data Vlaue (Cr)'!$C:$FB,143)</f>
        <v>2066.0100000000002</v>
      </c>
      <c r="E67" s="50">
        <f>VLOOKUP($A67,'Data Vlaue (Cr)'!$C:$FB,144)</f>
        <v>1489.17</v>
      </c>
      <c r="F67" s="50">
        <f>VLOOKUP($A67,'Data Vlaue (Cr)'!$C:$FB,146)*100</f>
        <v>38.74</v>
      </c>
      <c r="G67" s="49">
        <f>VLOOKUP($A67,'Data Vlaue (Cr)'!$C:$FB,43)</f>
        <v>445</v>
      </c>
      <c r="H67" s="49">
        <f>VLOOKUP($A67,'Data Vlaue (Cr)'!$C:$FB,44)</f>
        <v>323</v>
      </c>
      <c r="I67" s="49">
        <f>VLOOKUP($A67,'Data Vlaue (Cr)'!$C:$FB,46)*100</f>
        <v>37.49</v>
      </c>
      <c r="J67" s="51">
        <f>VLOOKUP($A67,'Data Vlaue (Cr)'!$C:$FB,59)</f>
        <v>1057</v>
      </c>
      <c r="K67" s="51">
        <f>VLOOKUP($A67,'Data Vlaue (Cr)'!$C:$FB,60)</f>
        <v>729</v>
      </c>
      <c r="L67" s="51">
        <f>VLOOKUP($A67,'Data Vlaue (Cr)'!$C:$FB,62)*100</f>
        <v>44.940000000000005</v>
      </c>
      <c r="M67" s="51">
        <f>VLOOKUP($A67,'Data Vlaue (Cr)'!$C:$FB,63)</f>
        <v>535</v>
      </c>
      <c r="N67" s="51">
        <f>VLOOKUP($A67,'Data Vlaue (Cr)'!$C:$FB,64)</f>
        <v>412</v>
      </c>
      <c r="O67" s="51">
        <f>VLOOKUP($A67,'Data Vlaue (Cr)'!$C:$FB,66)*100</f>
        <v>29.98</v>
      </c>
    </row>
    <row r="68" spans="1:15" x14ac:dyDescent="0.25">
      <c r="A68" s="101" t="str">
        <f>'Data Vlaue (Cr)'!C63</f>
        <v>ETERNAL</v>
      </c>
      <c r="B68" s="50">
        <f>VLOOKUP($A68,'Data Vlaue (Cr)'!$C:$FB,8)</f>
        <v>256.05</v>
      </c>
      <c r="C68" s="50">
        <f>VLOOKUP($A68,'Data Vlaue (Cr)'!$C:$FB,11)*100</f>
        <v>3.05</v>
      </c>
      <c r="D68" s="50">
        <f>VLOOKUP($A68,'Data Vlaue (Cr)'!$C:$FB,143)</f>
        <v>4411.3100000000004</v>
      </c>
      <c r="E68" s="50">
        <f>VLOOKUP($A68,'Data Vlaue (Cr)'!$C:$FB,144)</f>
        <v>2976.88</v>
      </c>
      <c r="F68" s="50">
        <f>VLOOKUP($A68,'Data Vlaue (Cr)'!$C:$FB,146)*100</f>
        <v>48.19</v>
      </c>
      <c r="G68" s="49">
        <f>VLOOKUP($A68,'Data Vlaue (Cr)'!$C:$FB,43)</f>
        <v>833</v>
      </c>
      <c r="H68" s="49">
        <f>VLOOKUP($A68,'Data Vlaue (Cr)'!$C:$FB,44)</f>
        <v>549</v>
      </c>
      <c r="I68" s="49">
        <f>VLOOKUP($A68,'Data Vlaue (Cr)'!$C:$FB,46)*100</f>
        <v>51.77</v>
      </c>
      <c r="J68" s="51">
        <f>VLOOKUP($A68,'Data Vlaue (Cr)'!$C:$FB,59)</f>
        <v>2220</v>
      </c>
      <c r="K68" s="51">
        <f>VLOOKUP($A68,'Data Vlaue (Cr)'!$C:$FB,60)</f>
        <v>1522</v>
      </c>
      <c r="L68" s="51">
        <f>VLOOKUP($A68,'Data Vlaue (Cr)'!$C:$FB,62)*100</f>
        <v>45.85</v>
      </c>
      <c r="M68" s="51">
        <f>VLOOKUP($A68,'Data Vlaue (Cr)'!$C:$FB,63)</f>
        <v>1311</v>
      </c>
      <c r="N68" s="51">
        <f>VLOOKUP($A68,'Data Vlaue (Cr)'!$C:$FB,64)</f>
        <v>896</v>
      </c>
      <c r="O68" s="51">
        <f>VLOOKUP($A68,'Data Vlaue (Cr)'!$C:$FB,66)*100</f>
        <v>46.23</v>
      </c>
    </row>
    <row r="69" spans="1:15" x14ac:dyDescent="0.25">
      <c r="A69" s="101" t="str">
        <f>'Data Vlaue (Cr)'!C64</f>
        <v>EXIDEIND</v>
      </c>
      <c r="B69" s="50">
        <f>VLOOKUP($A69,'Data Vlaue (Cr)'!$C:$FB,8)</f>
        <v>351.7</v>
      </c>
      <c r="C69" s="50">
        <f>VLOOKUP($A69,'Data Vlaue (Cr)'!$C:$FB,11)*100</f>
        <v>-2.62</v>
      </c>
      <c r="D69" s="50">
        <f>VLOOKUP($A69,'Data Vlaue (Cr)'!$C:$FB,143)</f>
        <v>3519.76</v>
      </c>
      <c r="E69" s="50">
        <f>VLOOKUP($A69,'Data Vlaue (Cr)'!$C:$FB,144)</f>
        <v>1767.33</v>
      </c>
      <c r="F69" s="50">
        <f>VLOOKUP($A69,'Data Vlaue (Cr)'!$C:$FB,146)*100</f>
        <v>99.16</v>
      </c>
      <c r="G69" s="49">
        <f>VLOOKUP($A69,'Data Vlaue (Cr)'!$C:$FB,43)</f>
        <v>593</v>
      </c>
      <c r="H69" s="49">
        <f>VLOOKUP($A69,'Data Vlaue (Cr)'!$C:$FB,44)</f>
        <v>233</v>
      </c>
      <c r="I69" s="49">
        <f>VLOOKUP($A69,'Data Vlaue (Cr)'!$C:$FB,46)*100</f>
        <v>154.55000000000001</v>
      </c>
      <c r="J69" s="51">
        <f>VLOOKUP($A69,'Data Vlaue (Cr)'!$C:$FB,59)</f>
        <v>1712</v>
      </c>
      <c r="K69" s="51">
        <f>VLOOKUP($A69,'Data Vlaue (Cr)'!$C:$FB,60)</f>
        <v>1044</v>
      </c>
      <c r="L69" s="51">
        <f>VLOOKUP($A69,'Data Vlaue (Cr)'!$C:$FB,62)*100</f>
        <v>64.099999999999994</v>
      </c>
      <c r="M69" s="51">
        <f>VLOOKUP($A69,'Data Vlaue (Cr)'!$C:$FB,63)</f>
        <v>1116</v>
      </c>
      <c r="N69" s="51">
        <f>VLOOKUP($A69,'Data Vlaue (Cr)'!$C:$FB,64)</f>
        <v>376</v>
      </c>
      <c r="O69" s="51">
        <f>VLOOKUP($A69,'Data Vlaue (Cr)'!$C:$FB,66)*100</f>
        <v>196.57</v>
      </c>
    </row>
    <row r="70" spans="1:15" x14ac:dyDescent="0.25">
      <c r="A70" s="101" t="str">
        <f>'Data Vlaue (Cr)'!C65</f>
        <v>FEDERALBNK</v>
      </c>
      <c r="B70" s="50">
        <f>VLOOKUP($A70,'Data Vlaue (Cr)'!$C:$FB,8)</f>
        <v>293</v>
      </c>
      <c r="C70" s="50">
        <f>VLOOKUP($A70,'Data Vlaue (Cr)'!$C:$FB,11)*100</f>
        <v>0.13999999999999999</v>
      </c>
      <c r="D70" s="50">
        <f>VLOOKUP($A70,'Data Vlaue (Cr)'!$C:$FB,143)</f>
        <v>2330.73</v>
      </c>
      <c r="E70" s="50">
        <f>VLOOKUP($A70,'Data Vlaue (Cr)'!$C:$FB,144)</f>
        <v>2441.65</v>
      </c>
      <c r="F70" s="50">
        <f>VLOOKUP($A70,'Data Vlaue (Cr)'!$C:$FB,146)*100</f>
        <v>-4.54</v>
      </c>
      <c r="G70" s="49">
        <f>VLOOKUP($A70,'Data Vlaue (Cr)'!$C:$FB,43)</f>
        <v>458</v>
      </c>
      <c r="H70" s="49">
        <f>VLOOKUP($A70,'Data Vlaue (Cr)'!$C:$FB,44)</f>
        <v>374</v>
      </c>
      <c r="I70" s="49">
        <f>VLOOKUP($A70,'Data Vlaue (Cr)'!$C:$FB,46)*100</f>
        <v>22.54</v>
      </c>
      <c r="J70" s="51">
        <f>VLOOKUP($A70,'Data Vlaue (Cr)'!$C:$FB,59)</f>
        <v>1237</v>
      </c>
      <c r="K70" s="51">
        <f>VLOOKUP($A70,'Data Vlaue (Cr)'!$C:$FB,60)</f>
        <v>1405</v>
      </c>
      <c r="L70" s="51">
        <f>VLOOKUP($A70,'Data Vlaue (Cr)'!$C:$FB,62)*100</f>
        <v>-11.98</v>
      </c>
      <c r="M70" s="51">
        <f>VLOOKUP($A70,'Data Vlaue (Cr)'!$C:$FB,63)</f>
        <v>577</v>
      </c>
      <c r="N70" s="51">
        <f>VLOOKUP($A70,'Data Vlaue (Cr)'!$C:$FB,64)</f>
        <v>598</v>
      </c>
      <c r="O70" s="51">
        <f>VLOOKUP($A70,'Data Vlaue (Cr)'!$C:$FB,66)*100</f>
        <v>-3.52</v>
      </c>
    </row>
    <row r="71" spans="1:15" x14ac:dyDescent="0.25">
      <c r="A71" s="101" t="str">
        <f>'Data Vlaue (Cr)'!C66</f>
        <v>FINNIFTY</v>
      </c>
      <c r="B71" s="50">
        <f>VLOOKUP($A71,'Data Vlaue (Cr)'!$C:$FB,8)</f>
        <v>26392.75</v>
      </c>
      <c r="C71" s="50">
        <f>VLOOKUP($A71,'Data Vlaue (Cr)'!$C:$FB,11)*100</f>
        <v>2.63</v>
      </c>
      <c r="D71" s="50">
        <f>VLOOKUP($A71,'Data Vlaue (Cr)'!$C:$FB,143)</f>
        <v>1833.9</v>
      </c>
      <c r="E71" s="50">
        <f>VLOOKUP($A71,'Data Vlaue (Cr)'!$C:$FB,144)</f>
        <v>1053.07</v>
      </c>
      <c r="F71" s="50">
        <f>VLOOKUP($A71,'Data Vlaue (Cr)'!$C:$FB,146)*100</f>
        <v>74.150000000000006</v>
      </c>
      <c r="G71" s="49">
        <f>VLOOKUP($A71,'Data Vlaue (Cr)'!$C:$FB,43)</f>
        <v>40</v>
      </c>
      <c r="H71" s="49">
        <f>VLOOKUP($A71,'Data Vlaue (Cr)'!$C:$FB,44)</f>
        <v>16</v>
      </c>
      <c r="I71" s="49">
        <f>VLOOKUP($A71,'Data Vlaue (Cr)'!$C:$FB,46)*100</f>
        <v>147.52000000000001</v>
      </c>
      <c r="J71" s="51">
        <f>VLOOKUP($A71,'Data Vlaue (Cr)'!$C:$FB,59)</f>
        <v>986</v>
      </c>
      <c r="K71" s="51">
        <f>VLOOKUP($A71,'Data Vlaue (Cr)'!$C:$FB,60)</f>
        <v>651</v>
      </c>
      <c r="L71" s="51">
        <f>VLOOKUP($A71,'Data Vlaue (Cr)'!$C:$FB,62)*100</f>
        <v>51.41</v>
      </c>
      <c r="M71" s="51">
        <f>VLOOKUP($A71,'Data Vlaue (Cr)'!$C:$FB,63)</f>
        <v>820</v>
      </c>
      <c r="N71" s="51">
        <f>VLOOKUP($A71,'Data Vlaue (Cr)'!$C:$FB,64)</f>
        <v>385</v>
      </c>
      <c r="O71" s="51">
        <f>VLOOKUP($A71,'Data Vlaue (Cr)'!$C:$FB,66)*100</f>
        <v>113.16999999999999</v>
      </c>
    </row>
    <row r="72" spans="1:15" x14ac:dyDescent="0.25">
      <c r="A72" s="101" t="str">
        <f>'Data Vlaue (Cr)'!C67</f>
        <v>FORCEMOT</v>
      </c>
      <c r="B72" s="50">
        <f>VLOOKUP($A72,'Data Vlaue (Cr)'!$C:$FB,8)</f>
        <v>20173</v>
      </c>
      <c r="C72" s="50">
        <f>VLOOKUP($A72,'Data Vlaue (Cr)'!$C:$FB,11)*100</f>
        <v>6.38</v>
      </c>
      <c r="D72" s="50">
        <f>VLOOKUP($A72,'Data Vlaue (Cr)'!$C:$FB,143)</f>
        <v>2029.32</v>
      </c>
      <c r="E72" s="50">
        <f>VLOOKUP($A72,'Data Vlaue (Cr)'!$C:$FB,144)</f>
        <v>538.30999999999995</v>
      </c>
      <c r="F72" s="50">
        <f>VLOOKUP($A72,'Data Vlaue (Cr)'!$C:$FB,146)*100</f>
        <v>276.98</v>
      </c>
      <c r="G72" s="49">
        <f>VLOOKUP($A72,'Data Vlaue (Cr)'!$C:$FB,43)</f>
        <v>275</v>
      </c>
      <c r="H72" s="49">
        <f>VLOOKUP($A72,'Data Vlaue (Cr)'!$C:$FB,44)</f>
        <v>121</v>
      </c>
      <c r="I72" s="49">
        <f>VLOOKUP($A72,'Data Vlaue (Cr)'!$C:$FB,46)*100</f>
        <v>127.37</v>
      </c>
      <c r="J72" s="51">
        <f>VLOOKUP($A72,'Data Vlaue (Cr)'!$C:$FB,59)</f>
        <v>1264</v>
      </c>
      <c r="K72" s="51">
        <f>VLOOKUP($A72,'Data Vlaue (Cr)'!$C:$FB,60)</f>
        <v>284</v>
      </c>
      <c r="L72" s="51">
        <f>VLOOKUP($A72,'Data Vlaue (Cr)'!$C:$FB,62)*100</f>
        <v>345.64</v>
      </c>
      <c r="M72" s="51">
        <f>VLOOKUP($A72,'Data Vlaue (Cr)'!$C:$FB,63)</f>
        <v>389</v>
      </c>
      <c r="N72" s="51">
        <f>VLOOKUP($A72,'Data Vlaue (Cr)'!$C:$FB,64)</f>
        <v>126</v>
      </c>
      <c r="O72" s="51">
        <f>VLOOKUP($A72,'Data Vlaue (Cr)'!$C:$FB,66)*100</f>
        <v>208.73</v>
      </c>
    </row>
    <row r="73" spans="1:15" x14ac:dyDescent="0.25">
      <c r="A73" s="101" t="str">
        <f>'Data Vlaue (Cr)'!C68</f>
        <v>FORTIS</v>
      </c>
      <c r="B73" s="50">
        <f>VLOOKUP($A73,'Data Vlaue (Cr)'!$C:$FB,8)</f>
        <v>956.9</v>
      </c>
      <c r="C73" s="50">
        <f>VLOOKUP($A73,'Data Vlaue (Cr)'!$C:$FB,11)*100</f>
        <v>0.77</v>
      </c>
      <c r="D73" s="50">
        <f>VLOOKUP($A73,'Data Vlaue (Cr)'!$C:$FB,143)</f>
        <v>294.31</v>
      </c>
      <c r="E73" s="50">
        <f>VLOOKUP($A73,'Data Vlaue (Cr)'!$C:$FB,144)</f>
        <v>225.56</v>
      </c>
      <c r="F73" s="50">
        <f>VLOOKUP($A73,'Data Vlaue (Cr)'!$C:$FB,146)*100</f>
        <v>30.48</v>
      </c>
      <c r="G73" s="49">
        <f>VLOOKUP($A73,'Data Vlaue (Cr)'!$C:$FB,43)</f>
        <v>82</v>
      </c>
      <c r="H73" s="49">
        <f>VLOOKUP($A73,'Data Vlaue (Cr)'!$C:$FB,44)</f>
        <v>62</v>
      </c>
      <c r="I73" s="49">
        <f>VLOOKUP($A73,'Data Vlaue (Cr)'!$C:$FB,46)*100</f>
        <v>32.769999999999996</v>
      </c>
      <c r="J73" s="51">
        <f>VLOOKUP($A73,'Data Vlaue (Cr)'!$C:$FB,59)</f>
        <v>158</v>
      </c>
      <c r="K73" s="51">
        <f>VLOOKUP($A73,'Data Vlaue (Cr)'!$C:$FB,60)</f>
        <v>120</v>
      </c>
      <c r="L73" s="51">
        <f>VLOOKUP($A73,'Data Vlaue (Cr)'!$C:$FB,62)*100</f>
        <v>31.919999999999998</v>
      </c>
      <c r="M73" s="51">
        <f>VLOOKUP($A73,'Data Vlaue (Cr)'!$C:$FB,63)</f>
        <v>49</v>
      </c>
      <c r="N73" s="51">
        <f>VLOOKUP($A73,'Data Vlaue (Cr)'!$C:$FB,64)</f>
        <v>41</v>
      </c>
      <c r="O73" s="51">
        <f>VLOOKUP($A73,'Data Vlaue (Cr)'!$C:$FB,66)*100</f>
        <v>20.150000000000002</v>
      </c>
    </row>
    <row r="74" spans="1:15" x14ac:dyDescent="0.25">
      <c r="A74" s="101" t="str">
        <f>'Data Vlaue (Cr)'!C69</f>
        <v>GAIL</v>
      </c>
      <c r="B74" s="50">
        <f>VLOOKUP($A74,'Data Vlaue (Cr)'!$C:$FB,8)</f>
        <v>165.68</v>
      </c>
      <c r="C74" s="50">
        <f>VLOOKUP($A74,'Data Vlaue (Cr)'!$C:$FB,11)*100</f>
        <v>1.21</v>
      </c>
      <c r="D74" s="50">
        <f>VLOOKUP($A74,'Data Vlaue (Cr)'!$C:$FB,143)</f>
        <v>416.1</v>
      </c>
      <c r="E74" s="50">
        <f>VLOOKUP($A74,'Data Vlaue (Cr)'!$C:$FB,144)</f>
        <v>464.92</v>
      </c>
      <c r="F74" s="50">
        <f>VLOOKUP($A74,'Data Vlaue (Cr)'!$C:$FB,146)*100</f>
        <v>-10.5</v>
      </c>
      <c r="G74" s="49">
        <f>VLOOKUP($A74,'Data Vlaue (Cr)'!$C:$FB,43)</f>
        <v>82</v>
      </c>
      <c r="H74" s="49">
        <f>VLOOKUP($A74,'Data Vlaue (Cr)'!$C:$FB,44)</f>
        <v>160</v>
      </c>
      <c r="I74" s="49">
        <f>VLOOKUP($A74,'Data Vlaue (Cr)'!$C:$FB,46)*100</f>
        <v>-48.870000000000005</v>
      </c>
      <c r="J74" s="51">
        <f>VLOOKUP($A74,'Data Vlaue (Cr)'!$C:$FB,59)</f>
        <v>219</v>
      </c>
      <c r="K74" s="51">
        <f>VLOOKUP($A74,'Data Vlaue (Cr)'!$C:$FB,60)</f>
        <v>188</v>
      </c>
      <c r="L74" s="51">
        <f>VLOOKUP($A74,'Data Vlaue (Cr)'!$C:$FB,62)*100</f>
        <v>16.559999999999999</v>
      </c>
      <c r="M74" s="51">
        <f>VLOOKUP($A74,'Data Vlaue (Cr)'!$C:$FB,63)</f>
        <v>105</v>
      </c>
      <c r="N74" s="51">
        <f>VLOOKUP($A74,'Data Vlaue (Cr)'!$C:$FB,64)</f>
        <v>110</v>
      </c>
      <c r="O74" s="51">
        <f>VLOOKUP($A74,'Data Vlaue (Cr)'!$C:$FB,66)*100</f>
        <v>-4.1500000000000004</v>
      </c>
    </row>
    <row r="75" spans="1:15" x14ac:dyDescent="0.25">
      <c r="A75" s="101" t="str">
        <f>'Data Vlaue (Cr)'!C70</f>
        <v>GLENMARK</v>
      </c>
      <c r="B75" s="50">
        <f>VLOOKUP($A75,'Data Vlaue (Cr)'!$C:$FB,8)</f>
        <v>2377.6</v>
      </c>
      <c r="C75" s="50">
        <f>VLOOKUP($A75,'Data Vlaue (Cr)'!$C:$FB,11)*100</f>
        <v>-1.67</v>
      </c>
      <c r="D75" s="50">
        <f>VLOOKUP($A75,'Data Vlaue (Cr)'!$C:$FB,143)</f>
        <v>2061.59</v>
      </c>
      <c r="E75" s="50">
        <f>VLOOKUP($A75,'Data Vlaue (Cr)'!$C:$FB,144)</f>
        <v>1006.87</v>
      </c>
      <c r="F75" s="50">
        <f>VLOOKUP($A75,'Data Vlaue (Cr)'!$C:$FB,146)*100</f>
        <v>104.75000000000001</v>
      </c>
      <c r="G75" s="49">
        <f>VLOOKUP($A75,'Data Vlaue (Cr)'!$C:$FB,43)</f>
        <v>787</v>
      </c>
      <c r="H75" s="49">
        <f>VLOOKUP($A75,'Data Vlaue (Cr)'!$C:$FB,44)</f>
        <v>289</v>
      </c>
      <c r="I75" s="49">
        <f>VLOOKUP($A75,'Data Vlaue (Cr)'!$C:$FB,46)*100</f>
        <v>172.76</v>
      </c>
      <c r="J75" s="51">
        <f>VLOOKUP($A75,'Data Vlaue (Cr)'!$C:$FB,59)</f>
        <v>838</v>
      </c>
      <c r="K75" s="51">
        <f>VLOOKUP($A75,'Data Vlaue (Cr)'!$C:$FB,60)</f>
        <v>495</v>
      </c>
      <c r="L75" s="51">
        <f>VLOOKUP($A75,'Data Vlaue (Cr)'!$C:$FB,62)*100</f>
        <v>69.260000000000005</v>
      </c>
      <c r="M75" s="51">
        <f>VLOOKUP($A75,'Data Vlaue (Cr)'!$C:$FB,63)</f>
        <v>379</v>
      </c>
      <c r="N75" s="51">
        <f>VLOOKUP($A75,'Data Vlaue (Cr)'!$C:$FB,64)</f>
        <v>191</v>
      </c>
      <c r="O75" s="51">
        <f>VLOOKUP($A75,'Data Vlaue (Cr)'!$C:$FB,66)*100</f>
        <v>98.26</v>
      </c>
    </row>
    <row r="76" spans="1:15" x14ac:dyDescent="0.25">
      <c r="A76" s="101" t="str">
        <f>'Data Vlaue (Cr)'!C71</f>
        <v>GMRAIRPORT</v>
      </c>
      <c r="B76" s="50">
        <f>VLOOKUP($A76,'Data Vlaue (Cr)'!$C:$FB,8)</f>
        <v>99.23</v>
      </c>
      <c r="C76" s="50">
        <f>VLOOKUP($A76,'Data Vlaue (Cr)'!$C:$FB,11)*100</f>
        <v>2.33</v>
      </c>
      <c r="D76" s="50">
        <f>VLOOKUP($A76,'Data Vlaue (Cr)'!$C:$FB,143)</f>
        <v>1314.55</v>
      </c>
      <c r="E76" s="50">
        <f>VLOOKUP($A76,'Data Vlaue (Cr)'!$C:$FB,144)</f>
        <v>861.61</v>
      </c>
      <c r="F76" s="50">
        <f>VLOOKUP($A76,'Data Vlaue (Cr)'!$C:$FB,146)*100</f>
        <v>52.569999999999993</v>
      </c>
      <c r="G76" s="49">
        <f>VLOOKUP($A76,'Data Vlaue (Cr)'!$C:$FB,43)</f>
        <v>292</v>
      </c>
      <c r="H76" s="49">
        <f>VLOOKUP($A76,'Data Vlaue (Cr)'!$C:$FB,44)</f>
        <v>216</v>
      </c>
      <c r="I76" s="49">
        <f>VLOOKUP($A76,'Data Vlaue (Cr)'!$C:$FB,46)*100</f>
        <v>35.160000000000004</v>
      </c>
      <c r="J76" s="51">
        <f>VLOOKUP($A76,'Data Vlaue (Cr)'!$C:$FB,59)</f>
        <v>749</v>
      </c>
      <c r="K76" s="51">
        <f>VLOOKUP($A76,'Data Vlaue (Cr)'!$C:$FB,60)</f>
        <v>426</v>
      </c>
      <c r="L76" s="51">
        <f>VLOOKUP($A76,'Data Vlaue (Cr)'!$C:$FB,62)*100</f>
        <v>75.91</v>
      </c>
      <c r="M76" s="51">
        <f>VLOOKUP($A76,'Data Vlaue (Cr)'!$C:$FB,63)</f>
        <v>251</v>
      </c>
      <c r="N76" s="51">
        <f>VLOOKUP($A76,'Data Vlaue (Cr)'!$C:$FB,64)</f>
        <v>217</v>
      </c>
      <c r="O76" s="51">
        <f>VLOOKUP($A76,'Data Vlaue (Cr)'!$C:$FB,66)*100</f>
        <v>15.55</v>
      </c>
    </row>
    <row r="77" spans="1:15" x14ac:dyDescent="0.25">
      <c r="A77" s="101" t="str">
        <f>'Data Vlaue (Cr)'!C72</f>
        <v>GODFRYPHLP</v>
      </c>
      <c r="B77" s="50">
        <f>VLOOKUP($A77,'Data Vlaue (Cr)'!$C:$FB,8)</f>
        <v>2308</v>
      </c>
      <c r="C77" s="50">
        <f>VLOOKUP($A77,'Data Vlaue (Cr)'!$C:$FB,11)*100</f>
        <v>3.1</v>
      </c>
      <c r="D77" s="50">
        <f>VLOOKUP($A77,'Data Vlaue (Cr)'!$C:$FB,143)</f>
        <v>710.77</v>
      </c>
      <c r="E77" s="50">
        <f>VLOOKUP($A77,'Data Vlaue (Cr)'!$C:$FB,144)</f>
        <v>209.6</v>
      </c>
      <c r="F77" s="50">
        <f>VLOOKUP($A77,'Data Vlaue (Cr)'!$C:$FB,146)*100</f>
        <v>239.10999999999999</v>
      </c>
      <c r="G77" s="49">
        <f>VLOOKUP($A77,'Data Vlaue (Cr)'!$C:$FB,43)</f>
        <v>254</v>
      </c>
      <c r="H77" s="49">
        <f>VLOOKUP($A77,'Data Vlaue (Cr)'!$C:$FB,44)</f>
        <v>83</v>
      </c>
      <c r="I77" s="49">
        <f>VLOOKUP($A77,'Data Vlaue (Cr)'!$C:$FB,46)*100</f>
        <v>205.54000000000002</v>
      </c>
      <c r="J77" s="51">
        <f>VLOOKUP($A77,'Data Vlaue (Cr)'!$C:$FB,59)</f>
        <v>333</v>
      </c>
      <c r="K77" s="51">
        <f>VLOOKUP($A77,'Data Vlaue (Cr)'!$C:$FB,60)</f>
        <v>102</v>
      </c>
      <c r="L77" s="51">
        <f>VLOOKUP($A77,'Data Vlaue (Cr)'!$C:$FB,62)*100</f>
        <v>226.94</v>
      </c>
      <c r="M77" s="51">
        <f>VLOOKUP($A77,'Data Vlaue (Cr)'!$C:$FB,63)</f>
        <v>112</v>
      </c>
      <c r="N77" s="51">
        <f>VLOOKUP($A77,'Data Vlaue (Cr)'!$C:$FB,64)</f>
        <v>26</v>
      </c>
      <c r="O77" s="51">
        <f>VLOOKUP($A77,'Data Vlaue (Cr)'!$C:$FB,66)*100</f>
        <v>323.72999999999996</v>
      </c>
    </row>
    <row r="78" spans="1:15" x14ac:dyDescent="0.25">
      <c r="A78" s="101" t="str">
        <f>'Data Vlaue (Cr)'!C73</f>
        <v>GODREJCP</v>
      </c>
      <c r="B78" s="50">
        <f>VLOOKUP($A78,'Data Vlaue (Cr)'!$C:$FB,8)</f>
        <v>1094.0999999999999</v>
      </c>
      <c r="C78" s="50">
        <f>VLOOKUP($A78,'Data Vlaue (Cr)'!$C:$FB,11)*100</f>
        <v>-0.67</v>
      </c>
      <c r="D78" s="50">
        <f>VLOOKUP($A78,'Data Vlaue (Cr)'!$C:$FB,143)</f>
        <v>1331.61</v>
      </c>
      <c r="E78" s="50">
        <f>VLOOKUP($A78,'Data Vlaue (Cr)'!$C:$FB,144)</f>
        <v>602.78</v>
      </c>
      <c r="F78" s="50">
        <f>VLOOKUP($A78,'Data Vlaue (Cr)'!$C:$FB,146)*100</f>
        <v>120.91000000000001</v>
      </c>
      <c r="G78" s="49">
        <f>VLOOKUP($A78,'Data Vlaue (Cr)'!$C:$FB,43)</f>
        <v>218</v>
      </c>
      <c r="H78" s="49">
        <f>VLOOKUP($A78,'Data Vlaue (Cr)'!$C:$FB,44)</f>
        <v>209</v>
      </c>
      <c r="I78" s="49">
        <f>VLOOKUP($A78,'Data Vlaue (Cr)'!$C:$FB,46)*100</f>
        <v>3.9899999999999998</v>
      </c>
      <c r="J78" s="51">
        <f>VLOOKUP($A78,'Data Vlaue (Cr)'!$C:$FB,59)</f>
        <v>767</v>
      </c>
      <c r="K78" s="51">
        <f>VLOOKUP($A78,'Data Vlaue (Cr)'!$C:$FB,60)</f>
        <v>270</v>
      </c>
      <c r="L78" s="51">
        <f>VLOOKUP($A78,'Data Vlaue (Cr)'!$C:$FB,62)*100</f>
        <v>184.16</v>
      </c>
      <c r="M78" s="51">
        <f>VLOOKUP($A78,'Data Vlaue (Cr)'!$C:$FB,63)</f>
        <v>305</v>
      </c>
      <c r="N78" s="51">
        <f>VLOOKUP($A78,'Data Vlaue (Cr)'!$C:$FB,64)</f>
        <v>116</v>
      </c>
      <c r="O78" s="51">
        <f>VLOOKUP($A78,'Data Vlaue (Cr)'!$C:$FB,66)*100</f>
        <v>162.31</v>
      </c>
    </row>
    <row r="79" spans="1:15" x14ac:dyDescent="0.25">
      <c r="A79" s="101" t="str">
        <f>'Data Vlaue (Cr)'!C74</f>
        <v>GODREJPROP</v>
      </c>
      <c r="B79" s="50">
        <f>VLOOKUP($A79,'Data Vlaue (Cr)'!$C:$FB,8)</f>
        <v>1867.2</v>
      </c>
      <c r="C79" s="50">
        <f>VLOOKUP($A79,'Data Vlaue (Cr)'!$C:$FB,11)*100</f>
        <v>3.19</v>
      </c>
      <c r="D79" s="50">
        <f>VLOOKUP($A79,'Data Vlaue (Cr)'!$C:$FB,143)</f>
        <v>1485.44</v>
      </c>
      <c r="E79" s="50">
        <f>VLOOKUP($A79,'Data Vlaue (Cr)'!$C:$FB,144)</f>
        <v>3708.86</v>
      </c>
      <c r="F79" s="50">
        <f>VLOOKUP($A79,'Data Vlaue (Cr)'!$C:$FB,146)*100</f>
        <v>-59.95</v>
      </c>
      <c r="G79" s="49">
        <f>VLOOKUP($A79,'Data Vlaue (Cr)'!$C:$FB,43)</f>
        <v>244</v>
      </c>
      <c r="H79" s="49">
        <f>VLOOKUP($A79,'Data Vlaue (Cr)'!$C:$FB,44)</f>
        <v>561</v>
      </c>
      <c r="I79" s="49">
        <f>VLOOKUP($A79,'Data Vlaue (Cr)'!$C:$FB,46)*100</f>
        <v>-56.499999999999993</v>
      </c>
      <c r="J79" s="51">
        <f>VLOOKUP($A79,'Data Vlaue (Cr)'!$C:$FB,59)</f>
        <v>878</v>
      </c>
      <c r="K79" s="51">
        <f>VLOOKUP($A79,'Data Vlaue (Cr)'!$C:$FB,60)</f>
        <v>1945</v>
      </c>
      <c r="L79" s="51">
        <f>VLOOKUP($A79,'Data Vlaue (Cr)'!$C:$FB,62)*100</f>
        <v>-54.87</v>
      </c>
      <c r="M79" s="51">
        <f>VLOOKUP($A79,'Data Vlaue (Cr)'!$C:$FB,63)</f>
        <v>336</v>
      </c>
      <c r="N79" s="51">
        <f>VLOOKUP($A79,'Data Vlaue (Cr)'!$C:$FB,64)</f>
        <v>1132</v>
      </c>
      <c r="O79" s="51">
        <f>VLOOKUP($A79,'Data Vlaue (Cr)'!$C:$FB,66)*100</f>
        <v>-70.349999999999994</v>
      </c>
    </row>
    <row r="80" spans="1:15" x14ac:dyDescent="0.25">
      <c r="A80" s="101" t="str">
        <f>'Data Vlaue (Cr)'!C75</f>
        <v>GRASIM</v>
      </c>
      <c r="B80" s="50">
        <f>VLOOKUP($A80,'Data Vlaue (Cr)'!$C:$FB,8)</f>
        <v>2914.8</v>
      </c>
      <c r="C80" s="50">
        <f>VLOOKUP($A80,'Data Vlaue (Cr)'!$C:$FB,11)*100</f>
        <v>1.51</v>
      </c>
      <c r="D80" s="50">
        <f>VLOOKUP($A80,'Data Vlaue (Cr)'!$C:$FB,143)</f>
        <v>929.97</v>
      </c>
      <c r="E80" s="50">
        <f>VLOOKUP($A80,'Data Vlaue (Cr)'!$C:$FB,144)</f>
        <v>669.36</v>
      </c>
      <c r="F80" s="50">
        <f>VLOOKUP($A80,'Data Vlaue (Cr)'!$C:$FB,146)*100</f>
        <v>38.93</v>
      </c>
      <c r="G80" s="49">
        <f>VLOOKUP($A80,'Data Vlaue (Cr)'!$C:$FB,43)</f>
        <v>258</v>
      </c>
      <c r="H80" s="49">
        <f>VLOOKUP($A80,'Data Vlaue (Cr)'!$C:$FB,44)</f>
        <v>217</v>
      </c>
      <c r="I80" s="49">
        <f>VLOOKUP($A80,'Data Vlaue (Cr)'!$C:$FB,46)*100</f>
        <v>18.709999999999997</v>
      </c>
      <c r="J80" s="51">
        <f>VLOOKUP($A80,'Data Vlaue (Cr)'!$C:$FB,59)</f>
        <v>364</v>
      </c>
      <c r="K80" s="51">
        <f>VLOOKUP($A80,'Data Vlaue (Cr)'!$C:$FB,60)</f>
        <v>320</v>
      </c>
      <c r="L80" s="51">
        <f>VLOOKUP($A80,'Data Vlaue (Cr)'!$C:$FB,62)*100</f>
        <v>13.86</v>
      </c>
      <c r="M80" s="51">
        <f>VLOOKUP($A80,'Data Vlaue (Cr)'!$C:$FB,63)</f>
        <v>333</v>
      </c>
      <c r="N80" s="51">
        <f>VLOOKUP($A80,'Data Vlaue (Cr)'!$C:$FB,64)</f>
        <v>138</v>
      </c>
      <c r="O80" s="51">
        <f>VLOOKUP($A80,'Data Vlaue (Cr)'!$C:$FB,66)*100</f>
        <v>140.75</v>
      </c>
    </row>
    <row r="81" spans="1:15" x14ac:dyDescent="0.25">
      <c r="A81" s="101" t="str">
        <f>'Data Vlaue (Cr)'!C76</f>
        <v>HAL</v>
      </c>
      <c r="B81" s="50">
        <f>VLOOKUP($A81,'Data Vlaue (Cr)'!$C:$FB,8)</f>
        <v>4626.8999999999996</v>
      </c>
      <c r="C81" s="50">
        <f>VLOOKUP($A81,'Data Vlaue (Cr)'!$C:$FB,11)*100</f>
        <v>0.36</v>
      </c>
      <c r="D81" s="50">
        <f>VLOOKUP($A81,'Data Vlaue (Cr)'!$C:$FB,143)</f>
        <v>2691.45</v>
      </c>
      <c r="E81" s="50">
        <f>VLOOKUP($A81,'Data Vlaue (Cr)'!$C:$FB,144)</f>
        <v>5815.56</v>
      </c>
      <c r="F81" s="50">
        <f>VLOOKUP($A81,'Data Vlaue (Cr)'!$C:$FB,146)*100</f>
        <v>-53.72</v>
      </c>
      <c r="G81" s="49">
        <f>VLOOKUP($A81,'Data Vlaue (Cr)'!$C:$FB,43)</f>
        <v>393</v>
      </c>
      <c r="H81" s="49">
        <f>VLOOKUP($A81,'Data Vlaue (Cr)'!$C:$FB,44)</f>
        <v>652</v>
      </c>
      <c r="I81" s="49">
        <f>VLOOKUP($A81,'Data Vlaue (Cr)'!$C:$FB,46)*100</f>
        <v>-39.660000000000004</v>
      </c>
      <c r="J81" s="51">
        <f>VLOOKUP($A81,'Data Vlaue (Cr)'!$C:$FB,59)</f>
        <v>1452</v>
      </c>
      <c r="K81" s="51">
        <f>VLOOKUP($A81,'Data Vlaue (Cr)'!$C:$FB,60)</f>
        <v>3587</v>
      </c>
      <c r="L81" s="51">
        <f>VLOOKUP($A81,'Data Vlaue (Cr)'!$C:$FB,62)*100</f>
        <v>-59.519999999999996</v>
      </c>
      <c r="M81" s="51">
        <f>VLOOKUP($A81,'Data Vlaue (Cr)'!$C:$FB,63)</f>
        <v>792</v>
      </c>
      <c r="N81" s="51">
        <f>VLOOKUP($A81,'Data Vlaue (Cr)'!$C:$FB,64)</f>
        <v>1412</v>
      </c>
      <c r="O81" s="51">
        <f>VLOOKUP($A81,'Data Vlaue (Cr)'!$C:$FB,66)*100</f>
        <v>-43.94</v>
      </c>
    </row>
    <row r="82" spans="1:15" x14ac:dyDescent="0.25">
      <c r="A82" s="101" t="str">
        <f>'Data Vlaue (Cr)'!C77</f>
        <v>HAVELLS</v>
      </c>
      <c r="B82" s="50">
        <f>VLOOKUP($A82,'Data Vlaue (Cr)'!$C:$FB,8)</f>
        <v>1257.3</v>
      </c>
      <c r="C82" s="50">
        <f>VLOOKUP($A82,'Data Vlaue (Cr)'!$C:$FB,11)*100</f>
        <v>1.43</v>
      </c>
      <c r="D82" s="50">
        <f>VLOOKUP($A82,'Data Vlaue (Cr)'!$C:$FB,143)</f>
        <v>811.04</v>
      </c>
      <c r="E82" s="50">
        <f>VLOOKUP($A82,'Data Vlaue (Cr)'!$C:$FB,144)</f>
        <v>998.35</v>
      </c>
      <c r="F82" s="50">
        <f>VLOOKUP($A82,'Data Vlaue (Cr)'!$C:$FB,146)*100</f>
        <v>-18.759999999999998</v>
      </c>
      <c r="G82" s="49">
        <f>VLOOKUP($A82,'Data Vlaue (Cr)'!$C:$FB,43)</f>
        <v>197</v>
      </c>
      <c r="H82" s="49">
        <f>VLOOKUP($A82,'Data Vlaue (Cr)'!$C:$FB,44)</f>
        <v>153</v>
      </c>
      <c r="I82" s="49">
        <f>VLOOKUP($A82,'Data Vlaue (Cr)'!$C:$FB,46)*100</f>
        <v>28.68</v>
      </c>
      <c r="J82" s="51">
        <f>VLOOKUP($A82,'Data Vlaue (Cr)'!$C:$FB,59)</f>
        <v>423</v>
      </c>
      <c r="K82" s="51">
        <f>VLOOKUP($A82,'Data Vlaue (Cr)'!$C:$FB,60)</f>
        <v>581</v>
      </c>
      <c r="L82" s="51">
        <f>VLOOKUP($A82,'Data Vlaue (Cr)'!$C:$FB,62)*100</f>
        <v>-27.139999999999997</v>
      </c>
      <c r="M82" s="51">
        <f>VLOOKUP($A82,'Data Vlaue (Cr)'!$C:$FB,63)</f>
        <v>168</v>
      </c>
      <c r="N82" s="51">
        <f>VLOOKUP($A82,'Data Vlaue (Cr)'!$C:$FB,64)</f>
        <v>226</v>
      </c>
      <c r="O82" s="51">
        <f>VLOOKUP($A82,'Data Vlaue (Cr)'!$C:$FB,66)*100</f>
        <v>-25.569999999999997</v>
      </c>
    </row>
    <row r="83" spans="1:15" x14ac:dyDescent="0.25">
      <c r="A83" s="101" t="str">
        <f>'Data Vlaue (Cr)'!C78</f>
        <v>HCLTECH</v>
      </c>
      <c r="B83" s="50">
        <f>VLOOKUP($A83,'Data Vlaue (Cr)'!$C:$FB,8)</f>
        <v>1189.0999999999999</v>
      </c>
      <c r="C83" s="50">
        <f>VLOOKUP($A83,'Data Vlaue (Cr)'!$C:$FB,11)*100</f>
        <v>-0.91999999999999993</v>
      </c>
      <c r="D83" s="50">
        <f>VLOOKUP($A83,'Data Vlaue (Cr)'!$C:$FB,143)</f>
        <v>3588.55</v>
      </c>
      <c r="E83" s="50">
        <f>VLOOKUP($A83,'Data Vlaue (Cr)'!$C:$FB,144)</f>
        <v>1848.19</v>
      </c>
      <c r="F83" s="50">
        <f>VLOOKUP($A83,'Data Vlaue (Cr)'!$C:$FB,146)*100</f>
        <v>94.17</v>
      </c>
      <c r="G83" s="49">
        <f>VLOOKUP($A83,'Data Vlaue (Cr)'!$C:$FB,43)</f>
        <v>593</v>
      </c>
      <c r="H83" s="49">
        <f>VLOOKUP($A83,'Data Vlaue (Cr)'!$C:$FB,44)</f>
        <v>218</v>
      </c>
      <c r="I83" s="49">
        <f>VLOOKUP($A83,'Data Vlaue (Cr)'!$C:$FB,46)*100</f>
        <v>172.48000000000002</v>
      </c>
      <c r="J83" s="51">
        <f>VLOOKUP($A83,'Data Vlaue (Cr)'!$C:$FB,59)</f>
        <v>2019</v>
      </c>
      <c r="K83" s="51">
        <f>VLOOKUP($A83,'Data Vlaue (Cr)'!$C:$FB,60)</f>
        <v>1024</v>
      </c>
      <c r="L83" s="51">
        <f>VLOOKUP($A83,'Data Vlaue (Cr)'!$C:$FB,62)*100</f>
        <v>97.240000000000009</v>
      </c>
      <c r="M83" s="51">
        <f>VLOOKUP($A83,'Data Vlaue (Cr)'!$C:$FB,63)</f>
        <v>819</v>
      </c>
      <c r="N83" s="51">
        <f>VLOOKUP($A83,'Data Vlaue (Cr)'!$C:$FB,64)</f>
        <v>529</v>
      </c>
      <c r="O83" s="51">
        <f>VLOOKUP($A83,'Data Vlaue (Cr)'!$C:$FB,66)*100</f>
        <v>54.93</v>
      </c>
    </row>
    <row r="84" spans="1:15" x14ac:dyDescent="0.25">
      <c r="A84" s="101" t="str">
        <f>'Data Vlaue (Cr)'!C79</f>
        <v>HDFCAMC</v>
      </c>
      <c r="B84" s="50">
        <f>VLOOKUP($A84,'Data Vlaue (Cr)'!$C:$FB,8)</f>
        <v>2815.9</v>
      </c>
      <c r="C84" s="50">
        <f>VLOOKUP($A84,'Data Vlaue (Cr)'!$C:$FB,11)*100</f>
        <v>0.33999999999999997</v>
      </c>
      <c r="D84" s="50">
        <f>VLOOKUP($A84,'Data Vlaue (Cr)'!$C:$FB,143)</f>
        <v>1086.74</v>
      </c>
      <c r="E84" s="50">
        <f>VLOOKUP($A84,'Data Vlaue (Cr)'!$C:$FB,144)</f>
        <v>1824.04</v>
      </c>
      <c r="F84" s="50">
        <f>VLOOKUP($A84,'Data Vlaue (Cr)'!$C:$FB,146)*100</f>
        <v>-40.42</v>
      </c>
      <c r="G84" s="49">
        <f>VLOOKUP($A84,'Data Vlaue (Cr)'!$C:$FB,43)</f>
        <v>280</v>
      </c>
      <c r="H84" s="49">
        <f>VLOOKUP($A84,'Data Vlaue (Cr)'!$C:$FB,44)</f>
        <v>328</v>
      </c>
      <c r="I84" s="49">
        <f>VLOOKUP($A84,'Data Vlaue (Cr)'!$C:$FB,46)*100</f>
        <v>-14.67</v>
      </c>
      <c r="J84" s="51">
        <f>VLOOKUP($A84,'Data Vlaue (Cr)'!$C:$FB,59)</f>
        <v>551</v>
      </c>
      <c r="K84" s="51">
        <f>VLOOKUP($A84,'Data Vlaue (Cr)'!$C:$FB,60)</f>
        <v>1160</v>
      </c>
      <c r="L84" s="51">
        <f>VLOOKUP($A84,'Data Vlaue (Cr)'!$C:$FB,62)*100</f>
        <v>-52.53</v>
      </c>
      <c r="M84" s="51">
        <f>VLOOKUP($A84,'Data Vlaue (Cr)'!$C:$FB,63)</f>
        <v>234</v>
      </c>
      <c r="N84" s="51">
        <f>VLOOKUP($A84,'Data Vlaue (Cr)'!$C:$FB,64)</f>
        <v>293</v>
      </c>
      <c r="O84" s="51">
        <f>VLOOKUP($A84,'Data Vlaue (Cr)'!$C:$FB,66)*100</f>
        <v>-19.97</v>
      </c>
    </row>
    <row r="85" spans="1:15" x14ac:dyDescent="0.25">
      <c r="A85" s="101" t="str">
        <f>'Data Vlaue (Cr)'!C80</f>
        <v>HDFCBANK</v>
      </c>
      <c r="B85" s="50">
        <f>VLOOKUP($A85,'Data Vlaue (Cr)'!$C:$FB,8)</f>
        <v>796.55</v>
      </c>
      <c r="C85" s="50">
        <f>VLOOKUP($A85,'Data Vlaue (Cr)'!$C:$FB,11)*100</f>
        <v>3.1399999999999997</v>
      </c>
      <c r="D85" s="50">
        <f>VLOOKUP($A85,'Data Vlaue (Cr)'!$C:$FB,143)</f>
        <v>19197.23</v>
      </c>
      <c r="E85" s="50">
        <f>VLOOKUP($A85,'Data Vlaue (Cr)'!$C:$FB,144)</f>
        <v>10086</v>
      </c>
      <c r="F85" s="50">
        <f>VLOOKUP($A85,'Data Vlaue (Cr)'!$C:$FB,146)*100</f>
        <v>90.34</v>
      </c>
      <c r="G85" s="49">
        <f>VLOOKUP($A85,'Data Vlaue (Cr)'!$C:$FB,43)</f>
        <v>2498</v>
      </c>
      <c r="H85" s="49">
        <f>VLOOKUP($A85,'Data Vlaue (Cr)'!$C:$FB,44)</f>
        <v>1852</v>
      </c>
      <c r="I85" s="49">
        <f>VLOOKUP($A85,'Data Vlaue (Cr)'!$C:$FB,46)*100</f>
        <v>34.92</v>
      </c>
      <c r="J85" s="51">
        <f>VLOOKUP($A85,'Data Vlaue (Cr)'!$C:$FB,59)</f>
        <v>10849</v>
      </c>
      <c r="K85" s="51">
        <f>VLOOKUP($A85,'Data Vlaue (Cr)'!$C:$FB,60)</f>
        <v>5752</v>
      </c>
      <c r="L85" s="51">
        <f>VLOOKUP($A85,'Data Vlaue (Cr)'!$C:$FB,62)*100</f>
        <v>88.6</v>
      </c>
      <c r="M85" s="51">
        <f>VLOOKUP($A85,'Data Vlaue (Cr)'!$C:$FB,63)</f>
        <v>5714</v>
      </c>
      <c r="N85" s="51">
        <f>VLOOKUP($A85,'Data Vlaue (Cr)'!$C:$FB,64)</f>
        <v>2518</v>
      </c>
      <c r="O85" s="51">
        <f>VLOOKUP($A85,'Data Vlaue (Cr)'!$C:$FB,66)*100</f>
        <v>126.94000000000001</v>
      </c>
    </row>
    <row r="86" spans="1:15" x14ac:dyDescent="0.25">
      <c r="A86" s="101" t="str">
        <f>'Data Vlaue (Cr)'!C81</f>
        <v>HDFCLIFE</v>
      </c>
      <c r="B86" s="50">
        <f>VLOOKUP($A86,'Data Vlaue (Cr)'!$C:$FB,8)</f>
        <v>606.35</v>
      </c>
      <c r="C86" s="50">
        <f>VLOOKUP($A86,'Data Vlaue (Cr)'!$C:$FB,11)*100</f>
        <v>2.06</v>
      </c>
      <c r="D86" s="50">
        <f>VLOOKUP($A86,'Data Vlaue (Cr)'!$C:$FB,143)</f>
        <v>5504.24</v>
      </c>
      <c r="E86" s="50">
        <f>VLOOKUP($A86,'Data Vlaue (Cr)'!$C:$FB,144)</f>
        <v>2369.91</v>
      </c>
      <c r="F86" s="50">
        <f>VLOOKUP($A86,'Data Vlaue (Cr)'!$C:$FB,146)*100</f>
        <v>132.25</v>
      </c>
      <c r="G86" s="49">
        <f>VLOOKUP($A86,'Data Vlaue (Cr)'!$C:$FB,43)</f>
        <v>1310</v>
      </c>
      <c r="H86" s="49">
        <f>VLOOKUP($A86,'Data Vlaue (Cr)'!$C:$FB,44)</f>
        <v>398</v>
      </c>
      <c r="I86" s="49">
        <f>VLOOKUP($A86,'Data Vlaue (Cr)'!$C:$FB,46)*100</f>
        <v>229.40999999999997</v>
      </c>
      <c r="J86" s="51">
        <f>VLOOKUP($A86,'Data Vlaue (Cr)'!$C:$FB,59)</f>
        <v>3042</v>
      </c>
      <c r="K86" s="51">
        <f>VLOOKUP($A86,'Data Vlaue (Cr)'!$C:$FB,60)</f>
        <v>1408</v>
      </c>
      <c r="L86" s="51">
        <f>VLOOKUP($A86,'Data Vlaue (Cr)'!$C:$FB,62)*100</f>
        <v>115.97</v>
      </c>
      <c r="M86" s="51">
        <f>VLOOKUP($A86,'Data Vlaue (Cr)'!$C:$FB,63)</f>
        <v>1096</v>
      </c>
      <c r="N86" s="51">
        <f>VLOOKUP($A86,'Data Vlaue (Cr)'!$C:$FB,64)</f>
        <v>563</v>
      </c>
      <c r="O86" s="51">
        <f>VLOOKUP($A86,'Data Vlaue (Cr)'!$C:$FB,66)*100</f>
        <v>94.61</v>
      </c>
    </row>
    <row r="87" spans="1:15" x14ac:dyDescent="0.25">
      <c r="A87" s="101" t="str">
        <f>'Data Vlaue (Cr)'!C82</f>
        <v>HEROMOTOCO</v>
      </c>
      <c r="B87" s="50">
        <f>VLOOKUP($A87,'Data Vlaue (Cr)'!$C:$FB,8)</f>
        <v>5170</v>
      </c>
      <c r="C87" s="50">
        <f>VLOOKUP($A87,'Data Vlaue (Cr)'!$C:$FB,11)*100</f>
        <v>1.1900000000000002</v>
      </c>
      <c r="D87" s="50">
        <f>VLOOKUP($A87,'Data Vlaue (Cr)'!$C:$FB,143)</f>
        <v>21002.240000000002</v>
      </c>
      <c r="E87" s="50">
        <f>VLOOKUP($A87,'Data Vlaue (Cr)'!$C:$FB,144)</f>
        <v>3123.24</v>
      </c>
      <c r="F87" s="50">
        <f>VLOOKUP($A87,'Data Vlaue (Cr)'!$C:$FB,146)*100</f>
        <v>572.45000000000005</v>
      </c>
      <c r="G87" s="49">
        <f>VLOOKUP($A87,'Data Vlaue (Cr)'!$C:$FB,43)</f>
        <v>2130</v>
      </c>
      <c r="H87" s="49">
        <f>VLOOKUP($A87,'Data Vlaue (Cr)'!$C:$FB,44)</f>
        <v>438</v>
      </c>
      <c r="I87" s="49">
        <f>VLOOKUP($A87,'Data Vlaue (Cr)'!$C:$FB,46)*100</f>
        <v>385.81</v>
      </c>
      <c r="J87" s="51">
        <f>VLOOKUP($A87,'Data Vlaue (Cr)'!$C:$FB,59)</f>
        <v>12609</v>
      </c>
      <c r="K87" s="51">
        <f>VLOOKUP($A87,'Data Vlaue (Cr)'!$C:$FB,60)</f>
        <v>1960</v>
      </c>
      <c r="L87" s="51">
        <f>VLOOKUP($A87,'Data Vlaue (Cr)'!$C:$FB,62)*100</f>
        <v>543.47</v>
      </c>
      <c r="M87" s="51">
        <f>VLOOKUP($A87,'Data Vlaue (Cr)'!$C:$FB,63)</f>
        <v>5910</v>
      </c>
      <c r="N87" s="51">
        <f>VLOOKUP($A87,'Data Vlaue (Cr)'!$C:$FB,64)</f>
        <v>676</v>
      </c>
      <c r="O87" s="51">
        <f>VLOOKUP($A87,'Data Vlaue (Cr)'!$C:$FB,66)*100</f>
        <v>773.99</v>
      </c>
    </row>
    <row r="88" spans="1:15" x14ac:dyDescent="0.25">
      <c r="A88" s="101" t="str">
        <f>'Data Vlaue (Cr)'!C83</f>
        <v>HINDALCO</v>
      </c>
      <c r="B88" s="50">
        <f>VLOOKUP($A88,'Data Vlaue (Cr)'!$C:$FB,8)</f>
        <v>1045.8</v>
      </c>
      <c r="C88" s="50">
        <f>VLOOKUP($A88,'Data Vlaue (Cr)'!$C:$FB,11)*100</f>
        <v>-0.84</v>
      </c>
      <c r="D88" s="50">
        <f>VLOOKUP($A88,'Data Vlaue (Cr)'!$C:$FB,143)</f>
        <v>2390.73</v>
      </c>
      <c r="E88" s="50">
        <f>VLOOKUP($A88,'Data Vlaue (Cr)'!$C:$FB,144)</f>
        <v>2508.37</v>
      </c>
      <c r="F88" s="50">
        <f>VLOOKUP($A88,'Data Vlaue (Cr)'!$C:$FB,146)*100</f>
        <v>-4.6899999999999995</v>
      </c>
      <c r="G88" s="49">
        <f>VLOOKUP($A88,'Data Vlaue (Cr)'!$C:$FB,43)</f>
        <v>634</v>
      </c>
      <c r="H88" s="49">
        <f>VLOOKUP($A88,'Data Vlaue (Cr)'!$C:$FB,44)</f>
        <v>507</v>
      </c>
      <c r="I88" s="49">
        <f>VLOOKUP($A88,'Data Vlaue (Cr)'!$C:$FB,46)*100</f>
        <v>24.91</v>
      </c>
      <c r="J88" s="51">
        <f>VLOOKUP($A88,'Data Vlaue (Cr)'!$C:$FB,59)</f>
        <v>1074</v>
      </c>
      <c r="K88" s="51">
        <f>VLOOKUP($A88,'Data Vlaue (Cr)'!$C:$FB,60)</f>
        <v>1216</v>
      </c>
      <c r="L88" s="51">
        <f>VLOOKUP($A88,'Data Vlaue (Cr)'!$C:$FB,62)*100</f>
        <v>-11.709999999999999</v>
      </c>
      <c r="M88" s="51">
        <f>VLOOKUP($A88,'Data Vlaue (Cr)'!$C:$FB,63)</f>
        <v>612</v>
      </c>
      <c r="N88" s="51">
        <f>VLOOKUP($A88,'Data Vlaue (Cr)'!$C:$FB,64)</f>
        <v>720</v>
      </c>
      <c r="O88" s="51">
        <f>VLOOKUP($A88,'Data Vlaue (Cr)'!$C:$FB,66)*100</f>
        <v>-14.99</v>
      </c>
    </row>
    <row r="89" spans="1:15" x14ac:dyDescent="0.25">
      <c r="A89" s="101" t="str">
        <f>'Data Vlaue (Cr)'!C84</f>
        <v>HINDPETRO</v>
      </c>
      <c r="B89" s="50">
        <f>VLOOKUP($A89,'Data Vlaue (Cr)'!$C:$FB,8)</f>
        <v>399.2</v>
      </c>
      <c r="C89" s="50">
        <f>VLOOKUP($A89,'Data Vlaue (Cr)'!$C:$FB,11)*100</f>
        <v>6.77</v>
      </c>
      <c r="D89" s="50">
        <f>VLOOKUP($A89,'Data Vlaue (Cr)'!$C:$FB,143)</f>
        <v>3402.87</v>
      </c>
      <c r="E89" s="50">
        <f>VLOOKUP($A89,'Data Vlaue (Cr)'!$C:$FB,144)</f>
        <v>993.45</v>
      </c>
      <c r="F89" s="50">
        <f>VLOOKUP($A89,'Data Vlaue (Cr)'!$C:$FB,146)*100</f>
        <v>242.53</v>
      </c>
      <c r="G89" s="49">
        <f>VLOOKUP($A89,'Data Vlaue (Cr)'!$C:$FB,43)</f>
        <v>608</v>
      </c>
      <c r="H89" s="49">
        <f>VLOOKUP($A89,'Data Vlaue (Cr)'!$C:$FB,44)</f>
        <v>260</v>
      </c>
      <c r="I89" s="49">
        <f>VLOOKUP($A89,'Data Vlaue (Cr)'!$C:$FB,46)*100</f>
        <v>134.34</v>
      </c>
      <c r="J89" s="51">
        <f>VLOOKUP($A89,'Data Vlaue (Cr)'!$C:$FB,59)</f>
        <v>1802</v>
      </c>
      <c r="K89" s="51">
        <f>VLOOKUP($A89,'Data Vlaue (Cr)'!$C:$FB,60)</f>
        <v>476</v>
      </c>
      <c r="L89" s="51">
        <f>VLOOKUP($A89,'Data Vlaue (Cr)'!$C:$FB,62)*100</f>
        <v>278.5</v>
      </c>
      <c r="M89" s="51">
        <f>VLOOKUP($A89,'Data Vlaue (Cr)'!$C:$FB,63)</f>
        <v>986</v>
      </c>
      <c r="N89" s="51">
        <f>VLOOKUP($A89,'Data Vlaue (Cr)'!$C:$FB,64)</f>
        <v>296</v>
      </c>
      <c r="O89" s="51">
        <f>VLOOKUP($A89,'Data Vlaue (Cr)'!$C:$FB,66)*100</f>
        <v>232.85</v>
      </c>
    </row>
    <row r="90" spans="1:15" x14ac:dyDescent="0.25">
      <c r="A90" s="101" t="str">
        <f>'Data Vlaue (Cr)'!C85</f>
        <v>HINDUNILVR</v>
      </c>
      <c r="B90" s="50">
        <f>VLOOKUP($A90,'Data Vlaue (Cr)'!$C:$FB,8)</f>
        <v>2317.1</v>
      </c>
      <c r="C90" s="50">
        <f>VLOOKUP($A90,'Data Vlaue (Cr)'!$C:$FB,11)*100</f>
        <v>-0.44</v>
      </c>
      <c r="D90" s="50">
        <f>VLOOKUP($A90,'Data Vlaue (Cr)'!$C:$FB,143)</f>
        <v>3999.89</v>
      </c>
      <c r="E90" s="50">
        <f>VLOOKUP($A90,'Data Vlaue (Cr)'!$C:$FB,144)</f>
        <v>3474.6</v>
      </c>
      <c r="F90" s="50">
        <f>VLOOKUP($A90,'Data Vlaue (Cr)'!$C:$FB,146)*100</f>
        <v>15.120000000000001</v>
      </c>
      <c r="G90" s="49">
        <f>VLOOKUP($A90,'Data Vlaue (Cr)'!$C:$FB,43)</f>
        <v>414</v>
      </c>
      <c r="H90" s="49">
        <f>VLOOKUP($A90,'Data Vlaue (Cr)'!$C:$FB,44)</f>
        <v>418</v>
      </c>
      <c r="I90" s="49">
        <f>VLOOKUP($A90,'Data Vlaue (Cr)'!$C:$FB,46)*100</f>
        <v>-0.88</v>
      </c>
      <c r="J90" s="51">
        <f>VLOOKUP($A90,'Data Vlaue (Cr)'!$C:$FB,59)</f>
        <v>2241</v>
      </c>
      <c r="K90" s="51">
        <f>VLOOKUP($A90,'Data Vlaue (Cr)'!$C:$FB,60)</f>
        <v>1930</v>
      </c>
      <c r="L90" s="51">
        <f>VLOOKUP($A90,'Data Vlaue (Cr)'!$C:$FB,62)*100</f>
        <v>16.079999999999998</v>
      </c>
      <c r="M90" s="51">
        <f>VLOOKUP($A90,'Data Vlaue (Cr)'!$C:$FB,63)</f>
        <v>1286</v>
      </c>
      <c r="N90" s="51">
        <f>VLOOKUP($A90,'Data Vlaue (Cr)'!$C:$FB,64)</f>
        <v>1070</v>
      </c>
      <c r="O90" s="51">
        <f>VLOOKUP($A90,'Data Vlaue (Cr)'!$C:$FB,66)*100</f>
        <v>20.18</v>
      </c>
    </row>
    <row r="91" spans="1:15" x14ac:dyDescent="0.25">
      <c r="A91" s="101" t="str">
        <f>'Data Vlaue (Cr)'!C86</f>
        <v>HINDZINC</v>
      </c>
      <c r="B91" s="50">
        <f>VLOOKUP($A91,'Data Vlaue (Cr)'!$C:$FB,8)</f>
        <v>634.6</v>
      </c>
      <c r="C91" s="50">
        <f>VLOOKUP($A91,'Data Vlaue (Cr)'!$C:$FB,11)*100</f>
        <v>3.82</v>
      </c>
      <c r="D91" s="50">
        <f>VLOOKUP($A91,'Data Vlaue (Cr)'!$C:$FB,143)</f>
        <v>5721.39</v>
      </c>
      <c r="E91" s="50">
        <f>VLOOKUP($A91,'Data Vlaue (Cr)'!$C:$FB,144)</f>
        <v>1890.17</v>
      </c>
      <c r="F91" s="50">
        <f>VLOOKUP($A91,'Data Vlaue (Cr)'!$C:$FB,146)*100</f>
        <v>202.69</v>
      </c>
      <c r="G91" s="49">
        <f>VLOOKUP($A91,'Data Vlaue (Cr)'!$C:$FB,43)</f>
        <v>656</v>
      </c>
      <c r="H91" s="49">
        <f>VLOOKUP($A91,'Data Vlaue (Cr)'!$C:$FB,44)</f>
        <v>245</v>
      </c>
      <c r="I91" s="49">
        <f>VLOOKUP($A91,'Data Vlaue (Cr)'!$C:$FB,46)*100</f>
        <v>167.32</v>
      </c>
      <c r="J91" s="51">
        <f>VLOOKUP($A91,'Data Vlaue (Cr)'!$C:$FB,59)</f>
        <v>3378</v>
      </c>
      <c r="K91" s="51">
        <f>VLOOKUP($A91,'Data Vlaue (Cr)'!$C:$FB,60)</f>
        <v>999</v>
      </c>
      <c r="L91" s="51">
        <f>VLOOKUP($A91,'Data Vlaue (Cr)'!$C:$FB,62)*100</f>
        <v>238.11</v>
      </c>
      <c r="M91" s="51">
        <f>VLOOKUP($A91,'Data Vlaue (Cr)'!$C:$FB,63)</f>
        <v>1631</v>
      </c>
      <c r="N91" s="51">
        <f>VLOOKUP($A91,'Data Vlaue (Cr)'!$C:$FB,64)</f>
        <v>687</v>
      </c>
      <c r="O91" s="51">
        <f>VLOOKUP($A91,'Data Vlaue (Cr)'!$C:$FB,66)*100</f>
        <v>137.25</v>
      </c>
    </row>
    <row r="92" spans="1:15" x14ac:dyDescent="0.25">
      <c r="A92" s="101" t="str">
        <f>'Data Vlaue (Cr)'!C87</f>
        <v>HYUNDAI</v>
      </c>
      <c r="B92" s="50">
        <f>VLOOKUP($A92,'Data Vlaue (Cr)'!$C:$FB,8)</f>
        <v>1839.9</v>
      </c>
      <c r="C92" s="50">
        <f>VLOOKUP($A92,'Data Vlaue (Cr)'!$C:$FB,11)*100</f>
        <v>0.95</v>
      </c>
      <c r="D92" s="50">
        <f>VLOOKUP($A92,'Data Vlaue (Cr)'!$C:$FB,143)</f>
        <v>687.3</v>
      </c>
      <c r="E92" s="50">
        <f>VLOOKUP($A92,'Data Vlaue (Cr)'!$C:$FB,144)</f>
        <v>910.65</v>
      </c>
      <c r="F92" s="50">
        <f>VLOOKUP($A92,'Data Vlaue (Cr)'!$C:$FB,146)*100</f>
        <v>-24.529999999999998</v>
      </c>
      <c r="G92" s="49">
        <f>VLOOKUP($A92,'Data Vlaue (Cr)'!$C:$FB,43)</f>
        <v>332</v>
      </c>
      <c r="H92" s="49">
        <f>VLOOKUP($A92,'Data Vlaue (Cr)'!$C:$FB,44)</f>
        <v>463</v>
      </c>
      <c r="I92" s="49">
        <f>VLOOKUP($A92,'Data Vlaue (Cr)'!$C:$FB,46)*100</f>
        <v>-28.28</v>
      </c>
      <c r="J92" s="51">
        <f>VLOOKUP($A92,'Data Vlaue (Cr)'!$C:$FB,59)</f>
        <v>254</v>
      </c>
      <c r="K92" s="51">
        <f>VLOOKUP($A92,'Data Vlaue (Cr)'!$C:$FB,60)</f>
        <v>329</v>
      </c>
      <c r="L92" s="51">
        <f>VLOOKUP($A92,'Data Vlaue (Cr)'!$C:$FB,62)*100</f>
        <v>-22.89</v>
      </c>
      <c r="M92" s="51">
        <f>VLOOKUP($A92,'Data Vlaue (Cr)'!$C:$FB,63)</f>
        <v>95</v>
      </c>
      <c r="N92" s="51">
        <f>VLOOKUP($A92,'Data Vlaue (Cr)'!$C:$FB,64)</f>
        <v>120</v>
      </c>
      <c r="O92" s="51">
        <f>VLOOKUP($A92,'Data Vlaue (Cr)'!$C:$FB,66)*100</f>
        <v>-21.22</v>
      </c>
    </row>
    <row r="93" spans="1:15" x14ac:dyDescent="0.25">
      <c r="A93" s="101" t="str">
        <f>'Data Vlaue (Cr)'!C88</f>
        <v>ICICIBANK</v>
      </c>
      <c r="B93" s="50">
        <f>VLOOKUP($A93,'Data Vlaue (Cr)'!$C:$FB,8)</f>
        <v>1279.5</v>
      </c>
      <c r="C93" s="50">
        <f>VLOOKUP($A93,'Data Vlaue (Cr)'!$C:$FB,11)*100</f>
        <v>2.25</v>
      </c>
      <c r="D93" s="50">
        <f>VLOOKUP($A93,'Data Vlaue (Cr)'!$C:$FB,143)</f>
        <v>13482.1</v>
      </c>
      <c r="E93" s="50">
        <f>VLOOKUP($A93,'Data Vlaue (Cr)'!$C:$FB,144)</f>
        <v>9118.64</v>
      </c>
      <c r="F93" s="50">
        <f>VLOOKUP($A93,'Data Vlaue (Cr)'!$C:$FB,146)*100</f>
        <v>47.85</v>
      </c>
      <c r="G93" s="49">
        <f>VLOOKUP($A93,'Data Vlaue (Cr)'!$C:$FB,43)</f>
        <v>2908</v>
      </c>
      <c r="H93" s="49">
        <f>VLOOKUP($A93,'Data Vlaue (Cr)'!$C:$FB,44)</f>
        <v>1997</v>
      </c>
      <c r="I93" s="49">
        <f>VLOOKUP($A93,'Data Vlaue (Cr)'!$C:$FB,46)*100</f>
        <v>45.62</v>
      </c>
      <c r="J93" s="51">
        <f>VLOOKUP($A93,'Data Vlaue (Cr)'!$C:$FB,59)</f>
        <v>6582</v>
      </c>
      <c r="K93" s="51">
        <f>VLOOKUP($A93,'Data Vlaue (Cr)'!$C:$FB,60)</f>
        <v>4588</v>
      </c>
      <c r="L93" s="51">
        <f>VLOOKUP($A93,'Data Vlaue (Cr)'!$C:$FB,62)*100</f>
        <v>43.44</v>
      </c>
      <c r="M93" s="51">
        <f>VLOOKUP($A93,'Data Vlaue (Cr)'!$C:$FB,63)</f>
        <v>3883</v>
      </c>
      <c r="N93" s="51">
        <f>VLOOKUP($A93,'Data Vlaue (Cr)'!$C:$FB,64)</f>
        <v>2517</v>
      </c>
      <c r="O93" s="51">
        <f>VLOOKUP($A93,'Data Vlaue (Cr)'!$C:$FB,66)*100</f>
        <v>54.26</v>
      </c>
    </row>
    <row r="94" spans="1:15" x14ac:dyDescent="0.25">
      <c r="A94" s="101" t="str">
        <f>'Data Vlaue (Cr)'!C89</f>
        <v>ICICIGI</v>
      </c>
      <c r="B94" s="50">
        <f>VLOOKUP($A94,'Data Vlaue (Cr)'!$C:$FB,8)</f>
        <v>1809.9</v>
      </c>
      <c r="C94" s="50">
        <f>VLOOKUP($A94,'Data Vlaue (Cr)'!$C:$FB,11)*100</f>
        <v>1.8599999999999999</v>
      </c>
      <c r="D94" s="50">
        <f>VLOOKUP($A94,'Data Vlaue (Cr)'!$C:$FB,143)</f>
        <v>509.82</v>
      </c>
      <c r="E94" s="50">
        <f>VLOOKUP($A94,'Data Vlaue (Cr)'!$C:$FB,144)</f>
        <v>258.62</v>
      </c>
      <c r="F94" s="50">
        <f>VLOOKUP($A94,'Data Vlaue (Cr)'!$C:$FB,146)*100</f>
        <v>97.13000000000001</v>
      </c>
      <c r="G94" s="49">
        <f>VLOOKUP($A94,'Data Vlaue (Cr)'!$C:$FB,43)</f>
        <v>105</v>
      </c>
      <c r="H94" s="49">
        <f>VLOOKUP($A94,'Data Vlaue (Cr)'!$C:$FB,44)</f>
        <v>56</v>
      </c>
      <c r="I94" s="49">
        <f>VLOOKUP($A94,'Data Vlaue (Cr)'!$C:$FB,46)*100</f>
        <v>88.75</v>
      </c>
      <c r="J94" s="51">
        <f>VLOOKUP($A94,'Data Vlaue (Cr)'!$C:$FB,59)</f>
        <v>294</v>
      </c>
      <c r="K94" s="51">
        <f>VLOOKUP($A94,'Data Vlaue (Cr)'!$C:$FB,60)</f>
        <v>154</v>
      </c>
      <c r="L94" s="51">
        <f>VLOOKUP($A94,'Data Vlaue (Cr)'!$C:$FB,62)*100</f>
        <v>91.39</v>
      </c>
      <c r="M94" s="51">
        <f>VLOOKUP($A94,'Data Vlaue (Cr)'!$C:$FB,63)</f>
        <v>103</v>
      </c>
      <c r="N94" s="51">
        <f>VLOOKUP($A94,'Data Vlaue (Cr)'!$C:$FB,64)</f>
        <v>49</v>
      </c>
      <c r="O94" s="51">
        <f>VLOOKUP($A94,'Data Vlaue (Cr)'!$C:$FB,66)*100</f>
        <v>112.64</v>
      </c>
    </row>
    <row r="95" spans="1:15" x14ac:dyDescent="0.25">
      <c r="A95" s="101" t="str">
        <f>'Data Vlaue (Cr)'!C90</f>
        <v>ICICIPRULI</v>
      </c>
      <c r="B95" s="50">
        <f>VLOOKUP($A95,'Data Vlaue (Cr)'!$C:$FB,8)</f>
        <v>550.1</v>
      </c>
      <c r="C95" s="50">
        <f>VLOOKUP($A95,'Data Vlaue (Cr)'!$C:$FB,11)*100</f>
        <v>2.37</v>
      </c>
      <c r="D95" s="50">
        <f>VLOOKUP($A95,'Data Vlaue (Cr)'!$C:$FB,143)</f>
        <v>616.79999999999995</v>
      </c>
      <c r="E95" s="50">
        <f>VLOOKUP($A95,'Data Vlaue (Cr)'!$C:$FB,144)</f>
        <v>578.11</v>
      </c>
      <c r="F95" s="50">
        <f>VLOOKUP($A95,'Data Vlaue (Cr)'!$C:$FB,146)*100</f>
        <v>6.69</v>
      </c>
      <c r="G95" s="49">
        <f>VLOOKUP($A95,'Data Vlaue (Cr)'!$C:$FB,43)</f>
        <v>156</v>
      </c>
      <c r="H95" s="49">
        <f>VLOOKUP($A95,'Data Vlaue (Cr)'!$C:$FB,44)</f>
        <v>88</v>
      </c>
      <c r="I95" s="49">
        <f>VLOOKUP($A95,'Data Vlaue (Cr)'!$C:$FB,46)*100</f>
        <v>76.599999999999994</v>
      </c>
      <c r="J95" s="51">
        <f>VLOOKUP($A95,'Data Vlaue (Cr)'!$C:$FB,59)</f>
        <v>276</v>
      </c>
      <c r="K95" s="51">
        <f>VLOOKUP($A95,'Data Vlaue (Cr)'!$C:$FB,60)</f>
        <v>296</v>
      </c>
      <c r="L95" s="51">
        <f>VLOOKUP($A95,'Data Vlaue (Cr)'!$C:$FB,62)*100</f>
        <v>-6.660000000000001</v>
      </c>
      <c r="M95" s="51">
        <f>VLOOKUP($A95,'Data Vlaue (Cr)'!$C:$FB,63)</f>
        <v>184</v>
      </c>
      <c r="N95" s="51">
        <f>VLOOKUP($A95,'Data Vlaue (Cr)'!$C:$FB,64)</f>
        <v>191</v>
      </c>
      <c r="O95" s="51">
        <f>VLOOKUP($A95,'Data Vlaue (Cr)'!$C:$FB,66)*100</f>
        <v>-3.7199999999999998</v>
      </c>
    </row>
    <row r="96" spans="1:15" x14ac:dyDescent="0.25">
      <c r="A96" s="101" t="str">
        <f>'Data Vlaue (Cr)'!C91</f>
        <v>IDEA</v>
      </c>
      <c r="B96" s="50">
        <f>VLOOKUP($A96,'Data Vlaue (Cr)'!$C:$FB,8)</f>
        <v>11.3</v>
      </c>
      <c r="C96" s="50">
        <f>VLOOKUP($A96,'Data Vlaue (Cr)'!$C:$FB,11)*100</f>
        <v>4.63</v>
      </c>
      <c r="D96" s="50">
        <f>VLOOKUP($A96,'Data Vlaue (Cr)'!$C:$FB,143)</f>
        <v>5237.28</v>
      </c>
      <c r="E96" s="50">
        <f>VLOOKUP($A96,'Data Vlaue (Cr)'!$C:$FB,144)</f>
        <v>5578.19</v>
      </c>
      <c r="F96" s="50">
        <f>VLOOKUP($A96,'Data Vlaue (Cr)'!$C:$FB,146)*100</f>
        <v>-6.11</v>
      </c>
      <c r="G96" s="49">
        <f>VLOOKUP($A96,'Data Vlaue (Cr)'!$C:$FB,43)</f>
        <v>1188</v>
      </c>
      <c r="H96" s="49">
        <f>VLOOKUP($A96,'Data Vlaue (Cr)'!$C:$FB,44)</f>
        <v>1177</v>
      </c>
      <c r="I96" s="49">
        <f>VLOOKUP($A96,'Data Vlaue (Cr)'!$C:$FB,46)*100</f>
        <v>0.9900000000000001</v>
      </c>
      <c r="J96" s="51">
        <f>VLOOKUP($A96,'Data Vlaue (Cr)'!$C:$FB,59)</f>
        <v>2778</v>
      </c>
      <c r="K96" s="51">
        <f>VLOOKUP($A96,'Data Vlaue (Cr)'!$C:$FB,60)</f>
        <v>3229</v>
      </c>
      <c r="L96" s="51">
        <f>VLOOKUP($A96,'Data Vlaue (Cr)'!$C:$FB,62)*100</f>
        <v>-13.98</v>
      </c>
      <c r="M96" s="51">
        <f>VLOOKUP($A96,'Data Vlaue (Cr)'!$C:$FB,63)</f>
        <v>1016</v>
      </c>
      <c r="N96" s="51">
        <f>VLOOKUP($A96,'Data Vlaue (Cr)'!$C:$FB,64)</f>
        <v>963</v>
      </c>
      <c r="O96" s="51">
        <f>VLOOKUP($A96,'Data Vlaue (Cr)'!$C:$FB,66)*100</f>
        <v>5.45</v>
      </c>
    </row>
    <row r="97" spans="1:15" x14ac:dyDescent="0.25">
      <c r="A97" s="101" t="str">
        <f>'Data Vlaue (Cr)'!C92</f>
        <v>IDFCFIRSTB</v>
      </c>
      <c r="B97" s="50">
        <f>VLOOKUP($A97,'Data Vlaue (Cr)'!$C:$FB,8)</f>
        <v>69.59</v>
      </c>
      <c r="C97" s="50">
        <f>VLOOKUP($A97,'Data Vlaue (Cr)'!$C:$FB,11)*100</f>
        <v>1.22</v>
      </c>
      <c r="D97" s="50">
        <f>VLOOKUP($A97,'Data Vlaue (Cr)'!$C:$FB,143)</f>
        <v>1834.18</v>
      </c>
      <c r="E97" s="50">
        <f>VLOOKUP($A97,'Data Vlaue (Cr)'!$C:$FB,144)</f>
        <v>1063.0899999999999</v>
      </c>
      <c r="F97" s="50">
        <f>VLOOKUP($A97,'Data Vlaue (Cr)'!$C:$FB,146)*100</f>
        <v>72.53</v>
      </c>
      <c r="G97" s="49">
        <f>VLOOKUP($A97,'Data Vlaue (Cr)'!$C:$FB,43)</f>
        <v>370</v>
      </c>
      <c r="H97" s="49">
        <f>VLOOKUP($A97,'Data Vlaue (Cr)'!$C:$FB,44)</f>
        <v>182</v>
      </c>
      <c r="I97" s="49">
        <f>VLOOKUP($A97,'Data Vlaue (Cr)'!$C:$FB,46)*100</f>
        <v>103.32</v>
      </c>
      <c r="J97" s="51">
        <f>VLOOKUP($A97,'Data Vlaue (Cr)'!$C:$FB,59)</f>
        <v>883</v>
      </c>
      <c r="K97" s="51">
        <f>VLOOKUP($A97,'Data Vlaue (Cr)'!$C:$FB,60)</f>
        <v>526</v>
      </c>
      <c r="L97" s="51">
        <f>VLOOKUP($A97,'Data Vlaue (Cr)'!$C:$FB,62)*100</f>
        <v>67.800000000000011</v>
      </c>
      <c r="M97" s="51">
        <f>VLOOKUP($A97,'Data Vlaue (Cr)'!$C:$FB,63)</f>
        <v>548</v>
      </c>
      <c r="N97" s="51">
        <f>VLOOKUP($A97,'Data Vlaue (Cr)'!$C:$FB,64)</f>
        <v>331</v>
      </c>
      <c r="O97" s="51">
        <f>VLOOKUP($A97,'Data Vlaue (Cr)'!$C:$FB,66)*100</f>
        <v>65.2</v>
      </c>
    </row>
    <row r="98" spans="1:15" x14ac:dyDescent="0.25">
      <c r="A98" s="101" t="str">
        <f>'Data Vlaue (Cr)'!C93</f>
        <v>IEX</v>
      </c>
      <c r="B98" s="50">
        <f>VLOOKUP($A98,'Data Vlaue (Cr)'!$C:$FB,8)</f>
        <v>129.80000000000001</v>
      </c>
      <c r="C98" s="50">
        <f>VLOOKUP($A98,'Data Vlaue (Cr)'!$C:$FB,11)*100</f>
        <v>1.71</v>
      </c>
      <c r="D98" s="50">
        <f>VLOOKUP($A98,'Data Vlaue (Cr)'!$C:$FB,143)</f>
        <v>788.71</v>
      </c>
      <c r="E98" s="50">
        <f>VLOOKUP($A98,'Data Vlaue (Cr)'!$C:$FB,144)</f>
        <v>579.19000000000005</v>
      </c>
      <c r="F98" s="50">
        <f>VLOOKUP($A98,'Data Vlaue (Cr)'!$C:$FB,146)*100</f>
        <v>36.17</v>
      </c>
      <c r="G98" s="49">
        <f>VLOOKUP($A98,'Data Vlaue (Cr)'!$C:$FB,43)</f>
        <v>104</v>
      </c>
      <c r="H98" s="49">
        <f>VLOOKUP($A98,'Data Vlaue (Cr)'!$C:$FB,44)</f>
        <v>84</v>
      </c>
      <c r="I98" s="49">
        <f>VLOOKUP($A98,'Data Vlaue (Cr)'!$C:$FB,46)*100</f>
        <v>24.57</v>
      </c>
      <c r="J98" s="51">
        <f>VLOOKUP($A98,'Data Vlaue (Cr)'!$C:$FB,59)</f>
        <v>443</v>
      </c>
      <c r="K98" s="51">
        <f>VLOOKUP($A98,'Data Vlaue (Cr)'!$C:$FB,60)</f>
        <v>371</v>
      </c>
      <c r="L98" s="51">
        <f>VLOOKUP($A98,'Data Vlaue (Cr)'!$C:$FB,62)*100</f>
        <v>19.509999999999998</v>
      </c>
      <c r="M98" s="51">
        <f>VLOOKUP($A98,'Data Vlaue (Cr)'!$C:$FB,63)</f>
        <v>222</v>
      </c>
      <c r="N98" s="51">
        <f>VLOOKUP($A98,'Data Vlaue (Cr)'!$C:$FB,64)</f>
        <v>109</v>
      </c>
      <c r="O98" s="51">
        <f>VLOOKUP($A98,'Data Vlaue (Cr)'!$C:$FB,66)*100</f>
        <v>103.49999999999999</v>
      </c>
    </row>
    <row r="99" spans="1:15" x14ac:dyDescent="0.25">
      <c r="A99" s="101" t="str">
        <f>'Data Vlaue (Cr)'!C94</f>
        <v>INDHOTEL</v>
      </c>
      <c r="B99" s="50">
        <f>VLOOKUP($A99,'Data Vlaue (Cr)'!$C:$FB,8)</f>
        <v>666.15</v>
      </c>
      <c r="C99" s="50">
        <f>VLOOKUP($A99,'Data Vlaue (Cr)'!$C:$FB,11)*100</f>
        <v>2.83</v>
      </c>
      <c r="D99" s="50">
        <f>VLOOKUP($A99,'Data Vlaue (Cr)'!$C:$FB,143)</f>
        <v>1565.81</v>
      </c>
      <c r="E99" s="50">
        <f>VLOOKUP($A99,'Data Vlaue (Cr)'!$C:$FB,144)</f>
        <v>613.04</v>
      </c>
      <c r="F99" s="50">
        <f>VLOOKUP($A99,'Data Vlaue (Cr)'!$C:$FB,146)*100</f>
        <v>155.42000000000002</v>
      </c>
      <c r="G99" s="49">
        <f>VLOOKUP($A99,'Data Vlaue (Cr)'!$C:$FB,43)</f>
        <v>320</v>
      </c>
      <c r="H99" s="49">
        <f>VLOOKUP($A99,'Data Vlaue (Cr)'!$C:$FB,44)</f>
        <v>164</v>
      </c>
      <c r="I99" s="49">
        <f>VLOOKUP($A99,'Data Vlaue (Cr)'!$C:$FB,46)*100</f>
        <v>94.94</v>
      </c>
      <c r="J99" s="51">
        <f>VLOOKUP($A99,'Data Vlaue (Cr)'!$C:$FB,59)</f>
        <v>820</v>
      </c>
      <c r="K99" s="51">
        <f>VLOOKUP($A99,'Data Vlaue (Cr)'!$C:$FB,60)</f>
        <v>288</v>
      </c>
      <c r="L99" s="51">
        <f>VLOOKUP($A99,'Data Vlaue (Cr)'!$C:$FB,62)*100</f>
        <v>184.58</v>
      </c>
      <c r="M99" s="51">
        <f>VLOOKUP($A99,'Data Vlaue (Cr)'!$C:$FB,63)</f>
        <v>412</v>
      </c>
      <c r="N99" s="51">
        <f>VLOOKUP($A99,'Data Vlaue (Cr)'!$C:$FB,64)</f>
        <v>169</v>
      </c>
      <c r="O99" s="51">
        <f>VLOOKUP($A99,'Data Vlaue (Cr)'!$C:$FB,66)*100</f>
        <v>143.35999999999999</v>
      </c>
    </row>
    <row r="100" spans="1:15" x14ac:dyDescent="0.25">
      <c r="A100" s="101" t="str">
        <f>'Data Vlaue (Cr)'!C95</f>
        <v>INDIANB</v>
      </c>
      <c r="B100" s="50">
        <f>VLOOKUP($A100,'Data Vlaue (Cr)'!$C:$FB,8)</f>
        <v>866.85</v>
      </c>
      <c r="C100" s="50">
        <f>VLOOKUP($A100,'Data Vlaue (Cr)'!$C:$FB,11)*100</f>
        <v>2.13</v>
      </c>
      <c r="D100" s="50">
        <f>VLOOKUP($A100,'Data Vlaue (Cr)'!$C:$FB,143)</f>
        <v>2537.79</v>
      </c>
      <c r="E100" s="50">
        <f>VLOOKUP($A100,'Data Vlaue (Cr)'!$C:$FB,144)</f>
        <v>2021.75</v>
      </c>
      <c r="F100" s="50">
        <f>VLOOKUP($A100,'Data Vlaue (Cr)'!$C:$FB,146)*100</f>
        <v>25.52</v>
      </c>
      <c r="G100" s="49">
        <f>VLOOKUP($A100,'Data Vlaue (Cr)'!$C:$FB,43)</f>
        <v>352</v>
      </c>
      <c r="H100" s="49">
        <f>VLOOKUP($A100,'Data Vlaue (Cr)'!$C:$FB,44)</f>
        <v>385</v>
      </c>
      <c r="I100" s="49">
        <f>VLOOKUP($A100,'Data Vlaue (Cr)'!$C:$FB,46)*100</f>
        <v>-8.58</v>
      </c>
      <c r="J100" s="51">
        <f>VLOOKUP($A100,'Data Vlaue (Cr)'!$C:$FB,59)</f>
        <v>1442</v>
      </c>
      <c r="K100" s="51">
        <f>VLOOKUP($A100,'Data Vlaue (Cr)'!$C:$FB,60)</f>
        <v>1125</v>
      </c>
      <c r="L100" s="51">
        <f>VLOOKUP($A100,'Data Vlaue (Cr)'!$C:$FB,62)*100</f>
        <v>28.12</v>
      </c>
      <c r="M100" s="51">
        <f>VLOOKUP($A100,'Data Vlaue (Cr)'!$C:$FB,63)</f>
        <v>683</v>
      </c>
      <c r="N100" s="51">
        <f>VLOOKUP($A100,'Data Vlaue (Cr)'!$C:$FB,64)</f>
        <v>509</v>
      </c>
      <c r="O100" s="51">
        <f>VLOOKUP($A100,'Data Vlaue (Cr)'!$C:$FB,66)*100</f>
        <v>34.380000000000003</v>
      </c>
    </row>
    <row r="101" spans="1:15" x14ac:dyDescent="0.25">
      <c r="A101" s="101" t="str">
        <f>'Data Vlaue (Cr)'!C96</f>
        <v>INDIAVIX</v>
      </c>
      <c r="B101" s="50">
        <f>VLOOKUP($A101,'Data Vlaue (Cr)'!$C:$FB,8)</f>
        <v>16.68</v>
      </c>
      <c r="C101" s="50">
        <f>VLOOKUP($A101,'Data Vlaue (Cr)'!$C:$FB,11)*100</f>
        <v>-6.88</v>
      </c>
      <c r="D101" s="50">
        <f>VLOOKUP($A101,'Data Vlaue (Cr)'!$C:$FB,143)</f>
        <v>0</v>
      </c>
      <c r="E101" s="50">
        <f>VLOOKUP($A101,'Data Vlaue (Cr)'!$C:$FB,144)</f>
        <v>0</v>
      </c>
      <c r="F101" s="50">
        <f>VLOOKUP($A101,'Data Vlaue (Cr)'!$C:$FB,146)*100</f>
        <v>0</v>
      </c>
      <c r="G101" s="49">
        <f>VLOOKUP($A101,'Data Vlaue (Cr)'!$C:$FB,43)</f>
        <v>0</v>
      </c>
      <c r="H101" s="49">
        <f>VLOOKUP($A101,'Data Vlaue (Cr)'!$C:$FB,44)</f>
        <v>0</v>
      </c>
      <c r="I101" s="49">
        <f>VLOOKUP($A101,'Data Vlaue (Cr)'!$C:$FB,46)*100</f>
        <v>0</v>
      </c>
      <c r="J101" s="51">
        <f>VLOOKUP($A101,'Data Vlaue (Cr)'!$C:$FB,59)</f>
        <v>0</v>
      </c>
      <c r="K101" s="51">
        <f>VLOOKUP($A101,'Data Vlaue (Cr)'!$C:$FB,60)</f>
        <v>0</v>
      </c>
      <c r="L101" s="51">
        <f>VLOOKUP($A101,'Data Vlaue (Cr)'!$C:$FB,62)*100</f>
        <v>0</v>
      </c>
      <c r="M101" s="51">
        <f>VLOOKUP($A101,'Data Vlaue (Cr)'!$C:$FB,63)</f>
        <v>0</v>
      </c>
      <c r="N101" s="51">
        <f>VLOOKUP($A101,'Data Vlaue (Cr)'!$C:$FB,64)</f>
        <v>0</v>
      </c>
      <c r="O101" s="51">
        <f>VLOOKUP($A101,'Data Vlaue (Cr)'!$C:$FB,66)*100</f>
        <v>0</v>
      </c>
    </row>
    <row r="102" spans="1:15" x14ac:dyDescent="0.25">
      <c r="A102" s="101" t="str">
        <f>'Data Vlaue (Cr)'!C97</f>
        <v>INDIGO</v>
      </c>
      <c r="B102" s="50">
        <f>VLOOKUP($A102,'Data Vlaue (Cr)'!$C:$FB,8)</f>
        <v>4520.2</v>
      </c>
      <c r="C102" s="50">
        <f>VLOOKUP($A102,'Data Vlaue (Cr)'!$C:$FB,11)*100</f>
        <v>6.65</v>
      </c>
      <c r="D102" s="50">
        <f>VLOOKUP($A102,'Data Vlaue (Cr)'!$C:$FB,143)</f>
        <v>10679.04</v>
      </c>
      <c r="E102" s="50">
        <f>VLOOKUP($A102,'Data Vlaue (Cr)'!$C:$FB,144)</f>
        <v>3632.68</v>
      </c>
      <c r="F102" s="50">
        <f>VLOOKUP($A102,'Data Vlaue (Cr)'!$C:$FB,146)*100</f>
        <v>193.97</v>
      </c>
      <c r="G102" s="49">
        <f>VLOOKUP($A102,'Data Vlaue (Cr)'!$C:$FB,43)</f>
        <v>1391</v>
      </c>
      <c r="H102" s="49">
        <f>VLOOKUP($A102,'Data Vlaue (Cr)'!$C:$FB,44)</f>
        <v>502</v>
      </c>
      <c r="I102" s="49">
        <f>VLOOKUP($A102,'Data Vlaue (Cr)'!$C:$FB,46)*100</f>
        <v>177.03</v>
      </c>
      <c r="J102" s="51">
        <f>VLOOKUP($A102,'Data Vlaue (Cr)'!$C:$FB,59)</f>
        <v>6381</v>
      </c>
      <c r="K102" s="51">
        <f>VLOOKUP($A102,'Data Vlaue (Cr)'!$C:$FB,60)</f>
        <v>1896</v>
      </c>
      <c r="L102" s="51">
        <f>VLOOKUP($A102,'Data Vlaue (Cr)'!$C:$FB,62)*100</f>
        <v>236.63</v>
      </c>
      <c r="M102" s="51">
        <f>VLOOKUP($A102,'Data Vlaue (Cr)'!$C:$FB,63)</f>
        <v>2786</v>
      </c>
      <c r="N102" s="51">
        <f>VLOOKUP($A102,'Data Vlaue (Cr)'!$C:$FB,64)</f>
        <v>1311</v>
      </c>
      <c r="O102" s="51">
        <f>VLOOKUP($A102,'Data Vlaue (Cr)'!$C:$FB,66)*100</f>
        <v>112.5</v>
      </c>
    </row>
    <row r="103" spans="1:15" x14ac:dyDescent="0.25">
      <c r="A103" s="101" t="str">
        <f>'Data Vlaue (Cr)'!C98</f>
        <v>INDUSINDBK</v>
      </c>
      <c r="B103" s="50">
        <f>VLOOKUP($A103,'Data Vlaue (Cr)'!$C:$FB,8)</f>
        <v>946.75</v>
      </c>
      <c r="C103" s="50">
        <f>VLOOKUP($A103,'Data Vlaue (Cr)'!$C:$FB,11)*100</f>
        <v>3.9600000000000004</v>
      </c>
      <c r="D103" s="50">
        <f>VLOOKUP($A103,'Data Vlaue (Cr)'!$C:$FB,143)</f>
        <v>2118.7399999999998</v>
      </c>
      <c r="E103" s="50">
        <f>VLOOKUP($A103,'Data Vlaue (Cr)'!$C:$FB,144)</f>
        <v>1364.41</v>
      </c>
      <c r="F103" s="50">
        <f>VLOOKUP($A103,'Data Vlaue (Cr)'!$C:$FB,146)*100</f>
        <v>55.289999999999992</v>
      </c>
      <c r="G103" s="49">
        <f>VLOOKUP($A103,'Data Vlaue (Cr)'!$C:$FB,43)</f>
        <v>443</v>
      </c>
      <c r="H103" s="49">
        <f>VLOOKUP($A103,'Data Vlaue (Cr)'!$C:$FB,44)</f>
        <v>277</v>
      </c>
      <c r="I103" s="49">
        <f>VLOOKUP($A103,'Data Vlaue (Cr)'!$C:$FB,46)*100</f>
        <v>60.199999999999996</v>
      </c>
      <c r="J103" s="51">
        <f>VLOOKUP($A103,'Data Vlaue (Cr)'!$C:$FB,59)</f>
        <v>928</v>
      </c>
      <c r="K103" s="51">
        <f>VLOOKUP($A103,'Data Vlaue (Cr)'!$C:$FB,60)</f>
        <v>665</v>
      </c>
      <c r="L103" s="51">
        <f>VLOOKUP($A103,'Data Vlaue (Cr)'!$C:$FB,62)*100</f>
        <v>39.479999999999997</v>
      </c>
      <c r="M103" s="51">
        <f>VLOOKUP($A103,'Data Vlaue (Cr)'!$C:$FB,63)</f>
        <v>752</v>
      </c>
      <c r="N103" s="51">
        <f>VLOOKUP($A103,'Data Vlaue (Cr)'!$C:$FB,64)</f>
        <v>448</v>
      </c>
      <c r="O103" s="51">
        <f>VLOOKUP($A103,'Data Vlaue (Cr)'!$C:$FB,66)*100</f>
        <v>67.989999999999995</v>
      </c>
    </row>
    <row r="104" spans="1:15" x14ac:dyDescent="0.25">
      <c r="A104" s="101" t="str">
        <f>'Data Vlaue (Cr)'!C99</f>
        <v>INDUSTOWER</v>
      </c>
      <c r="B104" s="50">
        <f>VLOOKUP($A104,'Data Vlaue (Cr)'!$C:$FB,8)</f>
        <v>408.3</v>
      </c>
      <c r="C104" s="50">
        <f>VLOOKUP($A104,'Data Vlaue (Cr)'!$C:$FB,11)*100</f>
        <v>1.39</v>
      </c>
      <c r="D104" s="50">
        <f>VLOOKUP($A104,'Data Vlaue (Cr)'!$C:$FB,143)</f>
        <v>2312.69</v>
      </c>
      <c r="E104" s="50">
        <f>VLOOKUP($A104,'Data Vlaue (Cr)'!$C:$FB,144)</f>
        <v>2405.14</v>
      </c>
      <c r="F104" s="50">
        <f>VLOOKUP($A104,'Data Vlaue (Cr)'!$C:$FB,146)*100</f>
        <v>-3.84</v>
      </c>
      <c r="G104" s="49">
        <f>VLOOKUP($A104,'Data Vlaue (Cr)'!$C:$FB,43)</f>
        <v>469</v>
      </c>
      <c r="H104" s="49">
        <f>VLOOKUP($A104,'Data Vlaue (Cr)'!$C:$FB,44)</f>
        <v>380</v>
      </c>
      <c r="I104" s="49">
        <f>VLOOKUP($A104,'Data Vlaue (Cr)'!$C:$FB,46)*100</f>
        <v>23.400000000000002</v>
      </c>
      <c r="J104" s="51">
        <f>VLOOKUP($A104,'Data Vlaue (Cr)'!$C:$FB,59)</f>
        <v>1337</v>
      </c>
      <c r="K104" s="51">
        <f>VLOOKUP($A104,'Data Vlaue (Cr)'!$C:$FB,60)</f>
        <v>1483</v>
      </c>
      <c r="L104" s="51">
        <f>VLOOKUP($A104,'Data Vlaue (Cr)'!$C:$FB,62)*100</f>
        <v>-9.82</v>
      </c>
      <c r="M104" s="51">
        <f>VLOOKUP($A104,'Data Vlaue (Cr)'!$C:$FB,63)</f>
        <v>451</v>
      </c>
      <c r="N104" s="51">
        <f>VLOOKUP($A104,'Data Vlaue (Cr)'!$C:$FB,64)</f>
        <v>492</v>
      </c>
      <c r="O104" s="51">
        <f>VLOOKUP($A104,'Data Vlaue (Cr)'!$C:$FB,66)*100</f>
        <v>-8.39</v>
      </c>
    </row>
    <row r="105" spans="1:15" x14ac:dyDescent="0.25">
      <c r="A105" s="101" t="str">
        <f>'Data Vlaue (Cr)'!C100</f>
        <v>INFY</v>
      </c>
      <c r="B105" s="50">
        <f>VLOOKUP($A105,'Data Vlaue (Cr)'!$C:$FB,8)</f>
        <v>1167.2</v>
      </c>
      <c r="C105" s="50">
        <f>VLOOKUP($A105,'Data Vlaue (Cr)'!$C:$FB,11)*100</f>
        <v>-0.92999999999999994</v>
      </c>
      <c r="D105" s="50">
        <f>VLOOKUP($A105,'Data Vlaue (Cr)'!$C:$FB,143)</f>
        <v>7146.4</v>
      </c>
      <c r="E105" s="50">
        <f>VLOOKUP($A105,'Data Vlaue (Cr)'!$C:$FB,144)</f>
        <v>4043.84</v>
      </c>
      <c r="F105" s="50">
        <f>VLOOKUP($A105,'Data Vlaue (Cr)'!$C:$FB,146)*100</f>
        <v>76.72</v>
      </c>
      <c r="G105" s="49">
        <f>VLOOKUP($A105,'Data Vlaue (Cr)'!$C:$FB,43)</f>
        <v>1282</v>
      </c>
      <c r="H105" s="49">
        <f>VLOOKUP($A105,'Data Vlaue (Cr)'!$C:$FB,44)</f>
        <v>701</v>
      </c>
      <c r="I105" s="49">
        <f>VLOOKUP($A105,'Data Vlaue (Cr)'!$C:$FB,46)*100</f>
        <v>82.899999999999991</v>
      </c>
      <c r="J105" s="51">
        <f>VLOOKUP($A105,'Data Vlaue (Cr)'!$C:$FB,59)</f>
        <v>3731</v>
      </c>
      <c r="K105" s="51">
        <f>VLOOKUP($A105,'Data Vlaue (Cr)'!$C:$FB,60)</f>
        <v>2130</v>
      </c>
      <c r="L105" s="51">
        <f>VLOOKUP($A105,'Data Vlaue (Cr)'!$C:$FB,62)*100</f>
        <v>75.19</v>
      </c>
      <c r="M105" s="51">
        <f>VLOOKUP($A105,'Data Vlaue (Cr)'!$C:$FB,63)</f>
        <v>1901</v>
      </c>
      <c r="N105" s="51">
        <f>VLOOKUP($A105,'Data Vlaue (Cr)'!$C:$FB,64)</f>
        <v>1064</v>
      </c>
      <c r="O105" s="51">
        <f>VLOOKUP($A105,'Data Vlaue (Cr)'!$C:$FB,66)*100</f>
        <v>78.710000000000008</v>
      </c>
    </row>
    <row r="106" spans="1:15" x14ac:dyDescent="0.25">
      <c r="A106" s="101" t="str">
        <f>'Data Vlaue (Cr)'!C101</f>
        <v>INOXWIND</v>
      </c>
      <c r="B106" s="50">
        <f>VLOOKUP($A106,'Data Vlaue (Cr)'!$C:$FB,8)</f>
        <v>107.11</v>
      </c>
      <c r="C106" s="50">
        <f>VLOOKUP($A106,'Data Vlaue (Cr)'!$C:$FB,11)*100</f>
        <v>2.5299999999999998</v>
      </c>
      <c r="D106" s="50">
        <f>VLOOKUP($A106,'Data Vlaue (Cr)'!$C:$FB,143)</f>
        <v>732.7</v>
      </c>
      <c r="E106" s="50">
        <f>VLOOKUP($A106,'Data Vlaue (Cr)'!$C:$FB,144)</f>
        <v>932.62</v>
      </c>
      <c r="F106" s="50">
        <f>VLOOKUP($A106,'Data Vlaue (Cr)'!$C:$FB,146)*100</f>
        <v>-21.44</v>
      </c>
      <c r="G106" s="49">
        <f>VLOOKUP($A106,'Data Vlaue (Cr)'!$C:$FB,43)</f>
        <v>183</v>
      </c>
      <c r="H106" s="49">
        <f>VLOOKUP($A106,'Data Vlaue (Cr)'!$C:$FB,44)</f>
        <v>242</v>
      </c>
      <c r="I106" s="49">
        <f>VLOOKUP($A106,'Data Vlaue (Cr)'!$C:$FB,46)*100</f>
        <v>-24.4</v>
      </c>
      <c r="J106" s="51">
        <f>VLOOKUP($A106,'Data Vlaue (Cr)'!$C:$FB,59)</f>
        <v>434</v>
      </c>
      <c r="K106" s="51">
        <f>VLOOKUP($A106,'Data Vlaue (Cr)'!$C:$FB,60)</f>
        <v>541</v>
      </c>
      <c r="L106" s="51">
        <f>VLOOKUP($A106,'Data Vlaue (Cr)'!$C:$FB,62)*100</f>
        <v>-19.900000000000002</v>
      </c>
      <c r="M106" s="51">
        <f>VLOOKUP($A106,'Data Vlaue (Cr)'!$C:$FB,63)</f>
        <v>96</v>
      </c>
      <c r="N106" s="51">
        <f>VLOOKUP($A106,'Data Vlaue (Cr)'!$C:$FB,64)</f>
        <v>135</v>
      </c>
      <c r="O106" s="51">
        <f>VLOOKUP($A106,'Data Vlaue (Cr)'!$C:$FB,66)*100</f>
        <v>-28.59</v>
      </c>
    </row>
    <row r="107" spans="1:15" x14ac:dyDescent="0.25">
      <c r="A107" s="101" t="str">
        <f>'Data Vlaue (Cr)'!C102</f>
        <v>IOC</v>
      </c>
      <c r="B107" s="50">
        <f>VLOOKUP($A107,'Data Vlaue (Cr)'!$C:$FB,8)</f>
        <v>148.21</v>
      </c>
      <c r="C107" s="50">
        <f>VLOOKUP($A107,'Data Vlaue (Cr)'!$C:$FB,11)*100</f>
        <v>4.2700000000000005</v>
      </c>
      <c r="D107" s="50">
        <f>VLOOKUP($A107,'Data Vlaue (Cr)'!$C:$FB,143)</f>
        <v>2914.16</v>
      </c>
      <c r="E107" s="50">
        <f>VLOOKUP($A107,'Data Vlaue (Cr)'!$C:$FB,144)</f>
        <v>669.49</v>
      </c>
      <c r="F107" s="50">
        <f>VLOOKUP($A107,'Data Vlaue (Cr)'!$C:$FB,146)*100</f>
        <v>335.28</v>
      </c>
      <c r="G107" s="49">
        <f>VLOOKUP($A107,'Data Vlaue (Cr)'!$C:$FB,43)</f>
        <v>442</v>
      </c>
      <c r="H107" s="49">
        <f>VLOOKUP($A107,'Data Vlaue (Cr)'!$C:$FB,44)</f>
        <v>99</v>
      </c>
      <c r="I107" s="49">
        <f>VLOOKUP($A107,'Data Vlaue (Cr)'!$C:$FB,46)*100</f>
        <v>345.6</v>
      </c>
      <c r="J107" s="51">
        <f>VLOOKUP($A107,'Data Vlaue (Cr)'!$C:$FB,59)</f>
        <v>1736</v>
      </c>
      <c r="K107" s="51">
        <f>VLOOKUP($A107,'Data Vlaue (Cr)'!$C:$FB,60)</f>
        <v>360</v>
      </c>
      <c r="L107" s="51">
        <f>VLOOKUP($A107,'Data Vlaue (Cr)'!$C:$FB,62)*100</f>
        <v>381.84999999999997</v>
      </c>
      <c r="M107" s="51">
        <f>VLOOKUP($A107,'Data Vlaue (Cr)'!$C:$FB,63)</f>
        <v>680</v>
      </c>
      <c r="N107" s="51">
        <f>VLOOKUP($A107,'Data Vlaue (Cr)'!$C:$FB,64)</f>
        <v>216</v>
      </c>
      <c r="O107" s="51">
        <f>VLOOKUP($A107,'Data Vlaue (Cr)'!$C:$FB,66)*100</f>
        <v>214.85</v>
      </c>
    </row>
    <row r="108" spans="1:15" x14ac:dyDescent="0.25">
      <c r="A108" s="101" t="str">
        <f>'Data Vlaue (Cr)'!C103</f>
        <v>IREDA</v>
      </c>
      <c r="B108" s="50">
        <f>VLOOKUP($A108,'Data Vlaue (Cr)'!$C:$FB,8)</f>
        <v>136.41</v>
      </c>
      <c r="C108" s="50">
        <f>VLOOKUP($A108,'Data Vlaue (Cr)'!$C:$FB,11)*100</f>
        <v>0.84</v>
      </c>
      <c r="D108" s="50">
        <f>VLOOKUP($A108,'Data Vlaue (Cr)'!$C:$FB,143)</f>
        <v>259.70999999999998</v>
      </c>
      <c r="E108" s="50">
        <f>VLOOKUP($A108,'Data Vlaue (Cr)'!$C:$FB,144)</f>
        <v>201.77</v>
      </c>
      <c r="F108" s="50">
        <f>VLOOKUP($A108,'Data Vlaue (Cr)'!$C:$FB,146)*100</f>
        <v>28.720000000000002</v>
      </c>
      <c r="G108" s="49">
        <f>VLOOKUP($A108,'Data Vlaue (Cr)'!$C:$FB,43)</f>
        <v>87</v>
      </c>
      <c r="H108" s="49">
        <f>VLOOKUP($A108,'Data Vlaue (Cr)'!$C:$FB,44)</f>
        <v>55</v>
      </c>
      <c r="I108" s="49">
        <f>VLOOKUP($A108,'Data Vlaue (Cr)'!$C:$FB,46)*100</f>
        <v>59.260000000000005</v>
      </c>
      <c r="J108" s="51">
        <f>VLOOKUP($A108,'Data Vlaue (Cr)'!$C:$FB,59)</f>
        <v>119</v>
      </c>
      <c r="K108" s="51">
        <f>VLOOKUP($A108,'Data Vlaue (Cr)'!$C:$FB,60)</f>
        <v>101</v>
      </c>
      <c r="L108" s="51">
        <f>VLOOKUP($A108,'Data Vlaue (Cr)'!$C:$FB,62)*100</f>
        <v>17.940000000000001</v>
      </c>
      <c r="M108" s="51">
        <f>VLOOKUP($A108,'Data Vlaue (Cr)'!$C:$FB,63)</f>
        <v>47</v>
      </c>
      <c r="N108" s="51">
        <f>VLOOKUP($A108,'Data Vlaue (Cr)'!$C:$FB,64)</f>
        <v>40</v>
      </c>
      <c r="O108" s="51">
        <f>VLOOKUP($A108,'Data Vlaue (Cr)'!$C:$FB,66)*100</f>
        <v>16.71</v>
      </c>
    </row>
    <row r="109" spans="1:15" x14ac:dyDescent="0.25">
      <c r="A109" s="101" t="str">
        <f>'Data Vlaue (Cr)'!C104</f>
        <v>IRFC</v>
      </c>
      <c r="B109" s="50">
        <f>VLOOKUP($A109,'Data Vlaue (Cr)'!$C:$FB,8)</f>
        <v>106.74</v>
      </c>
      <c r="C109" s="50">
        <f>VLOOKUP($A109,'Data Vlaue (Cr)'!$C:$FB,11)*100</f>
        <v>0.86999999999999988</v>
      </c>
      <c r="D109" s="50">
        <f>VLOOKUP($A109,'Data Vlaue (Cr)'!$C:$FB,143)</f>
        <v>626.77</v>
      </c>
      <c r="E109" s="50">
        <f>VLOOKUP($A109,'Data Vlaue (Cr)'!$C:$FB,144)</f>
        <v>1108.08</v>
      </c>
      <c r="F109" s="50">
        <f>VLOOKUP($A109,'Data Vlaue (Cr)'!$C:$FB,146)*100</f>
        <v>-43.44</v>
      </c>
      <c r="G109" s="49">
        <f>VLOOKUP($A109,'Data Vlaue (Cr)'!$C:$FB,43)</f>
        <v>85</v>
      </c>
      <c r="H109" s="49">
        <f>VLOOKUP($A109,'Data Vlaue (Cr)'!$C:$FB,44)</f>
        <v>153</v>
      </c>
      <c r="I109" s="49">
        <f>VLOOKUP($A109,'Data Vlaue (Cr)'!$C:$FB,46)*100</f>
        <v>-44.4</v>
      </c>
      <c r="J109" s="51">
        <f>VLOOKUP($A109,'Data Vlaue (Cr)'!$C:$FB,59)</f>
        <v>398</v>
      </c>
      <c r="K109" s="51">
        <f>VLOOKUP($A109,'Data Vlaue (Cr)'!$C:$FB,60)</f>
        <v>759</v>
      </c>
      <c r="L109" s="51">
        <f>VLOOKUP($A109,'Data Vlaue (Cr)'!$C:$FB,62)*100</f>
        <v>-47.599999999999994</v>
      </c>
      <c r="M109" s="51">
        <f>VLOOKUP($A109,'Data Vlaue (Cr)'!$C:$FB,63)</f>
        <v>129</v>
      </c>
      <c r="N109" s="51">
        <f>VLOOKUP($A109,'Data Vlaue (Cr)'!$C:$FB,64)</f>
        <v>168</v>
      </c>
      <c r="O109" s="51">
        <f>VLOOKUP($A109,'Data Vlaue (Cr)'!$C:$FB,66)*100</f>
        <v>-23.419999999999998</v>
      </c>
    </row>
    <row r="110" spans="1:15" x14ac:dyDescent="0.25">
      <c r="A110" s="101" t="str">
        <f>'Data Vlaue (Cr)'!C105</f>
        <v>ITC</v>
      </c>
      <c r="B110" s="50">
        <f>VLOOKUP($A110,'Data Vlaue (Cr)'!$C:$FB,8)</f>
        <v>310.7</v>
      </c>
      <c r="C110" s="50">
        <f>VLOOKUP($A110,'Data Vlaue (Cr)'!$C:$FB,11)*100</f>
        <v>-0.24</v>
      </c>
      <c r="D110" s="50">
        <f>VLOOKUP($A110,'Data Vlaue (Cr)'!$C:$FB,143)</f>
        <v>4388.66</v>
      </c>
      <c r="E110" s="50">
        <f>VLOOKUP($A110,'Data Vlaue (Cr)'!$C:$FB,144)</f>
        <v>5109.26</v>
      </c>
      <c r="F110" s="50">
        <f>VLOOKUP($A110,'Data Vlaue (Cr)'!$C:$FB,146)*100</f>
        <v>-14.099999999999998</v>
      </c>
      <c r="G110" s="49">
        <f>VLOOKUP($A110,'Data Vlaue (Cr)'!$C:$FB,43)</f>
        <v>446</v>
      </c>
      <c r="H110" s="49">
        <f>VLOOKUP($A110,'Data Vlaue (Cr)'!$C:$FB,44)</f>
        <v>426</v>
      </c>
      <c r="I110" s="49">
        <f>VLOOKUP($A110,'Data Vlaue (Cr)'!$C:$FB,46)*100</f>
        <v>4.71</v>
      </c>
      <c r="J110" s="51">
        <f>VLOOKUP($A110,'Data Vlaue (Cr)'!$C:$FB,59)</f>
        <v>2930</v>
      </c>
      <c r="K110" s="51">
        <f>VLOOKUP($A110,'Data Vlaue (Cr)'!$C:$FB,60)</f>
        <v>3410</v>
      </c>
      <c r="L110" s="51">
        <f>VLOOKUP($A110,'Data Vlaue (Cr)'!$C:$FB,62)*100</f>
        <v>-14.09</v>
      </c>
      <c r="M110" s="51">
        <f>VLOOKUP($A110,'Data Vlaue (Cr)'!$C:$FB,63)</f>
        <v>903</v>
      </c>
      <c r="N110" s="51">
        <f>VLOOKUP($A110,'Data Vlaue (Cr)'!$C:$FB,64)</f>
        <v>1122</v>
      </c>
      <c r="O110" s="51">
        <f>VLOOKUP($A110,'Data Vlaue (Cr)'!$C:$FB,66)*100</f>
        <v>-19.48</v>
      </c>
    </row>
    <row r="111" spans="1:15" x14ac:dyDescent="0.25">
      <c r="A111" s="101" t="str">
        <f>'Data Vlaue (Cr)'!C106</f>
        <v>JINDALSTEL</v>
      </c>
      <c r="B111" s="50">
        <f>VLOOKUP($A111,'Data Vlaue (Cr)'!$C:$FB,8)</f>
        <v>1264.3</v>
      </c>
      <c r="C111" s="50">
        <f>VLOOKUP($A111,'Data Vlaue (Cr)'!$C:$FB,11)*100</f>
        <v>0.25</v>
      </c>
      <c r="D111" s="50">
        <f>VLOOKUP($A111,'Data Vlaue (Cr)'!$C:$FB,143)</f>
        <v>1342.35</v>
      </c>
      <c r="E111" s="50">
        <f>VLOOKUP($A111,'Data Vlaue (Cr)'!$C:$FB,144)</f>
        <v>2586.96</v>
      </c>
      <c r="F111" s="50">
        <f>VLOOKUP($A111,'Data Vlaue (Cr)'!$C:$FB,146)*100</f>
        <v>-48.11</v>
      </c>
      <c r="G111" s="49">
        <f>VLOOKUP($A111,'Data Vlaue (Cr)'!$C:$FB,43)</f>
        <v>229</v>
      </c>
      <c r="H111" s="49">
        <f>VLOOKUP($A111,'Data Vlaue (Cr)'!$C:$FB,44)</f>
        <v>301</v>
      </c>
      <c r="I111" s="49">
        <f>VLOOKUP($A111,'Data Vlaue (Cr)'!$C:$FB,46)*100</f>
        <v>-23.93</v>
      </c>
      <c r="J111" s="51">
        <f>VLOOKUP($A111,'Data Vlaue (Cr)'!$C:$FB,59)</f>
        <v>708</v>
      </c>
      <c r="K111" s="51">
        <f>VLOOKUP($A111,'Data Vlaue (Cr)'!$C:$FB,60)</f>
        <v>1585</v>
      </c>
      <c r="L111" s="51">
        <f>VLOOKUP($A111,'Data Vlaue (Cr)'!$C:$FB,62)*100</f>
        <v>-55.32</v>
      </c>
      <c r="M111" s="51">
        <f>VLOOKUP($A111,'Data Vlaue (Cr)'!$C:$FB,63)</f>
        <v>381</v>
      </c>
      <c r="N111" s="51">
        <f>VLOOKUP($A111,'Data Vlaue (Cr)'!$C:$FB,64)</f>
        <v>633</v>
      </c>
      <c r="O111" s="51">
        <f>VLOOKUP($A111,'Data Vlaue (Cr)'!$C:$FB,66)*100</f>
        <v>-39.900000000000006</v>
      </c>
    </row>
    <row r="112" spans="1:15" x14ac:dyDescent="0.25">
      <c r="A112" s="101" t="str">
        <f>'Data Vlaue (Cr)'!C107</f>
        <v>JIOFIN</v>
      </c>
      <c r="B112" s="50">
        <f>VLOOKUP($A112,'Data Vlaue (Cr)'!$C:$FB,8)</f>
        <v>252.44</v>
      </c>
      <c r="C112" s="50">
        <f>VLOOKUP($A112,'Data Vlaue (Cr)'!$C:$FB,11)*100</f>
        <v>1.6099999999999999</v>
      </c>
      <c r="D112" s="50">
        <f>VLOOKUP($A112,'Data Vlaue (Cr)'!$C:$FB,143)</f>
        <v>2600.69</v>
      </c>
      <c r="E112" s="50">
        <f>VLOOKUP($A112,'Data Vlaue (Cr)'!$C:$FB,144)</f>
        <v>2093.54</v>
      </c>
      <c r="F112" s="50">
        <f>VLOOKUP($A112,'Data Vlaue (Cr)'!$C:$FB,146)*100</f>
        <v>24.22</v>
      </c>
      <c r="G112" s="49">
        <f>VLOOKUP($A112,'Data Vlaue (Cr)'!$C:$FB,43)</f>
        <v>556</v>
      </c>
      <c r="H112" s="49">
        <f>VLOOKUP($A112,'Data Vlaue (Cr)'!$C:$FB,44)</f>
        <v>475</v>
      </c>
      <c r="I112" s="49">
        <f>VLOOKUP($A112,'Data Vlaue (Cr)'!$C:$FB,46)*100</f>
        <v>16.98</v>
      </c>
      <c r="J112" s="51">
        <f>VLOOKUP($A112,'Data Vlaue (Cr)'!$C:$FB,59)</f>
        <v>1373</v>
      </c>
      <c r="K112" s="51">
        <f>VLOOKUP($A112,'Data Vlaue (Cr)'!$C:$FB,60)</f>
        <v>1109</v>
      </c>
      <c r="L112" s="51">
        <f>VLOOKUP($A112,'Data Vlaue (Cr)'!$C:$FB,62)*100</f>
        <v>23.72</v>
      </c>
      <c r="M112" s="51">
        <f>VLOOKUP($A112,'Data Vlaue (Cr)'!$C:$FB,63)</f>
        <v>616</v>
      </c>
      <c r="N112" s="51">
        <f>VLOOKUP($A112,'Data Vlaue (Cr)'!$C:$FB,64)</f>
        <v>469</v>
      </c>
      <c r="O112" s="51">
        <f>VLOOKUP($A112,'Data Vlaue (Cr)'!$C:$FB,66)*100</f>
        <v>31.130000000000003</v>
      </c>
    </row>
    <row r="113" spans="1:15" x14ac:dyDescent="0.25">
      <c r="A113" s="101" t="str">
        <f>'Data Vlaue (Cr)'!C108</f>
        <v>JSWENERGY</v>
      </c>
      <c r="B113" s="50">
        <f>VLOOKUP($A113,'Data Vlaue (Cr)'!$C:$FB,8)</f>
        <v>567.9</v>
      </c>
      <c r="C113" s="50">
        <f>VLOOKUP($A113,'Data Vlaue (Cr)'!$C:$FB,11)*100</f>
        <v>1.06</v>
      </c>
      <c r="D113" s="50">
        <f>VLOOKUP($A113,'Data Vlaue (Cr)'!$C:$FB,143)</f>
        <v>517.64</v>
      </c>
      <c r="E113" s="50">
        <f>VLOOKUP($A113,'Data Vlaue (Cr)'!$C:$FB,144)</f>
        <v>397.5</v>
      </c>
      <c r="F113" s="50">
        <f>VLOOKUP($A113,'Data Vlaue (Cr)'!$C:$FB,146)*100</f>
        <v>30.220000000000002</v>
      </c>
      <c r="G113" s="49">
        <f>VLOOKUP($A113,'Data Vlaue (Cr)'!$C:$FB,43)</f>
        <v>155</v>
      </c>
      <c r="H113" s="49">
        <f>VLOOKUP($A113,'Data Vlaue (Cr)'!$C:$FB,44)</f>
        <v>107</v>
      </c>
      <c r="I113" s="49">
        <f>VLOOKUP($A113,'Data Vlaue (Cr)'!$C:$FB,46)*100</f>
        <v>45.76</v>
      </c>
      <c r="J113" s="51">
        <f>VLOOKUP($A113,'Data Vlaue (Cr)'!$C:$FB,59)</f>
        <v>246</v>
      </c>
      <c r="K113" s="51">
        <f>VLOOKUP($A113,'Data Vlaue (Cr)'!$C:$FB,60)</f>
        <v>214</v>
      </c>
      <c r="L113" s="51">
        <f>VLOOKUP($A113,'Data Vlaue (Cr)'!$C:$FB,62)*100</f>
        <v>14.979999999999999</v>
      </c>
      <c r="M113" s="51">
        <f>VLOOKUP($A113,'Data Vlaue (Cr)'!$C:$FB,63)</f>
        <v>102</v>
      </c>
      <c r="N113" s="51">
        <f>VLOOKUP($A113,'Data Vlaue (Cr)'!$C:$FB,64)</f>
        <v>67</v>
      </c>
      <c r="O113" s="51">
        <f>VLOOKUP($A113,'Data Vlaue (Cr)'!$C:$FB,66)*100</f>
        <v>52.32</v>
      </c>
    </row>
    <row r="114" spans="1:15" x14ac:dyDescent="0.25">
      <c r="A114" s="101" t="str">
        <f>'Data Vlaue (Cr)'!C109</f>
        <v>JSWSTEEL</v>
      </c>
      <c r="B114" s="50">
        <f>VLOOKUP($A114,'Data Vlaue (Cr)'!$C:$FB,8)</f>
        <v>1273.3</v>
      </c>
      <c r="C114" s="50">
        <f>VLOOKUP($A114,'Data Vlaue (Cr)'!$C:$FB,11)*100</f>
        <v>1.67</v>
      </c>
      <c r="D114" s="50">
        <f>VLOOKUP($A114,'Data Vlaue (Cr)'!$C:$FB,143)</f>
        <v>1008.93</v>
      </c>
      <c r="E114" s="50">
        <f>VLOOKUP($A114,'Data Vlaue (Cr)'!$C:$FB,144)</f>
        <v>994.84</v>
      </c>
      <c r="F114" s="50">
        <f>VLOOKUP($A114,'Data Vlaue (Cr)'!$C:$FB,146)*100</f>
        <v>1.4200000000000002</v>
      </c>
      <c r="G114" s="49">
        <f>VLOOKUP($A114,'Data Vlaue (Cr)'!$C:$FB,43)</f>
        <v>249</v>
      </c>
      <c r="H114" s="49">
        <f>VLOOKUP($A114,'Data Vlaue (Cr)'!$C:$FB,44)</f>
        <v>216</v>
      </c>
      <c r="I114" s="49">
        <f>VLOOKUP($A114,'Data Vlaue (Cr)'!$C:$FB,46)*100</f>
        <v>15.1</v>
      </c>
      <c r="J114" s="51">
        <f>VLOOKUP($A114,'Data Vlaue (Cr)'!$C:$FB,59)</f>
        <v>477</v>
      </c>
      <c r="K114" s="51">
        <f>VLOOKUP($A114,'Data Vlaue (Cr)'!$C:$FB,60)</f>
        <v>410</v>
      </c>
      <c r="L114" s="51">
        <f>VLOOKUP($A114,'Data Vlaue (Cr)'!$C:$FB,62)*100</f>
        <v>16.29</v>
      </c>
      <c r="M114" s="51">
        <f>VLOOKUP($A114,'Data Vlaue (Cr)'!$C:$FB,63)</f>
        <v>270</v>
      </c>
      <c r="N114" s="51">
        <f>VLOOKUP($A114,'Data Vlaue (Cr)'!$C:$FB,64)</f>
        <v>357</v>
      </c>
      <c r="O114" s="51">
        <f>VLOOKUP($A114,'Data Vlaue (Cr)'!$C:$FB,66)*100</f>
        <v>-24.490000000000002</v>
      </c>
    </row>
    <row r="115" spans="1:15" x14ac:dyDescent="0.25">
      <c r="A115" s="101" t="str">
        <f>'Data Vlaue (Cr)'!C110</f>
        <v>JUBLFOOD</v>
      </c>
      <c r="B115" s="50">
        <f>VLOOKUP($A115,'Data Vlaue (Cr)'!$C:$FB,8)</f>
        <v>471.25</v>
      </c>
      <c r="C115" s="50">
        <f>VLOOKUP($A115,'Data Vlaue (Cr)'!$C:$FB,11)*100</f>
        <v>1.27</v>
      </c>
      <c r="D115" s="50">
        <f>VLOOKUP($A115,'Data Vlaue (Cr)'!$C:$FB,143)</f>
        <v>712.79</v>
      </c>
      <c r="E115" s="50">
        <f>VLOOKUP($A115,'Data Vlaue (Cr)'!$C:$FB,144)</f>
        <v>390.97</v>
      </c>
      <c r="F115" s="50">
        <f>VLOOKUP($A115,'Data Vlaue (Cr)'!$C:$FB,146)*100</f>
        <v>82.31</v>
      </c>
      <c r="G115" s="49">
        <f>VLOOKUP($A115,'Data Vlaue (Cr)'!$C:$FB,43)</f>
        <v>233</v>
      </c>
      <c r="H115" s="49">
        <f>VLOOKUP($A115,'Data Vlaue (Cr)'!$C:$FB,44)</f>
        <v>95</v>
      </c>
      <c r="I115" s="49">
        <f>VLOOKUP($A115,'Data Vlaue (Cr)'!$C:$FB,46)*100</f>
        <v>146.25</v>
      </c>
      <c r="J115" s="51">
        <f>VLOOKUP($A115,'Data Vlaue (Cr)'!$C:$FB,59)</f>
        <v>363</v>
      </c>
      <c r="K115" s="51">
        <f>VLOOKUP($A115,'Data Vlaue (Cr)'!$C:$FB,60)</f>
        <v>211</v>
      </c>
      <c r="L115" s="51">
        <f>VLOOKUP($A115,'Data Vlaue (Cr)'!$C:$FB,62)*100</f>
        <v>72.3</v>
      </c>
      <c r="M115" s="51">
        <f>VLOOKUP($A115,'Data Vlaue (Cr)'!$C:$FB,63)</f>
        <v>104</v>
      </c>
      <c r="N115" s="51">
        <f>VLOOKUP($A115,'Data Vlaue (Cr)'!$C:$FB,64)</f>
        <v>74</v>
      </c>
      <c r="O115" s="51">
        <f>VLOOKUP($A115,'Data Vlaue (Cr)'!$C:$FB,66)*100</f>
        <v>40.21</v>
      </c>
    </row>
    <row r="116" spans="1:15" x14ac:dyDescent="0.25">
      <c r="A116" s="101" t="str">
        <f>'Data Vlaue (Cr)'!C111</f>
        <v>KALYANKJIL</v>
      </c>
      <c r="B116" s="50">
        <f>VLOOKUP($A116,'Data Vlaue (Cr)'!$C:$FB,8)</f>
        <v>415.65</v>
      </c>
      <c r="C116" s="50">
        <f>VLOOKUP($A116,'Data Vlaue (Cr)'!$C:$FB,11)*100</f>
        <v>2.23</v>
      </c>
      <c r="D116" s="50">
        <f>VLOOKUP($A116,'Data Vlaue (Cr)'!$C:$FB,143)</f>
        <v>633.57000000000005</v>
      </c>
      <c r="E116" s="50">
        <f>VLOOKUP($A116,'Data Vlaue (Cr)'!$C:$FB,144)</f>
        <v>355.88</v>
      </c>
      <c r="F116" s="50">
        <f>VLOOKUP($A116,'Data Vlaue (Cr)'!$C:$FB,146)*100</f>
        <v>78.03</v>
      </c>
      <c r="G116" s="49">
        <f>VLOOKUP($A116,'Data Vlaue (Cr)'!$C:$FB,43)</f>
        <v>107</v>
      </c>
      <c r="H116" s="49">
        <f>VLOOKUP($A116,'Data Vlaue (Cr)'!$C:$FB,44)</f>
        <v>75</v>
      </c>
      <c r="I116" s="49">
        <f>VLOOKUP($A116,'Data Vlaue (Cr)'!$C:$FB,46)*100</f>
        <v>43.55</v>
      </c>
      <c r="J116" s="51">
        <f>VLOOKUP($A116,'Data Vlaue (Cr)'!$C:$FB,59)</f>
        <v>376</v>
      </c>
      <c r="K116" s="51">
        <f>VLOOKUP($A116,'Data Vlaue (Cr)'!$C:$FB,60)</f>
        <v>188</v>
      </c>
      <c r="L116" s="51">
        <f>VLOOKUP($A116,'Data Vlaue (Cr)'!$C:$FB,62)*100</f>
        <v>100.25999999999999</v>
      </c>
      <c r="M116" s="51">
        <f>VLOOKUP($A116,'Data Vlaue (Cr)'!$C:$FB,63)</f>
        <v>127</v>
      </c>
      <c r="N116" s="51">
        <f>VLOOKUP($A116,'Data Vlaue (Cr)'!$C:$FB,64)</f>
        <v>84</v>
      </c>
      <c r="O116" s="51">
        <f>VLOOKUP($A116,'Data Vlaue (Cr)'!$C:$FB,66)*100</f>
        <v>50.260000000000005</v>
      </c>
    </row>
    <row r="117" spans="1:15" x14ac:dyDescent="0.25">
      <c r="A117" s="101" t="str">
        <f>'Data Vlaue (Cr)'!C112</f>
        <v>KAYNES</v>
      </c>
      <c r="B117" s="50">
        <f>VLOOKUP($A117,'Data Vlaue (Cr)'!$C:$FB,8)</f>
        <v>4305.5</v>
      </c>
      <c r="C117" s="50">
        <f>VLOOKUP($A117,'Data Vlaue (Cr)'!$C:$FB,11)*100</f>
        <v>3.2300000000000004</v>
      </c>
      <c r="D117" s="50">
        <f>VLOOKUP($A117,'Data Vlaue (Cr)'!$C:$FB,143)</f>
        <v>1416.43</v>
      </c>
      <c r="E117" s="50">
        <f>VLOOKUP($A117,'Data Vlaue (Cr)'!$C:$FB,144)</f>
        <v>1276.94</v>
      </c>
      <c r="F117" s="50">
        <f>VLOOKUP($A117,'Data Vlaue (Cr)'!$C:$FB,146)*100</f>
        <v>10.92</v>
      </c>
      <c r="G117" s="49">
        <f>VLOOKUP($A117,'Data Vlaue (Cr)'!$C:$FB,43)</f>
        <v>311</v>
      </c>
      <c r="H117" s="49">
        <f>VLOOKUP($A117,'Data Vlaue (Cr)'!$C:$FB,44)</f>
        <v>253</v>
      </c>
      <c r="I117" s="49">
        <f>VLOOKUP($A117,'Data Vlaue (Cr)'!$C:$FB,46)*100</f>
        <v>22.91</v>
      </c>
      <c r="J117" s="51">
        <f>VLOOKUP($A117,'Data Vlaue (Cr)'!$C:$FB,59)</f>
        <v>778</v>
      </c>
      <c r="K117" s="51">
        <f>VLOOKUP($A117,'Data Vlaue (Cr)'!$C:$FB,60)</f>
        <v>749</v>
      </c>
      <c r="L117" s="51">
        <f>VLOOKUP($A117,'Data Vlaue (Cr)'!$C:$FB,62)*100</f>
        <v>3.85</v>
      </c>
      <c r="M117" s="51">
        <f>VLOOKUP($A117,'Data Vlaue (Cr)'!$C:$FB,63)</f>
        <v>299</v>
      </c>
      <c r="N117" s="51">
        <f>VLOOKUP($A117,'Data Vlaue (Cr)'!$C:$FB,64)</f>
        <v>259</v>
      </c>
      <c r="O117" s="51">
        <f>VLOOKUP($A117,'Data Vlaue (Cr)'!$C:$FB,66)*100</f>
        <v>15.459999999999999</v>
      </c>
    </row>
    <row r="118" spans="1:15" x14ac:dyDescent="0.25">
      <c r="A118" s="101" t="str">
        <f>'Data Vlaue (Cr)'!C113</f>
        <v>KEI</v>
      </c>
      <c r="B118" s="50">
        <f>VLOOKUP($A118,'Data Vlaue (Cr)'!$C:$FB,8)</f>
        <v>5148.6000000000004</v>
      </c>
      <c r="C118" s="50">
        <f>VLOOKUP($A118,'Data Vlaue (Cr)'!$C:$FB,11)*100</f>
        <v>2.6</v>
      </c>
      <c r="D118" s="50">
        <f>VLOOKUP($A118,'Data Vlaue (Cr)'!$C:$FB,143)</f>
        <v>2624.56</v>
      </c>
      <c r="E118" s="50">
        <f>VLOOKUP($A118,'Data Vlaue (Cr)'!$C:$FB,144)</f>
        <v>6976.58</v>
      </c>
      <c r="F118" s="50">
        <f>VLOOKUP($A118,'Data Vlaue (Cr)'!$C:$FB,146)*100</f>
        <v>-62.38</v>
      </c>
      <c r="G118" s="49">
        <f>VLOOKUP($A118,'Data Vlaue (Cr)'!$C:$FB,43)</f>
        <v>357</v>
      </c>
      <c r="H118" s="49">
        <f>VLOOKUP($A118,'Data Vlaue (Cr)'!$C:$FB,44)</f>
        <v>973</v>
      </c>
      <c r="I118" s="49">
        <f>VLOOKUP($A118,'Data Vlaue (Cr)'!$C:$FB,46)*100</f>
        <v>-63.3</v>
      </c>
      <c r="J118" s="51">
        <f>VLOOKUP($A118,'Data Vlaue (Cr)'!$C:$FB,59)</f>
        <v>1540</v>
      </c>
      <c r="K118" s="51">
        <f>VLOOKUP($A118,'Data Vlaue (Cr)'!$C:$FB,60)</f>
        <v>3709</v>
      </c>
      <c r="L118" s="51">
        <f>VLOOKUP($A118,'Data Vlaue (Cr)'!$C:$FB,62)*100</f>
        <v>-58.489999999999995</v>
      </c>
      <c r="M118" s="51">
        <f>VLOOKUP($A118,'Data Vlaue (Cr)'!$C:$FB,63)</f>
        <v>690</v>
      </c>
      <c r="N118" s="51">
        <f>VLOOKUP($A118,'Data Vlaue (Cr)'!$C:$FB,64)</f>
        <v>2441</v>
      </c>
      <c r="O118" s="51">
        <f>VLOOKUP($A118,'Data Vlaue (Cr)'!$C:$FB,66)*100</f>
        <v>-71.740000000000009</v>
      </c>
    </row>
    <row r="119" spans="1:15" x14ac:dyDescent="0.25">
      <c r="A119" s="101" t="str">
        <f>'Data Vlaue (Cr)'!C114</f>
        <v>KFINTECH</v>
      </c>
      <c r="B119" s="50">
        <f>VLOOKUP($A119,'Data Vlaue (Cr)'!$C:$FB,8)</f>
        <v>912.5</v>
      </c>
      <c r="C119" s="50">
        <f>VLOOKUP($A119,'Data Vlaue (Cr)'!$C:$FB,11)*100</f>
        <v>1.7999999999999998</v>
      </c>
      <c r="D119" s="50">
        <f>VLOOKUP($A119,'Data Vlaue (Cr)'!$C:$FB,143)</f>
        <v>708.3</v>
      </c>
      <c r="E119" s="50">
        <f>VLOOKUP($A119,'Data Vlaue (Cr)'!$C:$FB,144)</f>
        <v>1847.56</v>
      </c>
      <c r="F119" s="50">
        <f>VLOOKUP($A119,'Data Vlaue (Cr)'!$C:$FB,146)*100</f>
        <v>-61.660000000000004</v>
      </c>
      <c r="G119" s="49">
        <f>VLOOKUP($A119,'Data Vlaue (Cr)'!$C:$FB,43)</f>
        <v>148</v>
      </c>
      <c r="H119" s="49">
        <f>VLOOKUP($A119,'Data Vlaue (Cr)'!$C:$FB,44)</f>
        <v>295</v>
      </c>
      <c r="I119" s="49">
        <f>VLOOKUP($A119,'Data Vlaue (Cr)'!$C:$FB,46)*100</f>
        <v>-49.919999999999995</v>
      </c>
      <c r="J119" s="51">
        <f>VLOOKUP($A119,'Data Vlaue (Cr)'!$C:$FB,59)</f>
        <v>382</v>
      </c>
      <c r="K119" s="51">
        <f>VLOOKUP($A119,'Data Vlaue (Cr)'!$C:$FB,60)</f>
        <v>1042</v>
      </c>
      <c r="L119" s="51">
        <f>VLOOKUP($A119,'Data Vlaue (Cr)'!$C:$FB,62)*100</f>
        <v>-63.3</v>
      </c>
      <c r="M119" s="51">
        <f>VLOOKUP($A119,'Data Vlaue (Cr)'!$C:$FB,63)</f>
        <v>163</v>
      </c>
      <c r="N119" s="51">
        <f>VLOOKUP($A119,'Data Vlaue (Cr)'!$C:$FB,64)</f>
        <v>496</v>
      </c>
      <c r="O119" s="51">
        <f>VLOOKUP($A119,'Data Vlaue (Cr)'!$C:$FB,66)*100</f>
        <v>-67.09</v>
      </c>
    </row>
    <row r="120" spans="1:15" x14ac:dyDescent="0.25">
      <c r="A120" s="101" t="str">
        <f>'Data Vlaue (Cr)'!C115</f>
        <v>KOTAKBANK</v>
      </c>
      <c r="B120" s="50">
        <f>VLOOKUP($A120,'Data Vlaue (Cr)'!$C:$FB,8)</f>
        <v>376.6</v>
      </c>
      <c r="C120" s="50">
        <f>VLOOKUP($A120,'Data Vlaue (Cr)'!$C:$FB,11)*100</f>
        <v>1.41</v>
      </c>
      <c r="D120" s="50">
        <f>VLOOKUP($A120,'Data Vlaue (Cr)'!$C:$FB,143)</f>
        <v>6297.76</v>
      </c>
      <c r="E120" s="50">
        <f>VLOOKUP($A120,'Data Vlaue (Cr)'!$C:$FB,144)</f>
        <v>3736.01</v>
      </c>
      <c r="F120" s="50">
        <f>VLOOKUP($A120,'Data Vlaue (Cr)'!$C:$FB,146)*100</f>
        <v>68.569999999999993</v>
      </c>
      <c r="G120" s="49">
        <f>VLOOKUP($A120,'Data Vlaue (Cr)'!$C:$FB,43)</f>
        <v>1442</v>
      </c>
      <c r="H120" s="49">
        <f>VLOOKUP($A120,'Data Vlaue (Cr)'!$C:$FB,44)</f>
        <v>786</v>
      </c>
      <c r="I120" s="49">
        <f>VLOOKUP($A120,'Data Vlaue (Cr)'!$C:$FB,46)*100</f>
        <v>83.43</v>
      </c>
      <c r="J120" s="51">
        <f>VLOOKUP($A120,'Data Vlaue (Cr)'!$C:$FB,59)</f>
        <v>3241</v>
      </c>
      <c r="K120" s="51">
        <f>VLOOKUP($A120,'Data Vlaue (Cr)'!$C:$FB,60)</f>
        <v>1967</v>
      </c>
      <c r="L120" s="51">
        <f>VLOOKUP($A120,'Data Vlaue (Cr)'!$C:$FB,62)*100</f>
        <v>64.759999999999991</v>
      </c>
      <c r="M120" s="51">
        <f>VLOOKUP($A120,'Data Vlaue (Cr)'!$C:$FB,63)</f>
        <v>1559</v>
      </c>
      <c r="N120" s="51">
        <f>VLOOKUP($A120,'Data Vlaue (Cr)'!$C:$FB,64)</f>
        <v>960</v>
      </c>
      <c r="O120" s="51">
        <f>VLOOKUP($A120,'Data Vlaue (Cr)'!$C:$FB,66)*100</f>
        <v>62.350000000000009</v>
      </c>
    </row>
    <row r="121" spans="1:15" x14ac:dyDescent="0.25">
      <c r="A121" s="101" t="str">
        <f>'Data Vlaue (Cr)'!C116</f>
        <v>KPITTECH</v>
      </c>
      <c r="B121" s="50">
        <f>VLOOKUP($A121,'Data Vlaue (Cr)'!$C:$FB,8)</f>
        <v>748.6</v>
      </c>
      <c r="C121" s="50">
        <f>VLOOKUP($A121,'Data Vlaue (Cr)'!$C:$FB,11)*100</f>
        <v>-3.09</v>
      </c>
      <c r="D121" s="50">
        <f>VLOOKUP($A121,'Data Vlaue (Cr)'!$C:$FB,143)</f>
        <v>8451.3700000000008</v>
      </c>
      <c r="E121" s="50">
        <f>VLOOKUP($A121,'Data Vlaue (Cr)'!$C:$FB,144)</f>
        <v>414.6</v>
      </c>
      <c r="F121" s="50">
        <f>VLOOKUP($A121,'Data Vlaue (Cr)'!$C:$FB,146)*100</f>
        <v>1938.43</v>
      </c>
      <c r="G121" s="49">
        <f>VLOOKUP($A121,'Data Vlaue (Cr)'!$C:$FB,43)</f>
        <v>1054</v>
      </c>
      <c r="H121" s="49">
        <f>VLOOKUP($A121,'Data Vlaue (Cr)'!$C:$FB,44)</f>
        <v>82</v>
      </c>
      <c r="I121" s="49">
        <f>VLOOKUP($A121,'Data Vlaue (Cr)'!$C:$FB,46)*100</f>
        <v>1182.4000000000001</v>
      </c>
      <c r="J121" s="51">
        <f>VLOOKUP($A121,'Data Vlaue (Cr)'!$C:$FB,59)</f>
        <v>4514</v>
      </c>
      <c r="K121" s="51">
        <f>VLOOKUP($A121,'Data Vlaue (Cr)'!$C:$FB,60)</f>
        <v>220</v>
      </c>
      <c r="L121" s="51">
        <f>VLOOKUP($A121,'Data Vlaue (Cr)'!$C:$FB,62)*100</f>
        <v>1956.0700000000002</v>
      </c>
      <c r="M121" s="51">
        <f>VLOOKUP($A121,'Data Vlaue (Cr)'!$C:$FB,63)</f>
        <v>2502</v>
      </c>
      <c r="N121" s="51">
        <f>VLOOKUP($A121,'Data Vlaue (Cr)'!$C:$FB,64)</f>
        <v>86</v>
      </c>
      <c r="O121" s="51">
        <f>VLOOKUP($A121,'Data Vlaue (Cr)'!$C:$FB,66)*100</f>
        <v>2807.89</v>
      </c>
    </row>
    <row r="122" spans="1:15" x14ac:dyDescent="0.25">
      <c r="A122" s="101" t="str">
        <f>'Data Vlaue (Cr)'!C117</f>
        <v>LAURUSLABS</v>
      </c>
      <c r="B122" s="50">
        <f>VLOOKUP($A122,'Data Vlaue (Cr)'!$C:$FB,8)</f>
        <v>1177.5999999999999</v>
      </c>
      <c r="C122" s="50">
        <f>VLOOKUP($A122,'Data Vlaue (Cr)'!$C:$FB,11)*100</f>
        <v>1.1599999999999999</v>
      </c>
      <c r="D122" s="50">
        <f>VLOOKUP($A122,'Data Vlaue (Cr)'!$C:$FB,143)</f>
        <v>3619.34</v>
      </c>
      <c r="E122" s="50">
        <f>VLOOKUP($A122,'Data Vlaue (Cr)'!$C:$FB,144)</f>
        <v>2275.94</v>
      </c>
      <c r="F122" s="50">
        <f>VLOOKUP($A122,'Data Vlaue (Cr)'!$C:$FB,146)*100</f>
        <v>59.03</v>
      </c>
      <c r="G122" s="49">
        <f>VLOOKUP($A122,'Data Vlaue (Cr)'!$C:$FB,43)</f>
        <v>656</v>
      </c>
      <c r="H122" s="49">
        <f>VLOOKUP($A122,'Data Vlaue (Cr)'!$C:$FB,44)</f>
        <v>554</v>
      </c>
      <c r="I122" s="49">
        <f>VLOOKUP($A122,'Data Vlaue (Cr)'!$C:$FB,46)*100</f>
        <v>18.29</v>
      </c>
      <c r="J122" s="51">
        <f>VLOOKUP($A122,'Data Vlaue (Cr)'!$C:$FB,59)</f>
        <v>1893</v>
      </c>
      <c r="K122" s="51">
        <f>VLOOKUP($A122,'Data Vlaue (Cr)'!$C:$FB,60)</f>
        <v>1075</v>
      </c>
      <c r="L122" s="51">
        <f>VLOOKUP($A122,'Data Vlaue (Cr)'!$C:$FB,62)*100</f>
        <v>76.070000000000007</v>
      </c>
      <c r="M122" s="51">
        <f>VLOOKUP($A122,'Data Vlaue (Cr)'!$C:$FB,63)</f>
        <v>1000</v>
      </c>
      <c r="N122" s="51">
        <f>VLOOKUP($A122,'Data Vlaue (Cr)'!$C:$FB,64)</f>
        <v>634</v>
      </c>
      <c r="O122" s="51">
        <f>VLOOKUP($A122,'Data Vlaue (Cr)'!$C:$FB,66)*100</f>
        <v>57.57</v>
      </c>
    </row>
    <row r="123" spans="1:15" x14ac:dyDescent="0.25">
      <c r="A123" s="101" t="str">
        <f>'Data Vlaue (Cr)'!C118</f>
        <v>LICHSGFIN</v>
      </c>
      <c r="B123" s="50">
        <f>VLOOKUP($A123,'Data Vlaue (Cr)'!$C:$FB,8)</f>
        <v>582.15</v>
      </c>
      <c r="C123" s="50">
        <f>VLOOKUP($A123,'Data Vlaue (Cr)'!$C:$FB,11)*100</f>
        <v>4.3</v>
      </c>
      <c r="D123" s="50">
        <f>VLOOKUP($A123,'Data Vlaue (Cr)'!$C:$FB,143)</f>
        <v>2722.17</v>
      </c>
      <c r="E123" s="50">
        <f>VLOOKUP($A123,'Data Vlaue (Cr)'!$C:$FB,144)</f>
        <v>325.24</v>
      </c>
      <c r="F123" s="50">
        <f>VLOOKUP($A123,'Data Vlaue (Cr)'!$C:$FB,146)*100</f>
        <v>736.97</v>
      </c>
      <c r="G123" s="49">
        <f>VLOOKUP($A123,'Data Vlaue (Cr)'!$C:$FB,43)</f>
        <v>425</v>
      </c>
      <c r="H123" s="49">
        <f>VLOOKUP($A123,'Data Vlaue (Cr)'!$C:$FB,44)</f>
        <v>85</v>
      </c>
      <c r="I123" s="49">
        <f>VLOOKUP($A123,'Data Vlaue (Cr)'!$C:$FB,46)*100</f>
        <v>397.53</v>
      </c>
      <c r="J123" s="51">
        <f>VLOOKUP($A123,'Data Vlaue (Cr)'!$C:$FB,59)</f>
        <v>1723</v>
      </c>
      <c r="K123" s="51">
        <f>VLOOKUP($A123,'Data Vlaue (Cr)'!$C:$FB,60)</f>
        <v>177</v>
      </c>
      <c r="L123" s="51">
        <f>VLOOKUP($A123,'Data Vlaue (Cr)'!$C:$FB,62)*100</f>
        <v>872.32</v>
      </c>
      <c r="M123" s="51">
        <f>VLOOKUP($A123,'Data Vlaue (Cr)'!$C:$FB,63)</f>
        <v>536</v>
      </c>
      <c r="N123" s="51">
        <f>VLOOKUP($A123,'Data Vlaue (Cr)'!$C:$FB,64)</f>
        <v>68</v>
      </c>
      <c r="O123" s="51">
        <f>VLOOKUP($A123,'Data Vlaue (Cr)'!$C:$FB,66)*100</f>
        <v>691.53</v>
      </c>
    </row>
    <row r="124" spans="1:15" x14ac:dyDescent="0.25">
      <c r="A124" s="101" t="str">
        <f>'Data Vlaue (Cr)'!C119</f>
        <v>LICI</v>
      </c>
      <c r="B124" s="50">
        <f>VLOOKUP($A124,'Data Vlaue (Cr)'!$C:$FB,8)</f>
        <v>807.25</v>
      </c>
      <c r="C124" s="50">
        <f>VLOOKUP($A124,'Data Vlaue (Cr)'!$C:$FB,11)*100</f>
        <v>1</v>
      </c>
      <c r="D124" s="50">
        <f>VLOOKUP($A124,'Data Vlaue (Cr)'!$C:$FB,143)</f>
        <v>574.92999999999995</v>
      </c>
      <c r="E124" s="50">
        <f>VLOOKUP($A124,'Data Vlaue (Cr)'!$C:$FB,144)</f>
        <v>250.81</v>
      </c>
      <c r="F124" s="50">
        <f>VLOOKUP($A124,'Data Vlaue (Cr)'!$C:$FB,146)*100</f>
        <v>129.22999999999999</v>
      </c>
      <c r="G124" s="49">
        <f>VLOOKUP($A124,'Data Vlaue (Cr)'!$C:$FB,43)</f>
        <v>144</v>
      </c>
      <c r="H124" s="49">
        <f>VLOOKUP($A124,'Data Vlaue (Cr)'!$C:$FB,44)</f>
        <v>49</v>
      </c>
      <c r="I124" s="49">
        <f>VLOOKUP($A124,'Data Vlaue (Cr)'!$C:$FB,46)*100</f>
        <v>195.1</v>
      </c>
      <c r="J124" s="51">
        <f>VLOOKUP($A124,'Data Vlaue (Cr)'!$C:$FB,59)</f>
        <v>287</v>
      </c>
      <c r="K124" s="51">
        <f>VLOOKUP($A124,'Data Vlaue (Cr)'!$C:$FB,60)</f>
        <v>159</v>
      </c>
      <c r="L124" s="51">
        <f>VLOOKUP($A124,'Data Vlaue (Cr)'!$C:$FB,62)*100</f>
        <v>80.179999999999993</v>
      </c>
      <c r="M124" s="51">
        <f>VLOOKUP($A124,'Data Vlaue (Cr)'!$C:$FB,63)</f>
        <v>134</v>
      </c>
      <c r="N124" s="51">
        <f>VLOOKUP($A124,'Data Vlaue (Cr)'!$C:$FB,64)</f>
        <v>37</v>
      </c>
      <c r="O124" s="51">
        <f>VLOOKUP($A124,'Data Vlaue (Cr)'!$C:$FB,66)*100</f>
        <v>257.06</v>
      </c>
    </row>
    <row r="125" spans="1:15" x14ac:dyDescent="0.25">
      <c r="A125" s="101" t="str">
        <f>'Data Vlaue (Cr)'!C120</f>
        <v>LODHA</v>
      </c>
      <c r="B125" s="50">
        <f>VLOOKUP($A125,'Data Vlaue (Cr)'!$C:$FB,8)</f>
        <v>949.15</v>
      </c>
      <c r="C125" s="50">
        <f>VLOOKUP($A125,'Data Vlaue (Cr)'!$C:$FB,11)*100</f>
        <v>4.55</v>
      </c>
      <c r="D125" s="50">
        <f>VLOOKUP($A125,'Data Vlaue (Cr)'!$C:$FB,143)</f>
        <v>855.97</v>
      </c>
      <c r="E125" s="50">
        <f>VLOOKUP($A125,'Data Vlaue (Cr)'!$C:$FB,144)</f>
        <v>551.22</v>
      </c>
      <c r="F125" s="50">
        <f>VLOOKUP($A125,'Data Vlaue (Cr)'!$C:$FB,146)*100</f>
        <v>55.289999999999992</v>
      </c>
      <c r="G125" s="49">
        <f>VLOOKUP($A125,'Data Vlaue (Cr)'!$C:$FB,43)</f>
        <v>155</v>
      </c>
      <c r="H125" s="49">
        <f>VLOOKUP($A125,'Data Vlaue (Cr)'!$C:$FB,44)</f>
        <v>126</v>
      </c>
      <c r="I125" s="49">
        <f>VLOOKUP($A125,'Data Vlaue (Cr)'!$C:$FB,46)*100</f>
        <v>23.630000000000003</v>
      </c>
      <c r="J125" s="51">
        <f>VLOOKUP($A125,'Data Vlaue (Cr)'!$C:$FB,59)</f>
        <v>518</v>
      </c>
      <c r="K125" s="51">
        <f>VLOOKUP($A125,'Data Vlaue (Cr)'!$C:$FB,60)</f>
        <v>268</v>
      </c>
      <c r="L125" s="51">
        <f>VLOOKUP($A125,'Data Vlaue (Cr)'!$C:$FB,62)*100</f>
        <v>93.04</v>
      </c>
      <c r="M125" s="51">
        <f>VLOOKUP($A125,'Data Vlaue (Cr)'!$C:$FB,63)</f>
        <v>176</v>
      </c>
      <c r="N125" s="51">
        <f>VLOOKUP($A125,'Data Vlaue (Cr)'!$C:$FB,64)</f>
        <v>162</v>
      </c>
      <c r="O125" s="51">
        <f>VLOOKUP($A125,'Data Vlaue (Cr)'!$C:$FB,66)*100</f>
        <v>8.35</v>
      </c>
    </row>
    <row r="126" spans="1:15" x14ac:dyDescent="0.25">
      <c r="A126" s="101" t="str">
        <f>'Data Vlaue (Cr)'!C121</f>
        <v>LT</v>
      </c>
      <c r="B126" s="50">
        <f>VLOOKUP($A126,'Data Vlaue (Cr)'!$C:$FB,8)</f>
        <v>4008.5</v>
      </c>
      <c r="C126" s="50">
        <f>VLOOKUP($A126,'Data Vlaue (Cr)'!$C:$FB,11)*100</f>
        <v>-1.1299999999999999</v>
      </c>
      <c r="D126" s="50">
        <f>VLOOKUP($A126,'Data Vlaue (Cr)'!$C:$FB,143)</f>
        <v>24978.11</v>
      </c>
      <c r="E126" s="50">
        <f>VLOOKUP($A126,'Data Vlaue (Cr)'!$C:$FB,144)</f>
        <v>6790.31</v>
      </c>
      <c r="F126" s="50">
        <f>VLOOKUP($A126,'Data Vlaue (Cr)'!$C:$FB,146)*100</f>
        <v>267.85000000000002</v>
      </c>
      <c r="G126" s="49">
        <f>VLOOKUP($A126,'Data Vlaue (Cr)'!$C:$FB,43)</f>
        <v>3368</v>
      </c>
      <c r="H126" s="49">
        <f>VLOOKUP($A126,'Data Vlaue (Cr)'!$C:$FB,44)</f>
        <v>1268</v>
      </c>
      <c r="I126" s="49">
        <f>VLOOKUP($A126,'Data Vlaue (Cr)'!$C:$FB,46)*100</f>
        <v>165.7</v>
      </c>
      <c r="J126" s="51">
        <f>VLOOKUP($A126,'Data Vlaue (Cr)'!$C:$FB,59)</f>
        <v>14860</v>
      </c>
      <c r="K126" s="51">
        <f>VLOOKUP($A126,'Data Vlaue (Cr)'!$C:$FB,60)</f>
        <v>3191</v>
      </c>
      <c r="L126" s="51">
        <f>VLOOKUP($A126,'Data Vlaue (Cr)'!$C:$FB,62)*100</f>
        <v>365.64</v>
      </c>
      <c r="M126" s="51">
        <f>VLOOKUP($A126,'Data Vlaue (Cr)'!$C:$FB,63)</f>
        <v>6320</v>
      </c>
      <c r="N126" s="51">
        <f>VLOOKUP($A126,'Data Vlaue (Cr)'!$C:$FB,64)</f>
        <v>2040</v>
      </c>
      <c r="O126" s="51">
        <f>VLOOKUP($A126,'Data Vlaue (Cr)'!$C:$FB,66)*100</f>
        <v>209.79999999999998</v>
      </c>
    </row>
    <row r="127" spans="1:15" x14ac:dyDescent="0.25">
      <c r="A127" s="101" t="str">
        <f>'Data Vlaue (Cr)'!C122</f>
        <v>LTF</v>
      </c>
      <c r="B127" s="50">
        <f>VLOOKUP($A127,'Data Vlaue (Cr)'!$C:$FB,8)</f>
        <v>300.3</v>
      </c>
      <c r="C127" s="50">
        <f>VLOOKUP($A127,'Data Vlaue (Cr)'!$C:$FB,11)*100</f>
        <v>3.39</v>
      </c>
      <c r="D127" s="50">
        <f>VLOOKUP($A127,'Data Vlaue (Cr)'!$C:$FB,143)</f>
        <v>1840.27</v>
      </c>
      <c r="E127" s="50">
        <f>VLOOKUP($A127,'Data Vlaue (Cr)'!$C:$FB,144)</f>
        <v>666.66</v>
      </c>
      <c r="F127" s="50">
        <f>VLOOKUP($A127,'Data Vlaue (Cr)'!$C:$FB,146)*100</f>
        <v>176.04</v>
      </c>
      <c r="G127" s="49">
        <f>VLOOKUP($A127,'Data Vlaue (Cr)'!$C:$FB,43)</f>
        <v>405</v>
      </c>
      <c r="H127" s="49">
        <f>VLOOKUP($A127,'Data Vlaue (Cr)'!$C:$FB,44)</f>
        <v>222</v>
      </c>
      <c r="I127" s="49">
        <f>VLOOKUP($A127,'Data Vlaue (Cr)'!$C:$FB,46)*100</f>
        <v>82.07</v>
      </c>
      <c r="J127" s="51">
        <f>VLOOKUP($A127,'Data Vlaue (Cr)'!$C:$FB,59)</f>
        <v>1042</v>
      </c>
      <c r="K127" s="51">
        <f>VLOOKUP($A127,'Data Vlaue (Cr)'!$C:$FB,60)</f>
        <v>332</v>
      </c>
      <c r="L127" s="51">
        <f>VLOOKUP($A127,'Data Vlaue (Cr)'!$C:$FB,62)*100</f>
        <v>214.1</v>
      </c>
      <c r="M127" s="51">
        <f>VLOOKUP($A127,'Data Vlaue (Cr)'!$C:$FB,63)</f>
        <v>357</v>
      </c>
      <c r="N127" s="51">
        <f>VLOOKUP($A127,'Data Vlaue (Cr)'!$C:$FB,64)</f>
        <v>119</v>
      </c>
      <c r="O127" s="51">
        <f>VLOOKUP($A127,'Data Vlaue (Cr)'!$C:$FB,66)*100</f>
        <v>200.79</v>
      </c>
    </row>
    <row r="128" spans="1:15" x14ac:dyDescent="0.25">
      <c r="A128" s="101" t="str">
        <f>'Data Vlaue (Cr)'!C123</f>
        <v>LTM</v>
      </c>
      <c r="B128" s="50">
        <f>VLOOKUP($A128,'Data Vlaue (Cr)'!$C:$FB,8)</f>
        <v>4316</v>
      </c>
      <c r="C128" s="50">
        <f>VLOOKUP($A128,'Data Vlaue (Cr)'!$C:$FB,11)*100</f>
        <v>0.4</v>
      </c>
      <c r="D128" s="50">
        <f>VLOOKUP($A128,'Data Vlaue (Cr)'!$C:$FB,143)</f>
        <v>1242.46</v>
      </c>
      <c r="E128" s="50">
        <f>VLOOKUP($A128,'Data Vlaue (Cr)'!$C:$FB,144)</f>
        <v>1252.74</v>
      </c>
      <c r="F128" s="50">
        <f>VLOOKUP($A128,'Data Vlaue (Cr)'!$C:$FB,146)*100</f>
        <v>-0.82000000000000006</v>
      </c>
      <c r="G128" s="49">
        <f>VLOOKUP($A128,'Data Vlaue (Cr)'!$C:$FB,43)</f>
        <v>276</v>
      </c>
      <c r="H128" s="49">
        <f>VLOOKUP($A128,'Data Vlaue (Cr)'!$C:$FB,44)</f>
        <v>306</v>
      </c>
      <c r="I128" s="49">
        <f>VLOOKUP($A128,'Data Vlaue (Cr)'!$C:$FB,46)*100</f>
        <v>-10</v>
      </c>
      <c r="J128" s="51">
        <f>VLOOKUP($A128,'Data Vlaue (Cr)'!$C:$FB,59)</f>
        <v>695</v>
      </c>
      <c r="K128" s="51">
        <f>VLOOKUP($A128,'Data Vlaue (Cr)'!$C:$FB,60)</f>
        <v>602</v>
      </c>
      <c r="L128" s="51">
        <f>VLOOKUP($A128,'Data Vlaue (Cr)'!$C:$FB,62)*100</f>
        <v>15.39</v>
      </c>
      <c r="M128" s="51">
        <f>VLOOKUP($A128,'Data Vlaue (Cr)'!$C:$FB,63)</f>
        <v>232</v>
      </c>
      <c r="N128" s="51">
        <f>VLOOKUP($A128,'Data Vlaue (Cr)'!$C:$FB,64)</f>
        <v>320</v>
      </c>
      <c r="O128" s="51">
        <f>VLOOKUP($A128,'Data Vlaue (Cr)'!$C:$FB,66)*100</f>
        <v>-27.41</v>
      </c>
    </row>
    <row r="129" spans="1:15" x14ac:dyDescent="0.25">
      <c r="A129" s="101" t="str">
        <f>'Data Vlaue (Cr)'!C124</f>
        <v>LUPIN</v>
      </c>
      <c r="B129" s="50">
        <f>VLOOKUP($A129,'Data Vlaue (Cr)'!$C:$FB,8)</f>
        <v>2442.9</v>
      </c>
      <c r="C129" s="50">
        <f>VLOOKUP($A129,'Data Vlaue (Cr)'!$C:$FB,11)*100</f>
        <v>4.25</v>
      </c>
      <c r="D129" s="50">
        <f>VLOOKUP($A129,'Data Vlaue (Cr)'!$C:$FB,143)</f>
        <v>7138.75</v>
      </c>
      <c r="E129" s="50">
        <f>VLOOKUP($A129,'Data Vlaue (Cr)'!$C:$FB,144)</f>
        <v>1504.4</v>
      </c>
      <c r="F129" s="50">
        <f>VLOOKUP($A129,'Data Vlaue (Cr)'!$C:$FB,146)*100</f>
        <v>374.52</v>
      </c>
      <c r="G129" s="49">
        <f>VLOOKUP($A129,'Data Vlaue (Cr)'!$C:$FB,43)</f>
        <v>926</v>
      </c>
      <c r="H129" s="49">
        <f>VLOOKUP($A129,'Data Vlaue (Cr)'!$C:$FB,44)</f>
        <v>265</v>
      </c>
      <c r="I129" s="49">
        <f>VLOOKUP($A129,'Data Vlaue (Cr)'!$C:$FB,46)*100</f>
        <v>250.06</v>
      </c>
      <c r="J129" s="51">
        <f>VLOOKUP($A129,'Data Vlaue (Cr)'!$C:$FB,59)</f>
        <v>4525</v>
      </c>
      <c r="K129" s="51">
        <f>VLOOKUP($A129,'Data Vlaue (Cr)'!$C:$FB,60)</f>
        <v>955</v>
      </c>
      <c r="L129" s="51">
        <f>VLOOKUP($A129,'Data Vlaue (Cr)'!$C:$FB,62)*100</f>
        <v>373.62</v>
      </c>
      <c r="M129" s="51">
        <f>VLOOKUP($A129,'Data Vlaue (Cr)'!$C:$FB,63)</f>
        <v>1649</v>
      </c>
      <c r="N129" s="51">
        <f>VLOOKUP($A129,'Data Vlaue (Cr)'!$C:$FB,64)</f>
        <v>301</v>
      </c>
      <c r="O129" s="51">
        <f>VLOOKUP($A129,'Data Vlaue (Cr)'!$C:$FB,66)*100</f>
        <v>447.15999999999997</v>
      </c>
    </row>
    <row r="130" spans="1:15" x14ac:dyDescent="0.25">
      <c r="A130" s="101" t="str">
        <f>'Data Vlaue (Cr)'!C125</f>
        <v>M&amp;M</v>
      </c>
      <c r="B130" s="50">
        <f>VLOOKUP($A130,'Data Vlaue (Cr)'!$C:$FB,8)</f>
        <v>3300.8</v>
      </c>
      <c r="C130" s="50">
        <f>VLOOKUP($A130,'Data Vlaue (Cr)'!$C:$FB,11)*100</f>
        <v>2.8000000000000003</v>
      </c>
      <c r="D130" s="50">
        <f>VLOOKUP($A130,'Data Vlaue (Cr)'!$C:$FB,143)</f>
        <v>14461.95</v>
      </c>
      <c r="E130" s="50">
        <f>VLOOKUP($A130,'Data Vlaue (Cr)'!$C:$FB,144)</f>
        <v>17467.63</v>
      </c>
      <c r="F130" s="50">
        <f>VLOOKUP($A130,'Data Vlaue (Cr)'!$C:$FB,146)*100</f>
        <v>-17.21</v>
      </c>
      <c r="G130" s="49">
        <f>VLOOKUP($A130,'Data Vlaue (Cr)'!$C:$FB,43)</f>
        <v>1919</v>
      </c>
      <c r="H130" s="49">
        <f>VLOOKUP($A130,'Data Vlaue (Cr)'!$C:$FB,44)</f>
        <v>2690</v>
      </c>
      <c r="I130" s="49">
        <f>VLOOKUP($A130,'Data Vlaue (Cr)'!$C:$FB,46)*100</f>
        <v>-28.689999999999998</v>
      </c>
      <c r="J130" s="51">
        <f>VLOOKUP($A130,'Data Vlaue (Cr)'!$C:$FB,59)</f>
        <v>8249</v>
      </c>
      <c r="K130" s="51">
        <f>VLOOKUP($A130,'Data Vlaue (Cr)'!$C:$FB,60)</f>
        <v>10591</v>
      </c>
      <c r="L130" s="51">
        <f>VLOOKUP($A130,'Data Vlaue (Cr)'!$C:$FB,62)*100</f>
        <v>-22.12</v>
      </c>
      <c r="M130" s="51">
        <f>VLOOKUP($A130,'Data Vlaue (Cr)'!$C:$FB,63)</f>
        <v>4164</v>
      </c>
      <c r="N130" s="51">
        <f>VLOOKUP($A130,'Data Vlaue (Cr)'!$C:$FB,64)</f>
        <v>4565</v>
      </c>
      <c r="O130" s="51">
        <f>VLOOKUP($A130,'Data Vlaue (Cr)'!$C:$FB,66)*100</f>
        <v>-8.7900000000000009</v>
      </c>
    </row>
    <row r="131" spans="1:15" x14ac:dyDescent="0.25">
      <c r="A131" s="101" t="str">
        <f>'Data Vlaue (Cr)'!C126</f>
        <v>MANAPPURAM</v>
      </c>
      <c r="B131" s="50">
        <f>VLOOKUP($A131,'Data Vlaue (Cr)'!$C:$FB,8)</f>
        <v>309.95</v>
      </c>
      <c r="C131" s="50">
        <f>VLOOKUP($A131,'Data Vlaue (Cr)'!$C:$FB,11)*100</f>
        <v>0.88</v>
      </c>
      <c r="D131" s="50">
        <f>VLOOKUP($A131,'Data Vlaue (Cr)'!$C:$FB,143)</f>
        <v>1183.04</v>
      </c>
      <c r="E131" s="50">
        <f>VLOOKUP($A131,'Data Vlaue (Cr)'!$C:$FB,144)</f>
        <v>3695.63</v>
      </c>
      <c r="F131" s="50">
        <f>VLOOKUP($A131,'Data Vlaue (Cr)'!$C:$FB,146)*100</f>
        <v>-67.989999999999995</v>
      </c>
      <c r="G131" s="49">
        <f>VLOOKUP($A131,'Data Vlaue (Cr)'!$C:$FB,43)</f>
        <v>285</v>
      </c>
      <c r="H131" s="49">
        <f>VLOOKUP($A131,'Data Vlaue (Cr)'!$C:$FB,44)</f>
        <v>887</v>
      </c>
      <c r="I131" s="49">
        <f>VLOOKUP($A131,'Data Vlaue (Cr)'!$C:$FB,46)*100</f>
        <v>-67.849999999999994</v>
      </c>
      <c r="J131" s="51">
        <f>VLOOKUP($A131,'Data Vlaue (Cr)'!$C:$FB,59)</f>
        <v>558</v>
      </c>
      <c r="K131" s="51">
        <f>VLOOKUP($A131,'Data Vlaue (Cr)'!$C:$FB,60)</f>
        <v>1782</v>
      </c>
      <c r="L131" s="51">
        <f>VLOOKUP($A131,'Data Vlaue (Cr)'!$C:$FB,62)*100</f>
        <v>-68.66</v>
      </c>
      <c r="M131" s="51">
        <f>VLOOKUP($A131,'Data Vlaue (Cr)'!$C:$FB,63)</f>
        <v>322</v>
      </c>
      <c r="N131" s="51">
        <f>VLOOKUP($A131,'Data Vlaue (Cr)'!$C:$FB,64)</f>
        <v>1023</v>
      </c>
      <c r="O131" s="51">
        <f>VLOOKUP($A131,'Data Vlaue (Cr)'!$C:$FB,66)*100</f>
        <v>-68.56</v>
      </c>
    </row>
    <row r="132" spans="1:15" x14ac:dyDescent="0.25">
      <c r="A132" s="101" t="str">
        <f>'Data Vlaue (Cr)'!C127</f>
        <v>MANKIND</v>
      </c>
      <c r="B132" s="50">
        <f>VLOOKUP($A132,'Data Vlaue (Cr)'!$C:$FB,8)</f>
        <v>2361</v>
      </c>
      <c r="C132" s="50">
        <f>VLOOKUP($A132,'Data Vlaue (Cr)'!$C:$FB,11)*100</f>
        <v>1.79</v>
      </c>
      <c r="D132" s="50">
        <f>VLOOKUP($A132,'Data Vlaue (Cr)'!$C:$FB,143)</f>
        <v>1565.68</v>
      </c>
      <c r="E132" s="50">
        <f>VLOOKUP($A132,'Data Vlaue (Cr)'!$C:$FB,144)</f>
        <v>1200.8800000000001</v>
      </c>
      <c r="F132" s="50">
        <f>VLOOKUP($A132,'Data Vlaue (Cr)'!$C:$FB,146)*100</f>
        <v>30.380000000000003</v>
      </c>
      <c r="G132" s="49">
        <f>VLOOKUP($A132,'Data Vlaue (Cr)'!$C:$FB,43)</f>
        <v>247</v>
      </c>
      <c r="H132" s="49">
        <f>VLOOKUP($A132,'Data Vlaue (Cr)'!$C:$FB,44)</f>
        <v>151</v>
      </c>
      <c r="I132" s="49">
        <f>VLOOKUP($A132,'Data Vlaue (Cr)'!$C:$FB,46)*100</f>
        <v>62.860000000000007</v>
      </c>
      <c r="J132" s="51">
        <f>VLOOKUP($A132,'Data Vlaue (Cr)'!$C:$FB,59)</f>
        <v>1117</v>
      </c>
      <c r="K132" s="51">
        <f>VLOOKUP($A132,'Data Vlaue (Cr)'!$C:$FB,60)</f>
        <v>857</v>
      </c>
      <c r="L132" s="51">
        <f>VLOOKUP($A132,'Data Vlaue (Cr)'!$C:$FB,62)*100</f>
        <v>30.42</v>
      </c>
      <c r="M132" s="51">
        <f>VLOOKUP($A132,'Data Vlaue (Cr)'!$C:$FB,63)</f>
        <v>158</v>
      </c>
      <c r="N132" s="51">
        <f>VLOOKUP($A132,'Data Vlaue (Cr)'!$C:$FB,64)</f>
        <v>172</v>
      </c>
      <c r="O132" s="51">
        <f>VLOOKUP($A132,'Data Vlaue (Cr)'!$C:$FB,66)*100</f>
        <v>-8.49</v>
      </c>
    </row>
    <row r="133" spans="1:15" x14ac:dyDescent="0.25">
      <c r="A133" s="101" t="str">
        <f>'Data Vlaue (Cr)'!C128</f>
        <v>MARICO</v>
      </c>
      <c r="B133" s="50">
        <f>VLOOKUP($A133,'Data Vlaue (Cr)'!$C:$FB,8)</f>
        <v>814.8</v>
      </c>
      <c r="C133" s="50">
        <f>VLOOKUP($A133,'Data Vlaue (Cr)'!$C:$FB,11)*100</f>
        <v>0.94000000000000006</v>
      </c>
      <c r="D133" s="50">
        <f>VLOOKUP($A133,'Data Vlaue (Cr)'!$C:$FB,143)</f>
        <v>6170.72</v>
      </c>
      <c r="E133" s="50">
        <f>VLOOKUP($A133,'Data Vlaue (Cr)'!$C:$FB,144)</f>
        <v>9145.01</v>
      </c>
      <c r="F133" s="50">
        <f>VLOOKUP($A133,'Data Vlaue (Cr)'!$C:$FB,146)*100</f>
        <v>-32.519999999999996</v>
      </c>
      <c r="G133" s="49">
        <f>VLOOKUP($A133,'Data Vlaue (Cr)'!$C:$FB,43)</f>
        <v>671</v>
      </c>
      <c r="H133" s="49">
        <f>VLOOKUP($A133,'Data Vlaue (Cr)'!$C:$FB,44)</f>
        <v>1179</v>
      </c>
      <c r="I133" s="49">
        <f>VLOOKUP($A133,'Data Vlaue (Cr)'!$C:$FB,46)*100</f>
        <v>-43.120000000000005</v>
      </c>
      <c r="J133" s="51">
        <f>VLOOKUP($A133,'Data Vlaue (Cr)'!$C:$FB,59)</f>
        <v>3261</v>
      </c>
      <c r="K133" s="51">
        <f>VLOOKUP($A133,'Data Vlaue (Cr)'!$C:$FB,60)</f>
        <v>5766</v>
      </c>
      <c r="L133" s="51">
        <f>VLOOKUP($A133,'Data Vlaue (Cr)'!$C:$FB,62)*100</f>
        <v>-43.44</v>
      </c>
      <c r="M133" s="51">
        <f>VLOOKUP($A133,'Data Vlaue (Cr)'!$C:$FB,63)</f>
        <v>2101</v>
      </c>
      <c r="N133" s="51">
        <f>VLOOKUP($A133,'Data Vlaue (Cr)'!$C:$FB,64)</f>
        <v>2292</v>
      </c>
      <c r="O133" s="51">
        <f>VLOOKUP($A133,'Data Vlaue (Cr)'!$C:$FB,66)*100</f>
        <v>-8.3099999999999987</v>
      </c>
    </row>
    <row r="134" spans="1:15" x14ac:dyDescent="0.25">
      <c r="A134" s="101" t="str">
        <f>'Data Vlaue (Cr)'!C129</f>
        <v>MARUTI</v>
      </c>
      <c r="B134" s="50">
        <f>VLOOKUP($A134,'Data Vlaue (Cr)'!$C:$FB,8)</f>
        <v>13722</v>
      </c>
      <c r="C134" s="50">
        <f>VLOOKUP($A134,'Data Vlaue (Cr)'!$C:$FB,11)*100</f>
        <v>2.1999999999999997</v>
      </c>
      <c r="D134" s="50">
        <f>VLOOKUP($A134,'Data Vlaue (Cr)'!$C:$FB,143)</f>
        <v>8038.84</v>
      </c>
      <c r="E134" s="50">
        <f>VLOOKUP($A134,'Data Vlaue (Cr)'!$C:$FB,144)</f>
        <v>6115.95</v>
      </c>
      <c r="F134" s="50">
        <f>VLOOKUP($A134,'Data Vlaue (Cr)'!$C:$FB,146)*100</f>
        <v>31.44</v>
      </c>
      <c r="G134" s="49">
        <f>VLOOKUP($A134,'Data Vlaue (Cr)'!$C:$FB,43)</f>
        <v>642</v>
      </c>
      <c r="H134" s="49">
        <f>VLOOKUP($A134,'Data Vlaue (Cr)'!$C:$FB,44)</f>
        <v>602</v>
      </c>
      <c r="I134" s="49">
        <f>VLOOKUP($A134,'Data Vlaue (Cr)'!$C:$FB,46)*100</f>
        <v>6.63</v>
      </c>
      <c r="J134" s="51">
        <f>VLOOKUP($A134,'Data Vlaue (Cr)'!$C:$FB,59)</f>
        <v>5024</v>
      </c>
      <c r="K134" s="51">
        <f>VLOOKUP($A134,'Data Vlaue (Cr)'!$C:$FB,60)</f>
        <v>3588</v>
      </c>
      <c r="L134" s="51">
        <f>VLOOKUP($A134,'Data Vlaue (Cr)'!$C:$FB,62)*100</f>
        <v>40.03</v>
      </c>
      <c r="M134" s="51">
        <f>VLOOKUP($A134,'Data Vlaue (Cr)'!$C:$FB,63)</f>
        <v>2308</v>
      </c>
      <c r="N134" s="51">
        <f>VLOOKUP($A134,'Data Vlaue (Cr)'!$C:$FB,64)</f>
        <v>1908</v>
      </c>
      <c r="O134" s="51">
        <f>VLOOKUP($A134,'Data Vlaue (Cr)'!$C:$FB,66)*100</f>
        <v>20.95</v>
      </c>
    </row>
    <row r="135" spans="1:15" x14ac:dyDescent="0.25">
      <c r="A135" s="101" t="str">
        <f>'Data Vlaue (Cr)'!C130</f>
        <v>MAXHEALTH</v>
      </c>
      <c r="B135" s="50">
        <f>VLOOKUP($A135,'Data Vlaue (Cr)'!$C:$FB,8)</f>
        <v>1015.9</v>
      </c>
      <c r="C135" s="50">
        <f>VLOOKUP($A135,'Data Vlaue (Cr)'!$C:$FB,11)*100</f>
        <v>1.54</v>
      </c>
      <c r="D135" s="50">
        <f>VLOOKUP($A135,'Data Vlaue (Cr)'!$C:$FB,143)</f>
        <v>419.96</v>
      </c>
      <c r="E135" s="50">
        <f>VLOOKUP($A135,'Data Vlaue (Cr)'!$C:$FB,144)</f>
        <v>304.19</v>
      </c>
      <c r="F135" s="50">
        <f>VLOOKUP($A135,'Data Vlaue (Cr)'!$C:$FB,146)*100</f>
        <v>38.06</v>
      </c>
      <c r="G135" s="49">
        <f>VLOOKUP($A135,'Data Vlaue (Cr)'!$C:$FB,43)</f>
        <v>115</v>
      </c>
      <c r="H135" s="49">
        <f>VLOOKUP($A135,'Data Vlaue (Cr)'!$C:$FB,44)</f>
        <v>106</v>
      </c>
      <c r="I135" s="49">
        <f>VLOOKUP($A135,'Data Vlaue (Cr)'!$C:$FB,46)*100</f>
        <v>8.15</v>
      </c>
      <c r="J135" s="51">
        <f>VLOOKUP($A135,'Data Vlaue (Cr)'!$C:$FB,59)</f>
        <v>205</v>
      </c>
      <c r="K135" s="51">
        <f>VLOOKUP($A135,'Data Vlaue (Cr)'!$C:$FB,60)</f>
        <v>113</v>
      </c>
      <c r="L135" s="51">
        <f>VLOOKUP($A135,'Data Vlaue (Cr)'!$C:$FB,62)*100</f>
        <v>81.17</v>
      </c>
      <c r="M135" s="51">
        <f>VLOOKUP($A135,'Data Vlaue (Cr)'!$C:$FB,63)</f>
        <v>91</v>
      </c>
      <c r="N135" s="51">
        <f>VLOOKUP($A135,'Data Vlaue (Cr)'!$C:$FB,64)</f>
        <v>82</v>
      </c>
      <c r="O135" s="51">
        <f>VLOOKUP($A135,'Data Vlaue (Cr)'!$C:$FB,66)*100</f>
        <v>11.53</v>
      </c>
    </row>
    <row r="136" spans="1:15" x14ac:dyDescent="0.25">
      <c r="A136" s="101" t="str">
        <f>'Data Vlaue (Cr)'!C131</f>
        <v>MAZDOCK</v>
      </c>
      <c r="B136" s="50">
        <f>VLOOKUP($A136,'Data Vlaue (Cr)'!$C:$FB,8)</f>
        <v>2644.5</v>
      </c>
      <c r="C136" s="50">
        <f>VLOOKUP($A136,'Data Vlaue (Cr)'!$C:$FB,11)*100</f>
        <v>0.42</v>
      </c>
      <c r="D136" s="50">
        <f>VLOOKUP($A136,'Data Vlaue (Cr)'!$C:$FB,143)</f>
        <v>1320.67</v>
      </c>
      <c r="E136" s="50">
        <f>VLOOKUP($A136,'Data Vlaue (Cr)'!$C:$FB,144)</f>
        <v>1594.12</v>
      </c>
      <c r="F136" s="50">
        <f>VLOOKUP($A136,'Data Vlaue (Cr)'!$C:$FB,146)*100</f>
        <v>-17.150000000000002</v>
      </c>
      <c r="G136" s="49">
        <f>VLOOKUP($A136,'Data Vlaue (Cr)'!$C:$FB,43)</f>
        <v>192</v>
      </c>
      <c r="H136" s="49">
        <f>VLOOKUP($A136,'Data Vlaue (Cr)'!$C:$FB,44)</f>
        <v>269</v>
      </c>
      <c r="I136" s="49">
        <f>VLOOKUP($A136,'Data Vlaue (Cr)'!$C:$FB,46)*100</f>
        <v>-28.52</v>
      </c>
      <c r="J136" s="51">
        <f>VLOOKUP($A136,'Data Vlaue (Cr)'!$C:$FB,59)</f>
        <v>831</v>
      </c>
      <c r="K136" s="51">
        <f>VLOOKUP($A136,'Data Vlaue (Cr)'!$C:$FB,60)</f>
        <v>973</v>
      </c>
      <c r="L136" s="51">
        <f>VLOOKUP($A136,'Data Vlaue (Cr)'!$C:$FB,62)*100</f>
        <v>-14.530000000000001</v>
      </c>
      <c r="M136" s="51">
        <f>VLOOKUP($A136,'Data Vlaue (Cr)'!$C:$FB,63)</f>
        <v>244</v>
      </c>
      <c r="N136" s="51">
        <f>VLOOKUP($A136,'Data Vlaue (Cr)'!$C:$FB,64)</f>
        <v>300</v>
      </c>
      <c r="O136" s="51">
        <f>VLOOKUP($A136,'Data Vlaue (Cr)'!$C:$FB,66)*100</f>
        <v>-18.64</v>
      </c>
    </row>
    <row r="137" spans="1:15" x14ac:dyDescent="0.25">
      <c r="A137" s="101" t="str">
        <f>'Data Vlaue (Cr)'!C132</f>
        <v>MCX</v>
      </c>
      <c r="B137" s="50">
        <f>VLOOKUP($A137,'Data Vlaue (Cr)'!$C:$FB,8)</f>
        <v>2973.2</v>
      </c>
      <c r="C137" s="50">
        <f>VLOOKUP($A137,'Data Vlaue (Cr)'!$C:$FB,11)*100</f>
        <v>2.44</v>
      </c>
      <c r="D137" s="50">
        <f>VLOOKUP($A137,'Data Vlaue (Cr)'!$C:$FB,143)</f>
        <v>4650.5</v>
      </c>
      <c r="E137" s="50">
        <f>VLOOKUP($A137,'Data Vlaue (Cr)'!$C:$FB,144)</f>
        <v>3641.05</v>
      </c>
      <c r="F137" s="50">
        <f>VLOOKUP($A137,'Data Vlaue (Cr)'!$C:$FB,146)*100</f>
        <v>27.72</v>
      </c>
      <c r="G137" s="49">
        <f>VLOOKUP($A137,'Data Vlaue (Cr)'!$C:$FB,43)</f>
        <v>841</v>
      </c>
      <c r="H137" s="49">
        <f>VLOOKUP($A137,'Data Vlaue (Cr)'!$C:$FB,44)</f>
        <v>647</v>
      </c>
      <c r="I137" s="49">
        <f>VLOOKUP($A137,'Data Vlaue (Cr)'!$C:$FB,46)*100</f>
        <v>30</v>
      </c>
      <c r="J137" s="51">
        <f>VLOOKUP($A137,'Data Vlaue (Cr)'!$C:$FB,59)</f>
        <v>2305</v>
      </c>
      <c r="K137" s="51">
        <f>VLOOKUP($A137,'Data Vlaue (Cr)'!$C:$FB,60)</f>
        <v>1827</v>
      </c>
      <c r="L137" s="51">
        <f>VLOOKUP($A137,'Data Vlaue (Cr)'!$C:$FB,62)*100</f>
        <v>26.150000000000002</v>
      </c>
      <c r="M137" s="51">
        <f>VLOOKUP($A137,'Data Vlaue (Cr)'!$C:$FB,63)</f>
        <v>1452</v>
      </c>
      <c r="N137" s="51">
        <f>VLOOKUP($A137,'Data Vlaue (Cr)'!$C:$FB,64)</f>
        <v>1163</v>
      </c>
      <c r="O137" s="51">
        <f>VLOOKUP($A137,'Data Vlaue (Cr)'!$C:$FB,66)*100</f>
        <v>24.85</v>
      </c>
    </row>
    <row r="138" spans="1:15" x14ac:dyDescent="0.25">
      <c r="A138" s="101" t="str">
        <f>'Data Vlaue (Cr)'!C133</f>
        <v>MFSL</v>
      </c>
      <c r="B138" s="50">
        <f>VLOOKUP($A138,'Data Vlaue (Cr)'!$C:$FB,8)</f>
        <v>1652.8</v>
      </c>
      <c r="C138" s="50">
        <f>VLOOKUP($A138,'Data Vlaue (Cr)'!$C:$FB,11)*100</f>
        <v>3.55</v>
      </c>
      <c r="D138" s="50">
        <f>VLOOKUP($A138,'Data Vlaue (Cr)'!$C:$FB,143)</f>
        <v>420.16</v>
      </c>
      <c r="E138" s="50">
        <f>VLOOKUP($A138,'Data Vlaue (Cr)'!$C:$FB,144)</f>
        <v>188.81</v>
      </c>
      <c r="F138" s="50">
        <f>VLOOKUP($A138,'Data Vlaue (Cr)'!$C:$FB,146)*100</f>
        <v>122.53</v>
      </c>
      <c r="G138" s="49">
        <f>VLOOKUP($A138,'Data Vlaue (Cr)'!$C:$FB,43)</f>
        <v>139</v>
      </c>
      <c r="H138" s="49">
        <f>VLOOKUP($A138,'Data Vlaue (Cr)'!$C:$FB,44)</f>
        <v>99</v>
      </c>
      <c r="I138" s="49">
        <f>VLOOKUP($A138,'Data Vlaue (Cr)'!$C:$FB,46)*100</f>
        <v>40.849999999999994</v>
      </c>
      <c r="J138" s="51">
        <f>VLOOKUP($A138,'Data Vlaue (Cr)'!$C:$FB,59)</f>
        <v>221</v>
      </c>
      <c r="K138" s="51">
        <f>VLOOKUP($A138,'Data Vlaue (Cr)'!$C:$FB,60)</f>
        <v>69</v>
      </c>
      <c r="L138" s="51">
        <f>VLOOKUP($A138,'Data Vlaue (Cr)'!$C:$FB,62)*100</f>
        <v>221.41000000000003</v>
      </c>
      <c r="M138" s="51">
        <f>VLOOKUP($A138,'Data Vlaue (Cr)'!$C:$FB,63)</f>
        <v>55</v>
      </c>
      <c r="N138" s="51">
        <f>VLOOKUP($A138,'Data Vlaue (Cr)'!$C:$FB,64)</f>
        <v>25</v>
      </c>
      <c r="O138" s="51">
        <f>VLOOKUP($A138,'Data Vlaue (Cr)'!$C:$FB,66)*100</f>
        <v>120.7</v>
      </c>
    </row>
    <row r="139" spans="1:15" x14ac:dyDescent="0.25">
      <c r="A139" s="101" t="str">
        <f>'Data Vlaue (Cr)'!C134</f>
        <v>MIDCPNIFTY</v>
      </c>
      <c r="B139" s="50">
        <f>VLOOKUP($A139,'Data Vlaue (Cr)'!$C:$FB,8)</f>
        <v>14312.9</v>
      </c>
      <c r="C139" s="50">
        <f>VLOOKUP($A139,'Data Vlaue (Cr)'!$C:$FB,11)*100</f>
        <v>2.6</v>
      </c>
      <c r="D139" s="50">
        <f>VLOOKUP($A139,'Data Vlaue (Cr)'!$C:$FB,143)</f>
        <v>37681.050000000003</v>
      </c>
      <c r="E139" s="50">
        <f>VLOOKUP($A139,'Data Vlaue (Cr)'!$C:$FB,144)</f>
        <v>16029.94</v>
      </c>
      <c r="F139" s="50">
        <f>VLOOKUP($A139,'Data Vlaue (Cr)'!$C:$FB,146)*100</f>
        <v>135.07</v>
      </c>
      <c r="G139" s="49">
        <f>VLOOKUP($A139,'Data Vlaue (Cr)'!$C:$FB,43)</f>
        <v>1224</v>
      </c>
      <c r="H139" s="49">
        <f>VLOOKUP($A139,'Data Vlaue (Cr)'!$C:$FB,44)</f>
        <v>417</v>
      </c>
      <c r="I139" s="49">
        <f>VLOOKUP($A139,'Data Vlaue (Cr)'!$C:$FB,46)*100</f>
        <v>193.82</v>
      </c>
      <c r="J139" s="51">
        <f>VLOOKUP($A139,'Data Vlaue (Cr)'!$C:$FB,59)</f>
        <v>15845</v>
      </c>
      <c r="K139" s="51">
        <f>VLOOKUP($A139,'Data Vlaue (Cr)'!$C:$FB,60)</f>
        <v>8291</v>
      </c>
      <c r="L139" s="51">
        <f>VLOOKUP($A139,'Data Vlaue (Cr)'!$C:$FB,62)*100</f>
        <v>91.12</v>
      </c>
      <c r="M139" s="51">
        <f>VLOOKUP($A139,'Data Vlaue (Cr)'!$C:$FB,63)</f>
        <v>21346</v>
      </c>
      <c r="N139" s="51">
        <f>VLOOKUP($A139,'Data Vlaue (Cr)'!$C:$FB,64)</f>
        <v>7732</v>
      </c>
      <c r="O139" s="51">
        <f>VLOOKUP($A139,'Data Vlaue (Cr)'!$C:$FB,66)*100</f>
        <v>176.06</v>
      </c>
    </row>
    <row r="140" spans="1:15" x14ac:dyDescent="0.25">
      <c r="A140" s="101" t="str">
        <f>'Data Vlaue (Cr)'!C135</f>
        <v>MOTHERSON</v>
      </c>
      <c r="B140" s="50">
        <f>VLOOKUP($A140,'Data Vlaue (Cr)'!$C:$FB,8)</f>
        <v>127.41</v>
      </c>
      <c r="C140" s="50">
        <f>VLOOKUP($A140,'Data Vlaue (Cr)'!$C:$FB,11)*100</f>
        <v>5.96</v>
      </c>
      <c r="D140" s="50">
        <f>VLOOKUP($A140,'Data Vlaue (Cr)'!$C:$FB,143)</f>
        <v>1418.72</v>
      </c>
      <c r="E140" s="50">
        <f>VLOOKUP($A140,'Data Vlaue (Cr)'!$C:$FB,144)</f>
        <v>459.19</v>
      </c>
      <c r="F140" s="50">
        <f>VLOOKUP($A140,'Data Vlaue (Cr)'!$C:$FB,146)*100</f>
        <v>208.95999999999998</v>
      </c>
      <c r="G140" s="49">
        <f>VLOOKUP($A140,'Data Vlaue (Cr)'!$C:$FB,43)</f>
        <v>517</v>
      </c>
      <c r="H140" s="49">
        <f>VLOOKUP($A140,'Data Vlaue (Cr)'!$C:$FB,44)</f>
        <v>170</v>
      </c>
      <c r="I140" s="49">
        <f>VLOOKUP($A140,'Data Vlaue (Cr)'!$C:$FB,46)*100</f>
        <v>203.29000000000002</v>
      </c>
      <c r="J140" s="51">
        <f>VLOOKUP($A140,'Data Vlaue (Cr)'!$C:$FB,59)</f>
        <v>666</v>
      </c>
      <c r="K140" s="51">
        <f>VLOOKUP($A140,'Data Vlaue (Cr)'!$C:$FB,60)</f>
        <v>192</v>
      </c>
      <c r="L140" s="51">
        <f>VLOOKUP($A140,'Data Vlaue (Cr)'!$C:$FB,62)*100</f>
        <v>246.26000000000002</v>
      </c>
      <c r="M140" s="51">
        <f>VLOOKUP($A140,'Data Vlaue (Cr)'!$C:$FB,63)</f>
        <v>228</v>
      </c>
      <c r="N140" s="51">
        <f>VLOOKUP($A140,'Data Vlaue (Cr)'!$C:$FB,64)</f>
        <v>106</v>
      </c>
      <c r="O140" s="51">
        <f>VLOOKUP($A140,'Data Vlaue (Cr)'!$C:$FB,66)*100</f>
        <v>114.77999999999999</v>
      </c>
    </row>
    <row r="141" spans="1:15" x14ac:dyDescent="0.25">
      <c r="A141" s="101" t="str">
        <f>'Data Vlaue (Cr)'!C136</f>
        <v>MOTILALOFS</v>
      </c>
      <c r="B141" s="50">
        <f>VLOOKUP($A141,'Data Vlaue (Cr)'!$C:$FB,8)</f>
        <v>881.7</v>
      </c>
      <c r="C141" s="50">
        <f>VLOOKUP($A141,'Data Vlaue (Cr)'!$C:$FB,11)*100</f>
        <v>4.5</v>
      </c>
      <c r="D141" s="50">
        <f>VLOOKUP($A141,'Data Vlaue (Cr)'!$C:$FB,143)</f>
        <v>515.58000000000004</v>
      </c>
      <c r="E141" s="50">
        <f>VLOOKUP($A141,'Data Vlaue (Cr)'!$C:$FB,144)</f>
        <v>399.49</v>
      </c>
      <c r="F141" s="50">
        <f>VLOOKUP($A141,'Data Vlaue (Cr)'!$C:$FB,146)*100</f>
        <v>29.060000000000002</v>
      </c>
      <c r="G141" s="49">
        <f>VLOOKUP($A141,'Data Vlaue (Cr)'!$C:$FB,43)</f>
        <v>124</v>
      </c>
      <c r="H141" s="49">
        <f>VLOOKUP($A141,'Data Vlaue (Cr)'!$C:$FB,44)</f>
        <v>90</v>
      </c>
      <c r="I141" s="49">
        <f>VLOOKUP($A141,'Data Vlaue (Cr)'!$C:$FB,46)*100</f>
        <v>36.919999999999995</v>
      </c>
      <c r="J141" s="51">
        <f>VLOOKUP($A141,'Data Vlaue (Cr)'!$C:$FB,59)</f>
        <v>264</v>
      </c>
      <c r="K141" s="51">
        <f>VLOOKUP($A141,'Data Vlaue (Cr)'!$C:$FB,60)</f>
        <v>247</v>
      </c>
      <c r="L141" s="51">
        <f>VLOOKUP($A141,'Data Vlaue (Cr)'!$C:$FB,62)*100</f>
        <v>6.8500000000000005</v>
      </c>
      <c r="M141" s="51">
        <f>VLOOKUP($A141,'Data Vlaue (Cr)'!$C:$FB,63)</f>
        <v>132</v>
      </c>
      <c r="N141" s="51">
        <f>VLOOKUP($A141,'Data Vlaue (Cr)'!$C:$FB,64)</f>
        <v>71</v>
      </c>
      <c r="O141" s="51">
        <f>VLOOKUP($A141,'Data Vlaue (Cr)'!$C:$FB,66)*100</f>
        <v>86.850000000000009</v>
      </c>
    </row>
    <row r="142" spans="1:15" x14ac:dyDescent="0.25">
      <c r="A142" s="101" t="str">
        <f>'Data Vlaue (Cr)'!C137</f>
        <v>MPHASIS</v>
      </c>
      <c r="B142" s="50">
        <f>VLOOKUP($A142,'Data Vlaue (Cr)'!$C:$FB,8)</f>
        <v>2218.5</v>
      </c>
      <c r="C142" s="50">
        <f>VLOOKUP($A142,'Data Vlaue (Cr)'!$C:$FB,11)*100</f>
        <v>0.38999999999999996</v>
      </c>
      <c r="D142" s="50">
        <f>VLOOKUP($A142,'Data Vlaue (Cr)'!$C:$FB,143)</f>
        <v>1104.5</v>
      </c>
      <c r="E142" s="50">
        <f>VLOOKUP($A142,'Data Vlaue (Cr)'!$C:$FB,144)</f>
        <v>770.68</v>
      </c>
      <c r="F142" s="50">
        <f>VLOOKUP($A142,'Data Vlaue (Cr)'!$C:$FB,146)*100</f>
        <v>43.309999999999995</v>
      </c>
      <c r="G142" s="49">
        <f>VLOOKUP($A142,'Data Vlaue (Cr)'!$C:$FB,43)</f>
        <v>254</v>
      </c>
      <c r="H142" s="49">
        <f>VLOOKUP($A142,'Data Vlaue (Cr)'!$C:$FB,44)</f>
        <v>229</v>
      </c>
      <c r="I142" s="49">
        <f>VLOOKUP($A142,'Data Vlaue (Cr)'!$C:$FB,46)*100</f>
        <v>10.93</v>
      </c>
      <c r="J142" s="51">
        <f>VLOOKUP($A142,'Data Vlaue (Cr)'!$C:$FB,59)</f>
        <v>628</v>
      </c>
      <c r="K142" s="51">
        <f>VLOOKUP($A142,'Data Vlaue (Cr)'!$C:$FB,60)</f>
        <v>348</v>
      </c>
      <c r="L142" s="51">
        <f>VLOOKUP($A142,'Data Vlaue (Cr)'!$C:$FB,62)*100</f>
        <v>80.38</v>
      </c>
      <c r="M142" s="51">
        <f>VLOOKUP($A142,'Data Vlaue (Cr)'!$C:$FB,63)</f>
        <v>181</v>
      </c>
      <c r="N142" s="51">
        <f>VLOOKUP($A142,'Data Vlaue (Cr)'!$C:$FB,64)</f>
        <v>167</v>
      </c>
      <c r="O142" s="51">
        <f>VLOOKUP($A142,'Data Vlaue (Cr)'!$C:$FB,66)*100</f>
        <v>7.93</v>
      </c>
    </row>
    <row r="143" spans="1:15" x14ac:dyDescent="0.25">
      <c r="A143" s="101" t="str">
        <f>'Data Vlaue (Cr)'!C138</f>
        <v>MUTHOOTFIN</v>
      </c>
      <c r="B143" s="50">
        <f>VLOOKUP($A143,'Data Vlaue (Cr)'!$C:$FB,8)</f>
        <v>3533.6</v>
      </c>
      <c r="C143" s="50">
        <f>VLOOKUP($A143,'Data Vlaue (Cr)'!$C:$FB,11)*100</f>
        <v>2.5299999999999998</v>
      </c>
      <c r="D143" s="50">
        <f>VLOOKUP($A143,'Data Vlaue (Cr)'!$C:$FB,143)</f>
        <v>1074.02</v>
      </c>
      <c r="E143" s="50">
        <f>VLOOKUP($A143,'Data Vlaue (Cr)'!$C:$FB,144)</f>
        <v>923.54</v>
      </c>
      <c r="F143" s="50">
        <f>VLOOKUP($A143,'Data Vlaue (Cr)'!$C:$FB,146)*100</f>
        <v>16.29</v>
      </c>
      <c r="G143" s="49">
        <f>VLOOKUP($A143,'Data Vlaue (Cr)'!$C:$FB,43)</f>
        <v>301</v>
      </c>
      <c r="H143" s="49">
        <f>VLOOKUP($A143,'Data Vlaue (Cr)'!$C:$FB,44)</f>
        <v>236</v>
      </c>
      <c r="I143" s="49">
        <f>VLOOKUP($A143,'Data Vlaue (Cr)'!$C:$FB,46)*100</f>
        <v>27.66</v>
      </c>
      <c r="J143" s="51">
        <f>VLOOKUP($A143,'Data Vlaue (Cr)'!$C:$FB,59)</f>
        <v>503</v>
      </c>
      <c r="K143" s="51">
        <f>VLOOKUP($A143,'Data Vlaue (Cr)'!$C:$FB,60)</f>
        <v>431</v>
      </c>
      <c r="L143" s="51">
        <f>VLOOKUP($A143,'Data Vlaue (Cr)'!$C:$FB,62)*100</f>
        <v>16.66</v>
      </c>
      <c r="M143" s="51">
        <f>VLOOKUP($A143,'Data Vlaue (Cr)'!$C:$FB,63)</f>
        <v>255</v>
      </c>
      <c r="N143" s="51">
        <f>VLOOKUP($A143,'Data Vlaue (Cr)'!$C:$FB,64)</f>
        <v>258</v>
      </c>
      <c r="O143" s="51">
        <f>VLOOKUP($A143,'Data Vlaue (Cr)'!$C:$FB,66)*100</f>
        <v>-1.29</v>
      </c>
    </row>
    <row r="144" spans="1:15" x14ac:dyDescent="0.25">
      <c r="A144" s="101" t="str">
        <f>'Data Vlaue (Cr)'!C139</f>
        <v>NAM-INDIA</v>
      </c>
      <c r="B144" s="50">
        <f>VLOOKUP($A144,'Data Vlaue (Cr)'!$C:$FB,8)</f>
        <v>1094.2</v>
      </c>
      <c r="C144" s="50">
        <f>VLOOKUP($A144,'Data Vlaue (Cr)'!$C:$FB,11)*100</f>
        <v>3.93</v>
      </c>
      <c r="D144" s="50">
        <f>VLOOKUP($A144,'Data Vlaue (Cr)'!$C:$FB,143)</f>
        <v>799.03</v>
      </c>
      <c r="E144" s="50">
        <f>VLOOKUP($A144,'Data Vlaue (Cr)'!$C:$FB,144)</f>
        <v>604.14</v>
      </c>
      <c r="F144" s="50">
        <f>VLOOKUP($A144,'Data Vlaue (Cr)'!$C:$FB,146)*100</f>
        <v>32.26</v>
      </c>
      <c r="G144" s="49">
        <f>VLOOKUP($A144,'Data Vlaue (Cr)'!$C:$FB,43)</f>
        <v>178</v>
      </c>
      <c r="H144" s="49">
        <f>VLOOKUP($A144,'Data Vlaue (Cr)'!$C:$FB,44)</f>
        <v>121</v>
      </c>
      <c r="I144" s="49">
        <f>VLOOKUP($A144,'Data Vlaue (Cr)'!$C:$FB,46)*100</f>
        <v>46.71</v>
      </c>
      <c r="J144" s="51">
        <f>VLOOKUP($A144,'Data Vlaue (Cr)'!$C:$FB,59)</f>
        <v>508</v>
      </c>
      <c r="K144" s="51">
        <f>VLOOKUP($A144,'Data Vlaue (Cr)'!$C:$FB,60)</f>
        <v>412</v>
      </c>
      <c r="L144" s="51">
        <f>VLOOKUP($A144,'Data Vlaue (Cr)'!$C:$FB,62)*100</f>
        <v>23.51</v>
      </c>
      <c r="M144" s="51">
        <f>VLOOKUP($A144,'Data Vlaue (Cr)'!$C:$FB,63)</f>
        <v>98</v>
      </c>
      <c r="N144" s="51">
        <f>VLOOKUP($A144,'Data Vlaue (Cr)'!$C:$FB,64)</f>
        <v>65</v>
      </c>
      <c r="O144" s="51">
        <f>VLOOKUP($A144,'Data Vlaue (Cr)'!$C:$FB,66)*100</f>
        <v>51.259999999999991</v>
      </c>
    </row>
    <row r="145" spans="1:15" x14ac:dyDescent="0.25">
      <c r="A145" s="101" t="str">
        <f>'Data Vlaue (Cr)'!C140</f>
        <v>NATIONALUM</v>
      </c>
      <c r="B145" s="50">
        <f>VLOOKUP($A145,'Data Vlaue (Cr)'!$C:$FB,8)</f>
        <v>406.55</v>
      </c>
      <c r="C145" s="50">
        <f>VLOOKUP($A145,'Data Vlaue (Cr)'!$C:$FB,11)*100</f>
        <v>-1.7000000000000002</v>
      </c>
      <c r="D145" s="50">
        <f>VLOOKUP($A145,'Data Vlaue (Cr)'!$C:$FB,143)</f>
        <v>2636.56</v>
      </c>
      <c r="E145" s="50">
        <f>VLOOKUP($A145,'Data Vlaue (Cr)'!$C:$FB,144)</f>
        <v>2591.33</v>
      </c>
      <c r="F145" s="50">
        <f>VLOOKUP($A145,'Data Vlaue (Cr)'!$C:$FB,146)*100</f>
        <v>1.7500000000000002</v>
      </c>
      <c r="G145" s="49">
        <f>VLOOKUP($A145,'Data Vlaue (Cr)'!$C:$FB,43)</f>
        <v>585</v>
      </c>
      <c r="H145" s="49">
        <f>VLOOKUP($A145,'Data Vlaue (Cr)'!$C:$FB,44)</f>
        <v>473</v>
      </c>
      <c r="I145" s="49">
        <f>VLOOKUP($A145,'Data Vlaue (Cr)'!$C:$FB,46)*100</f>
        <v>23.549999999999997</v>
      </c>
      <c r="J145" s="51">
        <f>VLOOKUP($A145,'Data Vlaue (Cr)'!$C:$FB,59)</f>
        <v>1281</v>
      </c>
      <c r="K145" s="51">
        <f>VLOOKUP($A145,'Data Vlaue (Cr)'!$C:$FB,60)</f>
        <v>1390</v>
      </c>
      <c r="L145" s="51">
        <f>VLOOKUP($A145,'Data Vlaue (Cr)'!$C:$FB,62)*100</f>
        <v>-7.8299999999999992</v>
      </c>
      <c r="M145" s="51">
        <f>VLOOKUP($A145,'Data Vlaue (Cr)'!$C:$FB,63)</f>
        <v>651</v>
      </c>
      <c r="N145" s="51">
        <f>VLOOKUP($A145,'Data Vlaue (Cr)'!$C:$FB,64)</f>
        <v>605</v>
      </c>
      <c r="O145" s="51">
        <f>VLOOKUP($A145,'Data Vlaue (Cr)'!$C:$FB,66)*100</f>
        <v>7.6300000000000008</v>
      </c>
    </row>
    <row r="146" spans="1:15" x14ac:dyDescent="0.25">
      <c r="A146" s="101" t="str">
        <f>'Data Vlaue (Cr)'!C141</f>
        <v>NAUKRI</v>
      </c>
      <c r="B146" s="50">
        <f>VLOOKUP($A146,'Data Vlaue (Cr)'!$C:$FB,8)</f>
        <v>981.4</v>
      </c>
      <c r="C146" s="50">
        <f>VLOOKUP($A146,'Data Vlaue (Cr)'!$C:$FB,11)*100</f>
        <v>1.81</v>
      </c>
      <c r="D146" s="50">
        <f>VLOOKUP($A146,'Data Vlaue (Cr)'!$C:$FB,143)</f>
        <v>505.59</v>
      </c>
      <c r="E146" s="50">
        <f>VLOOKUP($A146,'Data Vlaue (Cr)'!$C:$FB,144)</f>
        <v>449.38</v>
      </c>
      <c r="F146" s="50">
        <f>VLOOKUP($A146,'Data Vlaue (Cr)'!$C:$FB,146)*100</f>
        <v>12.509999999999998</v>
      </c>
      <c r="G146" s="49">
        <f>VLOOKUP($A146,'Data Vlaue (Cr)'!$C:$FB,43)</f>
        <v>188</v>
      </c>
      <c r="H146" s="49">
        <f>VLOOKUP($A146,'Data Vlaue (Cr)'!$C:$FB,44)</f>
        <v>128</v>
      </c>
      <c r="I146" s="49">
        <f>VLOOKUP($A146,'Data Vlaue (Cr)'!$C:$FB,46)*100</f>
        <v>47.23</v>
      </c>
      <c r="J146" s="51">
        <f>VLOOKUP($A146,'Data Vlaue (Cr)'!$C:$FB,59)</f>
        <v>229</v>
      </c>
      <c r="K146" s="51">
        <f>VLOOKUP($A146,'Data Vlaue (Cr)'!$C:$FB,60)</f>
        <v>224</v>
      </c>
      <c r="L146" s="51">
        <f>VLOOKUP($A146,'Data Vlaue (Cr)'!$C:$FB,62)*100</f>
        <v>2.17</v>
      </c>
      <c r="M146" s="51">
        <f>VLOOKUP($A146,'Data Vlaue (Cr)'!$C:$FB,63)</f>
        <v>77</v>
      </c>
      <c r="N146" s="51">
        <f>VLOOKUP($A146,'Data Vlaue (Cr)'!$C:$FB,64)</f>
        <v>83</v>
      </c>
      <c r="O146" s="51">
        <f>VLOOKUP($A146,'Data Vlaue (Cr)'!$C:$FB,66)*100</f>
        <v>-7.64</v>
      </c>
    </row>
    <row r="147" spans="1:15" x14ac:dyDescent="0.25">
      <c r="A147" s="101" t="str">
        <f>'Data Vlaue (Cr)'!C142</f>
        <v>NBCC</v>
      </c>
      <c r="B147" s="50">
        <f>VLOOKUP($A147,'Data Vlaue (Cr)'!$C:$FB,8)</f>
        <v>94.94</v>
      </c>
      <c r="C147" s="50">
        <f>VLOOKUP($A147,'Data Vlaue (Cr)'!$C:$FB,11)*100</f>
        <v>2.17</v>
      </c>
      <c r="D147" s="50">
        <f>VLOOKUP($A147,'Data Vlaue (Cr)'!$C:$FB,143)</f>
        <v>554.88</v>
      </c>
      <c r="E147" s="50">
        <f>VLOOKUP($A147,'Data Vlaue (Cr)'!$C:$FB,144)</f>
        <v>139.51</v>
      </c>
      <c r="F147" s="50">
        <f>VLOOKUP($A147,'Data Vlaue (Cr)'!$C:$FB,146)*100</f>
        <v>297.71999999999997</v>
      </c>
      <c r="G147" s="49">
        <f>VLOOKUP($A147,'Data Vlaue (Cr)'!$C:$FB,43)</f>
        <v>161</v>
      </c>
      <c r="H147" s="49">
        <f>VLOOKUP($A147,'Data Vlaue (Cr)'!$C:$FB,44)</f>
        <v>41</v>
      </c>
      <c r="I147" s="49">
        <f>VLOOKUP($A147,'Data Vlaue (Cr)'!$C:$FB,46)*100</f>
        <v>289.64</v>
      </c>
      <c r="J147" s="51">
        <f>VLOOKUP($A147,'Data Vlaue (Cr)'!$C:$FB,59)</f>
        <v>280</v>
      </c>
      <c r="K147" s="51">
        <f>VLOOKUP($A147,'Data Vlaue (Cr)'!$C:$FB,60)</f>
        <v>66</v>
      </c>
      <c r="L147" s="51">
        <f>VLOOKUP($A147,'Data Vlaue (Cr)'!$C:$FB,62)*100</f>
        <v>325.75</v>
      </c>
      <c r="M147" s="51">
        <f>VLOOKUP($A147,'Data Vlaue (Cr)'!$C:$FB,63)</f>
        <v>100</v>
      </c>
      <c r="N147" s="51">
        <f>VLOOKUP($A147,'Data Vlaue (Cr)'!$C:$FB,64)</f>
        <v>33</v>
      </c>
      <c r="O147" s="51">
        <f>VLOOKUP($A147,'Data Vlaue (Cr)'!$C:$FB,66)*100</f>
        <v>197.77</v>
      </c>
    </row>
    <row r="148" spans="1:15" x14ac:dyDescent="0.25">
      <c r="A148" s="101" t="str">
        <f>'Data Vlaue (Cr)'!C143</f>
        <v>NESTLEIND</v>
      </c>
      <c r="B148" s="50">
        <f>VLOOKUP($A148,'Data Vlaue (Cr)'!$C:$FB,8)</f>
        <v>1486.1</v>
      </c>
      <c r="C148" s="50">
        <f>VLOOKUP($A148,'Data Vlaue (Cr)'!$C:$FB,11)*100</f>
        <v>0.55999999999999994</v>
      </c>
      <c r="D148" s="50">
        <f>VLOOKUP($A148,'Data Vlaue (Cr)'!$C:$FB,143)</f>
        <v>1772.36</v>
      </c>
      <c r="E148" s="50">
        <f>VLOOKUP($A148,'Data Vlaue (Cr)'!$C:$FB,144)</f>
        <v>1530.44</v>
      </c>
      <c r="F148" s="50">
        <f>VLOOKUP($A148,'Data Vlaue (Cr)'!$C:$FB,146)*100</f>
        <v>15.809999999999999</v>
      </c>
      <c r="G148" s="49">
        <f>VLOOKUP($A148,'Data Vlaue (Cr)'!$C:$FB,43)</f>
        <v>335</v>
      </c>
      <c r="H148" s="49">
        <f>VLOOKUP($A148,'Data Vlaue (Cr)'!$C:$FB,44)</f>
        <v>340</v>
      </c>
      <c r="I148" s="49">
        <f>VLOOKUP($A148,'Data Vlaue (Cr)'!$C:$FB,46)*100</f>
        <v>-1.32</v>
      </c>
      <c r="J148" s="51">
        <f>VLOOKUP($A148,'Data Vlaue (Cr)'!$C:$FB,59)</f>
        <v>739</v>
      </c>
      <c r="K148" s="51">
        <f>VLOOKUP($A148,'Data Vlaue (Cr)'!$C:$FB,60)</f>
        <v>702</v>
      </c>
      <c r="L148" s="51">
        <f>VLOOKUP($A148,'Data Vlaue (Cr)'!$C:$FB,62)*100</f>
        <v>5.1499999999999995</v>
      </c>
      <c r="M148" s="51">
        <f>VLOOKUP($A148,'Data Vlaue (Cr)'!$C:$FB,63)</f>
        <v>701</v>
      </c>
      <c r="N148" s="51">
        <f>VLOOKUP($A148,'Data Vlaue (Cr)'!$C:$FB,64)</f>
        <v>491</v>
      </c>
      <c r="O148" s="51">
        <f>VLOOKUP($A148,'Data Vlaue (Cr)'!$C:$FB,66)*100</f>
        <v>42.65</v>
      </c>
    </row>
    <row r="149" spans="1:15" x14ac:dyDescent="0.25">
      <c r="A149" s="101" t="str">
        <f>'Data Vlaue (Cr)'!C144</f>
        <v>NHPC</v>
      </c>
      <c r="B149" s="50">
        <f>VLOOKUP($A149,'Data Vlaue (Cr)'!$C:$FB,8)</f>
        <v>83.66</v>
      </c>
      <c r="C149" s="50">
        <f>VLOOKUP($A149,'Data Vlaue (Cr)'!$C:$FB,11)*100</f>
        <v>0.59</v>
      </c>
      <c r="D149" s="50">
        <f>VLOOKUP($A149,'Data Vlaue (Cr)'!$C:$FB,143)</f>
        <v>460.84</v>
      </c>
      <c r="E149" s="50">
        <f>VLOOKUP($A149,'Data Vlaue (Cr)'!$C:$FB,144)</f>
        <v>336.2</v>
      </c>
      <c r="F149" s="50">
        <f>VLOOKUP($A149,'Data Vlaue (Cr)'!$C:$FB,146)*100</f>
        <v>37.07</v>
      </c>
      <c r="G149" s="49">
        <f>VLOOKUP($A149,'Data Vlaue (Cr)'!$C:$FB,43)</f>
        <v>106</v>
      </c>
      <c r="H149" s="49">
        <f>VLOOKUP($A149,'Data Vlaue (Cr)'!$C:$FB,44)</f>
        <v>71</v>
      </c>
      <c r="I149" s="49">
        <f>VLOOKUP($A149,'Data Vlaue (Cr)'!$C:$FB,46)*100</f>
        <v>49.370000000000005</v>
      </c>
      <c r="J149" s="51">
        <f>VLOOKUP($A149,'Data Vlaue (Cr)'!$C:$FB,59)</f>
        <v>273</v>
      </c>
      <c r="K149" s="51">
        <f>VLOOKUP($A149,'Data Vlaue (Cr)'!$C:$FB,60)</f>
        <v>196</v>
      </c>
      <c r="L149" s="51">
        <f>VLOOKUP($A149,'Data Vlaue (Cr)'!$C:$FB,62)*100</f>
        <v>39.290000000000006</v>
      </c>
      <c r="M149" s="51">
        <f>VLOOKUP($A149,'Data Vlaue (Cr)'!$C:$FB,63)</f>
        <v>68</v>
      </c>
      <c r="N149" s="51">
        <f>VLOOKUP($A149,'Data Vlaue (Cr)'!$C:$FB,64)</f>
        <v>59</v>
      </c>
      <c r="O149" s="51">
        <f>VLOOKUP($A149,'Data Vlaue (Cr)'!$C:$FB,66)*100</f>
        <v>15.540000000000001</v>
      </c>
    </row>
    <row r="150" spans="1:15" x14ac:dyDescent="0.25">
      <c r="A150" s="101" t="str">
        <f>'Data Vlaue (Cr)'!C145</f>
        <v>NIFTY</v>
      </c>
      <c r="B150" s="50">
        <f>VLOOKUP($A150,'Data Vlaue (Cr)'!$C:$FB,8)</f>
        <v>24330.95</v>
      </c>
      <c r="C150" s="50">
        <f>VLOOKUP($A150,'Data Vlaue (Cr)'!$C:$FB,11)*100</f>
        <v>1.24</v>
      </c>
      <c r="D150" s="50">
        <f>VLOOKUP($A150,'Data Vlaue (Cr)'!$C:$FB,143)</f>
        <v>9556212.1600000001</v>
      </c>
      <c r="E150" s="50">
        <f>VLOOKUP($A150,'Data Vlaue (Cr)'!$C:$FB,144)</f>
        <v>69290107.75</v>
      </c>
      <c r="F150" s="50">
        <f>VLOOKUP($A150,'Data Vlaue (Cr)'!$C:$FB,146)*100</f>
        <v>-86.21</v>
      </c>
      <c r="G150" s="49">
        <f>VLOOKUP($A150,'Data Vlaue (Cr)'!$C:$FB,43)</f>
        <v>17691</v>
      </c>
      <c r="H150" s="49">
        <f>VLOOKUP($A150,'Data Vlaue (Cr)'!$C:$FB,44)</f>
        <v>11415</v>
      </c>
      <c r="I150" s="49">
        <f>VLOOKUP($A150,'Data Vlaue (Cr)'!$C:$FB,46)*100</f>
        <v>54.990000000000009</v>
      </c>
      <c r="J150" s="51">
        <f>VLOOKUP($A150,'Data Vlaue (Cr)'!$C:$FB,59)</f>
        <v>4790693</v>
      </c>
      <c r="K150" s="51">
        <f>VLOOKUP($A150,'Data Vlaue (Cr)'!$C:$FB,60)</f>
        <v>37162063</v>
      </c>
      <c r="L150" s="51">
        <f>VLOOKUP($A150,'Data Vlaue (Cr)'!$C:$FB,62)*100</f>
        <v>-87.11</v>
      </c>
      <c r="M150" s="51">
        <f>VLOOKUP($A150,'Data Vlaue (Cr)'!$C:$FB,63)</f>
        <v>4824683</v>
      </c>
      <c r="N150" s="51">
        <f>VLOOKUP($A150,'Data Vlaue (Cr)'!$C:$FB,64)</f>
        <v>33220754</v>
      </c>
      <c r="O150" s="51">
        <f>VLOOKUP($A150,'Data Vlaue (Cr)'!$C:$FB,66)*100</f>
        <v>-85.48</v>
      </c>
    </row>
    <row r="151" spans="1:15" x14ac:dyDescent="0.25">
      <c r="A151" s="101" t="str">
        <f>'Data Vlaue (Cr)'!C146</f>
        <v>NIFTYNXT50</v>
      </c>
      <c r="B151" s="50">
        <f>VLOOKUP($A151,'Data Vlaue (Cr)'!$C:$FB,8)</f>
        <v>71691.45</v>
      </c>
      <c r="C151" s="50">
        <f>VLOOKUP($A151,'Data Vlaue (Cr)'!$C:$FB,11)*100</f>
        <v>1.51</v>
      </c>
      <c r="D151" s="50">
        <f>VLOOKUP($A151,'Data Vlaue (Cr)'!$C:$FB,143)</f>
        <v>121.83</v>
      </c>
      <c r="E151" s="50">
        <f>VLOOKUP($A151,'Data Vlaue (Cr)'!$C:$FB,144)</f>
        <v>59.13</v>
      </c>
      <c r="F151" s="50">
        <f>VLOOKUP($A151,'Data Vlaue (Cr)'!$C:$FB,146)*100</f>
        <v>106.02000000000001</v>
      </c>
      <c r="G151" s="49">
        <f>VLOOKUP($A151,'Data Vlaue (Cr)'!$C:$FB,43)</f>
        <v>52</v>
      </c>
      <c r="H151" s="49">
        <f>VLOOKUP($A151,'Data Vlaue (Cr)'!$C:$FB,44)</f>
        <v>17</v>
      </c>
      <c r="I151" s="49">
        <f>VLOOKUP($A151,'Data Vlaue (Cr)'!$C:$FB,46)*100</f>
        <v>198.96</v>
      </c>
      <c r="J151" s="51">
        <f>VLOOKUP($A151,'Data Vlaue (Cr)'!$C:$FB,59)</f>
        <v>66</v>
      </c>
      <c r="K151" s="51">
        <f>VLOOKUP($A151,'Data Vlaue (Cr)'!$C:$FB,60)</f>
        <v>41</v>
      </c>
      <c r="L151" s="51">
        <f>VLOOKUP($A151,'Data Vlaue (Cr)'!$C:$FB,62)*100</f>
        <v>61.06</v>
      </c>
      <c r="M151" s="51">
        <f>VLOOKUP($A151,'Data Vlaue (Cr)'!$C:$FB,63)</f>
        <v>4</v>
      </c>
      <c r="N151" s="51">
        <f>VLOOKUP($A151,'Data Vlaue (Cr)'!$C:$FB,64)</f>
        <v>1</v>
      </c>
      <c r="O151" s="51">
        <f>VLOOKUP($A151,'Data Vlaue (Cr)'!$C:$FB,66)*100</f>
        <v>175</v>
      </c>
    </row>
    <row r="152" spans="1:15" x14ac:dyDescent="0.25">
      <c r="A152" s="101" t="str">
        <f>'Data Vlaue (Cr)'!C147</f>
        <v>NMDC</v>
      </c>
      <c r="B152" s="50">
        <f>VLOOKUP($A152,'Data Vlaue (Cr)'!$C:$FB,8)</f>
        <v>89.18</v>
      </c>
      <c r="C152" s="50">
        <f>VLOOKUP($A152,'Data Vlaue (Cr)'!$C:$FB,11)*100</f>
        <v>0.38999999999999996</v>
      </c>
      <c r="D152" s="50">
        <f>VLOOKUP($A152,'Data Vlaue (Cr)'!$C:$FB,143)</f>
        <v>683.65</v>
      </c>
      <c r="E152" s="50">
        <f>VLOOKUP($A152,'Data Vlaue (Cr)'!$C:$FB,144)</f>
        <v>511.38</v>
      </c>
      <c r="F152" s="50">
        <f>VLOOKUP($A152,'Data Vlaue (Cr)'!$C:$FB,146)*100</f>
        <v>33.69</v>
      </c>
      <c r="G152" s="49">
        <f>VLOOKUP($A152,'Data Vlaue (Cr)'!$C:$FB,43)</f>
        <v>154</v>
      </c>
      <c r="H152" s="49">
        <f>VLOOKUP($A152,'Data Vlaue (Cr)'!$C:$FB,44)</f>
        <v>109</v>
      </c>
      <c r="I152" s="49">
        <f>VLOOKUP($A152,'Data Vlaue (Cr)'!$C:$FB,46)*100</f>
        <v>41.370000000000005</v>
      </c>
      <c r="J152" s="51">
        <f>VLOOKUP($A152,'Data Vlaue (Cr)'!$C:$FB,59)</f>
        <v>384</v>
      </c>
      <c r="K152" s="51">
        <f>VLOOKUP($A152,'Data Vlaue (Cr)'!$C:$FB,60)</f>
        <v>301</v>
      </c>
      <c r="L152" s="51">
        <f>VLOOKUP($A152,'Data Vlaue (Cr)'!$C:$FB,62)*100</f>
        <v>27.54</v>
      </c>
      <c r="M152" s="51">
        <f>VLOOKUP($A152,'Data Vlaue (Cr)'!$C:$FB,63)</f>
        <v>126</v>
      </c>
      <c r="N152" s="51">
        <f>VLOOKUP($A152,'Data Vlaue (Cr)'!$C:$FB,64)</f>
        <v>87</v>
      </c>
      <c r="O152" s="51">
        <f>VLOOKUP($A152,'Data Vlaue (Cr)'!$C:$FB,66)*100</f>
        <v>43.87</v>
      </c>
    </row>
    <row r="153" spans="1:15" x14ac:dyDescent="0.25">
      <c r="A153" s="101" t="str">
        <f>'Data Vlaue (Cr)'!C148</f>
        <v>NTPC</v>
      </c>
      <c r="B153" s="50">
        <f>VLOOKUP($A153,'Data Vlaue (Cr)'!$C:$FB,8)</f>
        <v>394.85</v>
      </c>
      <c r="C153" s="50">
        <f>VLOOKUP($A153,'Data Vlaue (Cr)'!$C:$FB,11)*100</f>
        <v>-0.95</v>
      </c>
      <c r="D153" s="50">
        <f>VLOOKUP($A153,'Data Vlaue (Cr)'!$C:$FB,143)</f>
        <v>2672.63</v>
      </c>
      <c r="E153" s="50">
        <f>VLOOKUP($A153,'Data Vlaue (Cr)'!$C:$FB,144)</f>
        <v>2374.86</v>
      </c>
      <c r="F153" s="50">
        <f>VLOOKUP($A153,'Data Vlaue (Cr)'!$C:$FB,146)*100</f>
        <v>12.540000000000001</v>
      </c>
      <c r="G153" s="49">
        <f>VLOOKUP($A153,'Data Vlaue (Cr)'!$C:$FB,43)</f>
        <v>502</v>
      </c>
      <c r="H153" s="49">
        <f>VLOOKUP($A153,'Data Vlaue (Cr)'!$C:$FB,44)</f>
        <v>303</v>
      </c>
      <c r="I153" s="49">
        <f>VLOOKUP($A153,'Data Vlaue (Cr)'!$C:$FB,46)*100</f>
        <v>65.58</v>
      </c>
      <c r="J153" s="51">
        <f>VLOOKUP($A153,'Data Vlaue (Cr)'!$C:$FB,59)</f>
        <v>1552</v>
      </c>
      <c r="K153" s="51">
        <f>VLOOKUP($A153,'Data Vlaue (Cr)'!$C:$FB,60)</f>
        <v>1580</v>
      </c>
      <c r="L153" s="51">
        <f>VLOOKUP($A153,'Data Vlaue (Cr)'!$C:$FB,62)*100</f>
        <v>-1.78</v>
      </c>
      <c r="M153" s="51">
        <f>VLOOKUP($A153,'Data Vlaue (Cr)'!$C:$FB,63)</f>
        <v>543</v>
      </c>
      <c r="N153" s="51">
        <f>VLOOKUP($A153,'Data Vlaue (Cr)'!$C:$FB,64)</f>
        <v>399</v>
      </c>
      <c r="O153" s="51">
        <f>VLOOKUP($A153,'Data Vlaue (Cr)'!$C:$FB,66)*100</f>
        <v>36.26</v>
      </c>
    </row>
    <row r="154" spans="1:15" x14ac:dyDescent="0.25">
      <c r="A154" s="101" t="str">
        <f>'Data Vlaue (Cr)'!C149</f>
        <v>NUVAMA</v>
      </c>
      <c r="B154" s="50">
        <f>VLOOKUP($A154,'Data Vlaue (Cr)'!$C:$FB,8)</f>
        <v>1413.6</v>
      </c>
      <c r="C154" s="50">
        <f>VLOOKUP($A154,'Data Vlaue (Cr)'!$C:$FB,11)*100</f>
        <v>4.63</v>
      </c>
      <c r="D154" s="50">
        <f>VLOOKUP($A154,'Data Vlaue (Cr)'!$C:$FB,143)</f>
        <v>410.72</v>
      </c>
      <c r="E154" s="50">
        <f>VLOOKUP($A154,'Data Vlaue (Cr)'!$C:$FB,144)</f>
        <v>296.70999999999998</v>
      </c>
      <c r="F154" s="50">
        <f>VLOOKUP($A154,'Data Vlaue (Cr)'!$C:$FB,146)*100</f>
        <v>38.42</v>
      </c>
      <c r="G154" s="49">
        <f>VLOOKUP($A154,'Data Vlaue (Cr)'!$C:$FB,43)</f>
        <v>136</v>
      </c>
      <c r="H154" s="49">
        <f>VLOOKUP($A154,'Data Vlaue (Cr)'!$C:$FB,44)</f>
        <v>116</v>
      </c>
      <c r="I154" s="49">
        <f>VLOOKUP($A154,'Data Vlaue (Cr)'!$C:$FB,46)*100</f>
        <v>17.71</v>
      </c>
      <c r="J154" s="51">
        <f>VLOOKUP($A154,'Data Vlaue (Cr)'!$C:$FB,59)</f>
        <v>191</v>
      </c>
      <c r="K154" s="51">
        <f>VLOOKUP($A154,'Data Vlaue (Cr)'!$C:$FB,60)</f>
        <v>151</v>
      </c>
      <c r="L154" s="51">
        <f>VLOOKUP($A154,'Data Vlaue (Cr)'!$C:$FB,62)*100</f>
        <v>26.55</v>
      </c>
      <c r="M154" s="51">
        <f>VLOOKUP($A154,'Data Vlaue (Cr)'!$C:$FB,63)</f>
        <v>78</v>
      </c>
      <c r="N154" s="51">
        <f>VLOOKUP($A154,'Data Vlaue (Cr)'!$C:$FB,64)</f>
        <v>32</v>
      </c>
      <c r="O154" s="51">
        <f>VLOOKUP($A154,'Data Vlaue (Cr)'!$C:$FB,66)*100</f>
        <v>143.01</v>
      </c>
    </row>
    <row r="155" spans="1:15" x14ac:dyDescent="0.25">
      <c r="A155" s="101" t="str">
        <f>'Data Vlaue (Cr)'!C150</f>
        <v>NYKAA</v>
      </c>
      <c r="B155" s="50">
        <f>VLOOKUP($A155,'Data Vlaue (Cr)'!$C:$FB,8)</f>
        <v>272.35000000000002</v>
      </c>
      <c r="C155" s="50">
        <f>VLOOKUP($A155,'Data Vlaue (Cr)'!$C:$FB,11)*100</f>
        <v>0.86999999999999988</v>
      </c>
      <c r="D155" s="50">
        <f>VLOOKUP($A155,'Data Vlaue (Cr)'!$C:$FB,143)</f>
        <v>406.98</v>
      </c>
      <c r="E155" s="50">
        <f>VLOOKUP($A155,'Data Vlaue (Cr)'!$C:$FB,144)</f>
        <v>236.36</v>
      </c>
      <c r="F155" s="50">
        <f>VLOOKUP($A155,'Data Vlaue (Cr)'!$C:$FB,146)*100</f>
        <v>72.19</v>
      </c>
      <c r="G155" s="49">
        <f>VLOOKUP($A155,'Data Vlaue (Cr)'!$C:$FB,43)</f>
        <v>96</v>
      </c>
      <c r="H155" s="49">
        <f>VLOOKUP($A155,'Data Vlaue (Cr)'!$C:$FB,44)</f>
        <v>79</v>
      </c>
      <c r="I155" s="49">
        <f>VLOOKUP($A155,'Data Vlaue (Cr)'!$C:$FB,46)*100</f>
        <v>22.63</v>
      </c>
      <c r="J155" s="51">
        <f>VLOOKUP($A155,'Data Vlaue (Cr)'!$C:$FB,59)</f>
        <v>248</v>
      </c>
      <c r="K155" s="51">
        <f>VLOOKUP($A155,'Data Vlaue (Cr)'!$C:$FB,60)</f>
        <v>122</v>
      </c>
      <c r="L155" s="51">
        <f>VLOOKUP($A155,'Data Vlaue (Cr)'!$C:$FB,62)*100</f>
        <v>104.36000000000001</v>
      </c>
      <c r="M155" s="51">
        <f>VLOOKUP($A155,'Data Vlaue (Cr)'!$C:$FB,63)</f>
        <v>51</v>
      </c>
      <c r="N155" s="51">
        <f>VLOOKUP($A155,'Data Vlaue (Cr)'!$C:$FB,64)</f>
        <v>34</v>
      </c>
      <c r="O155" s="51">
        <f>VLOOKUP($A155,'Data Vlaue (Cr)'!$C:$FB,66)*100</f>
        <v>52.790000000000006</v>
      </c>
    </row>
    <row r="156" spans="1:15" x14ac:dyDescent="0.25">
      <c r="A156" s="101" t="str">
        <f>'Data Vlaue (Cr)'!C151</f>
        <v>OBEROIRLTY</v>
      </c>
      <c r="B156" s="50">
        <f>VLOOKUP($A156,'Data Vlaue (Cr)'!$C:$FB,8)</f>
        <v>1673.4</v>
      </c>
      <c r="C156" s="50">
        <f>VLOOKUP($A156,'Data Vlaue (Cr)'!$C:$FB,11)*100</f>
        <v>0.43</v>
      </c>
      <c r="D156" s="50">
        <f>VLOOKUP($A156,'Data Vlaue (Cr)'!$C:$FB,143)</f>
        <v>252.01</v>
      </c>
      <c r="E156" s="50">
        <f>VLOOKUP($A156,'Data Vlaue (Cr)'!$C:$FB,144)</f>
        <v>179.2</v>
      </c>
      <c r="F156" s="50">
        <f>VLOOKUP($A156,'Data Vlaue (Cr)'!$C:$FB,146)*100</f>
        <v>40.630000000000003</v>
      </c>
      <c r="G156" s="49">
        <f>VLOOKUP($A156,'Data Vlaue (Cr)'!$C:$FB,43)</f>
        <v>90</v>
      </c>
      <c r="H156" s="49">
        <f>VLOOKUP($A156,'Data Vlaue (Cr)'!$C:$FB,44)</f>
        <v>76</v>
      </c>
      <c r="I156" s="49">
        <f>VLOOKUP($A156,'Data Vlaue (Cr)'!$C:$FB,46)*100</f>
        <v>19.3</v>
      </c>
      <c r="J156" s="51">
        <f>VLOOKUP($A156,'Data Vlaue (Cr)'!$C:$FB,59)</f>
        <v>119</v>
      </c>
      <c r="K156" s="51">
        <f>VLOOKUP($A156,'Data Vlaue (Cr)'!$C:$FB,60)</f>
        <v>65</v>
      </c>
      <c r="L156" s="51">
        <f>VLOOKUP($A156,'Data Vlaue (Cr)'!$C:$FB,62)*100</f>
        <v>83.08</v>
      </c>
      <c r="M156" s="51">
        <f>VLOOKUP($A156,'Data Vlaue (Cr)'!$C:$FB,63)</f>
        <v>36</v>
      </c>
      <c r="N156" s="51">
        <f>VLOOKUP($A156,'Data Vlaue (Cr)'!$C:$FB,64)</f>
        <v>34</v>
      </c>
      <c r="O156" s="51">
        <f>VLOOKUP($A156,'Data Vlaue (Cr)'!$C:$FB,66)*100</f>
        <v>6.04</v>
      </c>
    </row>
    <row r="157" spans="1:15" x14ac:dyDescent="0.25">
      <c r="A157" s="101" t="str">
        <f>'Data Vlaue (Cr)'!C152</f>
        <v>OFSS</v>
      </c>
      <c r="B157" s="50">
        <f>VLOOKUP($A157,'Data Vlaue (Cr)'!$C:$FB,8)</f>
        <v>9694.5</v>
      </c>
      <c r="C157" s="50">
        <f>VLOOKUP($A157,'Data Vlaue (Cr)'!$C:$FB,11)*100</f>
        <v>-0.13</v>
      </c>
      <c r="D157" s="50">
        <f>VLOOKUP($A157,'Data Vlaue (Cr)'!$C:$FB,143)</f>
        <v>1493.34</v>
      </c>
      <c r="E157" s="50">
        <f>VLOOKUP($A157,'Data Vlaue (Cr)'!$C:$FB,144)</f>
        <v>1886.83</v>
      </c>
      <c r="F157" s="50">
        <f>VLOOKUP($A157,'Data Vlaue (Cr)'!$C:$FB,146)*100</f>
        <v>-20.849999999999998</v>
      </c>
      <c r="G157" s="49">
        <f>VLOOKUP($A157,'Data Vlaue (Cr)'!$C:$FB,43)</f>
        <v>209</v>
      </c>
      <c r="H157" s="49">
        <f>VLOOKUP($A157,'Data Vlaue (Cr)'!$C:$FB,44)</f>
        <v>255</v>
      </c>
      <c r="I157" s="49">
        <f>VLOOKUP($A157,'Data Vlaue (Cr)'!$C:$FB,46)*100</f>
        <v>-18.05</v>
      </c>
      <c r="J157" s="51">
        <f>VLOOKUP($A157,'Data Vlaue (Cr)'!$C:$FB,59)</f>
        <v>501</v>
      </c>
      <c r="K157" s="51">
        <f>VLOOKUP($A157,'Data Vlaue (Cr)'!$C:$FB,60)</f>
        <v>939</v>
      </c>
      <c r="L157" s="51">
        <f>VLOOKUP($A157,'Data Vlaue (Cr)'!$C:$FB,62)*100</f>
        <v>-46.58</v>
      </c>
      <c r="M157" s="51">
        <f>VLOOKUP($A157,'Data Vlaue (Cr)'!$C:$FB,63)</f>
        <v>881</v>
      </c>
      <c r="N157" s="51">
        <f>VLOOKUP($A157,'Data Vlaue (Cr)'!$C:$FB,64)</f>
        <v>683</v>
      </c>
      <c r="O157" s="51">
        <f>VLOOKUP($A157,'Data Vlaue (Cr)'!$C:$FB,66)*100</f>
        <v>28.96</v>
      </c>
    </row>
    <row r="158" spans="1:15" x14ac:dyDescent="0.25">
      <c r="A158" s="101" t="str">
        <f>'Data Vlaue (Cr)'!C153</f>
        <v>OIL</v>
      </c>
      <c r="B158" s="50">
        <f>VLOOKUP($A158,'Data Vlaue (Cr)'!$C:$FB,8)</f>
        <v>450.25</v>
      </c>
      <c r="C158" s="50">
        <f>VLOOKUP($A158,'Data Vlaue (Cr)'!$C:$FB,11)*100</f>
        <v>-5.5100000000000007</v>
      </c>
      <c r="D158" s="50">
        <f>VLOOKUP($A158,'Data Vlaue (Cr)'!$C:$FB,143)</f>
        <v>1324.54</v>
      </c>
      <c r="E158" s="50">
        <f>VLOOKUP($A158,'Data Vlaue (Cr)'!$C:$FB,144)</f>
        <v>909.47</v>
      </c>
      <c r="F158" s="50">
        <f>VLOOKUP($A158,'Data Vlaue (Cr)'!$C:$FB,146)*100</f>
        <v>45.64</v>
      </c>
      <c r="G158" s="49">
        <f>VLOOKUP($A158,'Data Vlaue (Cr)'!$C:$FB,43)</f>
        <v>284</v>
      </c>
      <c r="H158" s="49">
        <f>VLOOKUP($A158,'Data Vlaue (Cr)'!$C:$FB,44)</f>
        <v>124</v>
      </c>
      <c r="I158" s="49">
        <f>VLOOKUP($A158,'Data Vlaue (Cr)'!$C:$FB,46)*100</f>
        <v>129.31</v>
      </c>
      <c r="J158" s="51">
        <f>VLOOKUP($A158,'Data Vlaue (Cr)'!$C:$FB,59)</f>
        <v>632</v>
      </c>
      <c r="K158" s="51">
        <f>VLOOKUP($A158,'Data Vlaue (Cr)'!$C:$FB,60)</f>
        <v>506</v>
      </c>
      <c r="L158" s="51">
        <f>VLOOKUP($A158,'Data Vlaue (Cr)'!$C:$FB,62)*100</f>
        <v>24.77</v>
      </c>
      <c r="M158" s="51">
        <f>VLOOKUP($A158,'Data Vlaue (Cr)'!$C:$FB,63)</f>
        <v>331</v>
      </c>
      <c r="N158" s="51">
        <f>VLOOKUP($A158,'Data Vlaue (Cr)'!$C:$FB,64)</f>
        <v>204</v>
      </c>
      <c r="O158" s="51">
        <f>VLOOKUP($A158,'Data Vlaue (Cr)'!$C:$FB,66)*100</f>
        <v>62.38</v>
      </c>
    </row>
    <row r="159" spans="1:15" x14ac:dyDescent="0.25">
      <c r="A159" s="101" t="str">
        <f>'Data Vlaue (Cr)'!C154</f>
        <v>ONGC</v>
      </c>
      <c r="B159" s="50">
        <f>VLOOKUP($A159,'Data Vlaue (Cr)'!$C:$FB,8)</f>
        <v>280.8</v>
      </c>
      <c r="C159" s="50">
        <f>VLOOKUP($A159,'Data Vlaue (Cr)'!$C:$FB,11)*100</f>
        <v>-3.16</v>
      </c>
      <c r="D159" s="50">
        <f>VLOOKUP($A159,'Data Vlaue (Cr)'!$C:$FB,143)</f>
        <v>4488.72</v>
      </c>
      <c r="E159" s="50">
        <f>VLOOKUP($A159,'Data Vlaue (Cr)'!$C:$FB,144)</f>
        <v>2509.33</v>
      </c>
      <c r="F159" s="50">
        <f>VLOOKUP($A159,'Data Vlaue (Cr)'!$C:$FB,146)*100</f>
        <v>78.88</v>
      </c>
      <c r="G159" s="49">
        <f>VLOOKUP($A159,'Data Vlaue (Cr)'!$C:$FB,43)</f>
        <v>518</v>
      </c>
      <c r="H159" s="49">
        <f>VLOOKUP($A159,'Data Vlaue (Cr)'!$C:$FB,44)</f>
        <v>270</v>
      </c>
      <c r="I159" s="49">
        <f>VLOOKUP($A159,'Data Vlaue (Cr)'!$C:$FB,46)*100</f>
        <v>91.92</v>
      </c>
      <c r="J159" s="51">
        <f>VLOOKUP($A159,'Data Vlaue (Cr)'!$C:$FB,59)</f>
        <v>2658</v>
      </c>
      <c r="K159" s="51">
        <f>VLOOKUP($A159,'Data Vlaue (Cr)'!$C:$FB,60)</f>
        <v>1542</v>
      </c>
      <c r="L159" s="51">
        <f>VLOOKUP($A159,'Data Vlaue (Cr)'!$C:$FB,62)*100</f>
        <v>72.34</v>
      </c>
      <c r="M159" s="51">
        <f>VLOOKUP($A159,'Data Vlaue (Cr)'!$C:$FB,63)</f>
        <v>1103</v>
      </c>
      <c r="N159" s="51">
        <f>VLOOKUP($A159,'Data Vlaue (Cr)'!$C:$FB,64)</f>
        <v>528</v>
      </c>
      <c r="O159" s="51">
        <f>VLOOKUP($A159,'Data Vlaue (Cr)'!$C:$FB,66)*100</f>
        <v>108.91999999999999</v>
      </c>
    </row>
    <row r="160" spans="1:15" x14ac:dyDescent="0.25">
      <c r="A160" s="101" t="str">
        <f>'Data Vlaue (Cr)'!C155</f>
        <v>PAGEIND</v>
      </c>
      <c r="B160" s="50">
        <f>VLOOKUP($A160,'Data Vlaue (Cr)'!$C:$FB,8)</f>
        <v>37540</v>
      </c>
      <c r="C160" s="50">
        <f>VLOOKUP($A160,'Data Vlaue (Cr)'!$C:$FB,11)*100</f>
        <v>0.37</v>
      </c>
      <c r="D160" s="50">
        <f>VLOOKUP($A160,'Data Vlaue (Cr)'!$C:$FB,143)</f>
        <v>258.17</v>
      </c>
      <c r="E160" s="50">
        <f>VLOOKUP($A160,'Data Vlaue (Cr)'!$C:$FB,144)</f>
        <v>166.42</v>
      </c>
      <c r="F160" s="50">
        <f>VLOOKUP($A160,'Data Vlaue (Cr)'!$C:$FB,146)*100</f>
        <v>55.13</v>
      </c>
      <c r="G160" s="49">
        <f>VLOOKUP($A160,'Data Vlaue (Cr)'!$C:$FB,43)</f>
        <v>98</v>
      </c>
      <c r="H160" s="49">
        <f>VLOOKUP($A160,'Data Vlaue (Cr)'!$C:$FB,44)</f>
        <v>100</v>
      </c>
      <c r="I160" s="49">
        <f>VLOOKUP($A160,'Data Vlaue (Cr)'!$C:$FB,46)*100</f>
        <v>-1.82</v>
      </c>
      <c r="J160" s="51">
        <f>VLOOKUP($A160,'Data Vlaue (Cr)'!$C:$FB,59)</f>
        <v>57</v>
      </c>
      <c r="K160" s="51">
        <f>VLOOKUP($A160,'Data Vlaue (Cr)'!$C:$FB,60)</f>
        <v>48</v>
      </c>
      <c r="L160" s="51">
        <f>VLOOKUP($A160,'Data Vlaue (Cr)'!$C:$FB,62)*100</f>
        <v>19.009999999999998</v>
      </c>
      <c r="M160" s="51">
        <f>VLOOKUP($A160,'Data Vlaue (Cr)'!$C:$FB,63)</f>
        <v>126</v>
      </c>
      <c r="N160" s="51">
        <f>VLOOKUP($A160,'Data Vlaue (Cr)'!$C:$FB,64)</f>
        <v>19</v>
      </c>
      <c r="O160" s="51">
        <f>VLOOKUP($A160,'Data Vlaue (Cr)'!$C:$FB,66)*100</f>
        <v>569.66999999999996</v>
      </c>
    </row>
    <row r="161" spans="1:15" x14ac:dyDescent="0.25">
      <c r="A161" s="101" t="str">
        <f>'Data Vlaue (Cr)'!C156</f>
        <v>PATANJALI</v>
      </c>
      <c r="B161" s="50">
        <f>VLOOKUP($A161,'Data Vlaue (Cr)'!$C:$FB,8)</f>
        <v>460.05</v>
      </c>
      <c r="C161" s="50">
        <f>VLOOKUP($A161,'Data Vlaue (Cr)'!$C:$FB,11)*100</f>
        <v>0.62</v>
      </c>
      <c r="D161" s="50">
        <f>VLOOKUP($A161,'Data Vlaue (Cr)'!$C:$FB,143)</f>
        <v>448.15</v>
      </c>
      <c r="E161" s="50">
        <f>VLOOKUP($A161,'Data Vlaue (Cr)'!$C:$FB,144)</f>
        <v>317.73</v>
      </c>
      <c r="F161" s="50">
        <f>VLOOKUP($A161,'Data Vlaue (Cr)'!$C:$FB,146)*100</f>
        <v>41.05</v>
      </c>
      <c r="G161" s="49">
        <f>VLOOKUP($A161,'Data Vlaue (Cr)'!$C:$FB,43)</f>
        <v>187</v>
      </c>
      <c r="H161" s="49">
        <f>VLOOKUP($A161,'Data Vlaue (Cr)'!$C:$FB,44)</f>
        <v>128</v>
      </c>
      <c r="I161" s="49">
        <f>VLOOKUP($A161,'Data Vlaue (Cr)'!$C:$FB,46)*100</f>
        <v>45.98</v>
      </c>
      <c r="J161" s="51">
        <f>VLOOKUP($A161,'Data Vlaue (Cr)'!$C:$FB,59)</f>
        <v>207</v>
      </c>
      <c r="K161" s="51">
        <f>VLOOKUP($A161,'Data Vlaue (Cr)'!$C:$FB,60)</f>
        <v>132</v>
      </c>
      <c r="L161" s="51">
        <f>VLOOKUP($A161,'Data Vlaue (Cr)'!$C:$FB,62)*100</f>
        <v>57.440000000000005</v>
      </c>
      <c r="M161" s="51">
        <f>VLOOKUP($A161,'Data Vlaue (Cr)'!$C:$FB,63)</f>
        <v>43</v>
      </c>
      <c r="N161" s="51">
        <f>VLOOKUP($A161,'Data Vlaue (Cr)'!$C:$FB,64)</f>
        <v>52</v>
      </c>
      <c r="O161" s="51">
        <f>VLOOKUP($A161,'Data Vlaue (Cr)'!$C:$FB,66)*100</f>
        <v>-17.07</v>
      </c>
    </row>
    <row r="162" spans="1:15" x14ac:dyDescent="0.25">
      <c r="A162" s="101" t="str">
        <f>'Data Vlaue (Cr)'!C157</f>
        <v>PAYTM</v>
      </c>
      <c r="B162" s="50">
        <f>VLOOKUP($A162,'Data Vlaue (Cr)'!$C:$FB,8)</f>
        <v>1110.5999999999999</v>
      </c>
      <c r="C162" s="50">
        <f>VLOOKUP($A162,'Data Vlaue (Cr)'!$C:$FB,11)*100</f>
        <v>2.08</v>
      </c>
      <c r="D162" s="50">
        <f>VLOOKUP($A162,'Data Vlaue (Cr)'!$C:$FB,143)</f>
        <v>3169.82</v>
      </c>
      <c r="E162" s="50">
        <f>VLOOKUP($A162,'Data Vlaue (Cr)'!$C:$FB,144)</f>
        <v>1738.96</v>
      </c>
      <c r="F162" s="50">
        <f>VLOOKUP($A162,'Data Vlaue (Cr)'!$C:$FB,146)*100</f>
        <v>82.28</v>
      </c>
      <c r="G162" s="49">
        <f>VLOOKUP($A162,'Data Vlaue (Cr)'!$C:$FB,43)</f>
        <v>453</v>
      </c>
      <c r="H162" s="49">
        <f>VLOOKUP($A162,'Data Vlaue (Cr)'!$C:$FB,44)</f>
        <v>248</v>
      </c>
      <c r="I162" s="49">
        <f>VLOOKUP($A162,'Data Vlaue (Cr)'!$C:$FB,46)*100</f>
        <v>82.34</v>
      </c>
      <c r="J162" s="51">
        <f>VLOOKUP($A162,'Data Vlaue (Cr)'!$C:$FB,59)</f>
        <v>1608</v>
      </c>
      <c r="K162" s="51">
        <f>VLOOKUP($A162,'Data Vlaue (Cr)'!$C:$FB,60)</f>
        <v>866</v>
      </c>
      <c r="L162" s="51">
        <f>VLOOKUP($A162,'Data Vlaue (Cr)'!$C:$FB,62)*100</f>
        <v>85.7</v>
      </c>
      <c r="M162" s="51">
        <f>VLOOKUP($A162,'Data Vlaue (Cr)'!$C:$FB,63)</f>
        <v>1023</v>
      </c>
      <c r="N162" s="51">
        <f>VLOOKUP($A162,'Data Vlaue (Cr)'!$C:$FB,64)</f>
        <v>585</v>
      </c>
      <c r="O162" s="51">
        <f>VLOOKUP($A162,'Data Vlaue (Cr)'!$C:$FB,66)*100</f>
        <v>74.790000000000006</v>
      </c>
    </row>
    <row r="163" spans="1:15" x14ac:dyDescent="0.25">
      <c r="A163" s="101" t="str">
        <f>'Data Vlaue (Cr)'!C158</f>
        <v>PERSISTENT</v>
      </c>
      <c r="B163" s="50">
        <f>VLOOKUP($A163,'Data Vlaue (Cr)'!$C:$FB,8)</f>
        <v>5014</v>
      </c>
      <c r="C163" s="50">
        <f>VLOOKUP($A163,'Data Vlaue (Cr)'!$C:$FB,11)*100</f>
        <v>4.1000000000000005</v>
      </c>
      <c r="D163" s="50">
        <f>VLOOKUP($A163,'Data Vlaue (Cr)'!$C:$FB,143)</f>
        <v>3191.36</v>
      </c>
      <c r="E163" s="50">
        <f>VLOOKUP($A163,'Data Vlaue (Cr)'!$C:$FB,144)</f>
        <v>1127.2</v>
      </c>
      <c r="F163" s="50">
        <f>VLOOKUP($A163,'Data Vlaue (Cr)'!$C:$FB,146)*100</f>
        <v>183.12</v>
      </c>
      <c r="G163" s="49">
        <f>VLOOKUP($A163,'Data Vlaue (Cr)'!$C:$FB,43)</f>
        <v>537</v>
      </c>
      <c r="H163" s="49">
        <f>VLOOKUP($A163,'Data Vlaue (Cr)'!$C:$FB,44)</f>
        <v>220</v>
      </c>
      <c r="I163" s="49">
        <f>VLOOKUP($A163,'Data Vlaue (Cr)'!$C:$FB,46)*100</f>
        <v>143.96</v>
      </c>
      <c r="J163" s="51">
        <f>VLOOKUP($A163,'Data Vlaue (Cr)'!$C:$FB,59)</f>
        <v>1853</v>
      </c>
      <c r="K163" s="51">
        <f>VLOOKUP($A163,'Data Vlaue (Cr)'!$C:$FB,60)</f>
        <v>661</v>
      </c>
      <c r="L163" s="51">
        <f>VLOOKUP($A163,'Data Vlaue (Cr)'!$C:$FB,62)*100</f>
        <v>180.44</v>
      </c>
      <c r="M163" s="51">
        <f>VLOOKUP($A163,'Data Vlaue (Cr)'!$C:$FB,63)</f>
        <v>748</v>
      </c>
      <c r="N163" s="51">
        <f>VLOOKUP($A163,'Data Vlaue (Cr)'!$C:$FB,64)</f>
        <v>248</v>
      </c>
      <c r="O163" s="51">
        <f>VLOOKUP($A163,'Data Vlaue (Cr)'!$C:$FB,66)*100</f>
        <v>201.82999999999998</v>
      </c>
    </row>
    <row r="164" spans="1:15" x14ac:dyDescent="0.25">
      <c r="A164" s="101" t="str">
        <f>'Data Vlaue (Cr)'!C159</f>
        <v>PETRONET</v>
      </c>
      <c r="B164" s="50">
        <f>VLOOKUP($A164,'Data Vlaue (Cr)'!$C:$FB,8)</f>
        <v>283.3</v>
      </c>
      <c r="C164" s="50">
        <f>VLOOKUP($A164,'Data Vlaue (Cr)'!$C:$FB,11)*100</f>
        <v>0.27</v>
      </c>
      <c r="D164" s="50">
        <f>VLOOKUP($A164,'Data Vlaue (Cr)'!$C:$FB,143)</f>
        <v>1150.57</v>
      </c>
      <c r="E164" s="50">
        <f>VLOOKUP($A164,'Data Vlaue (Cr)'!$C:$FB,144)</f>
        <v>2754.73</v>
      </c>
      <c r="F164" s="50">
        <f>VLOOKUP($A164,'Data Vlaue (Cr)'!$C:$FB,146)*100</f>
        <v>-58.230000000000004</v>
      </c>
      <c r="G164" s="49">
        <f>VLOOKUP($A164,'Data Vlaue (Cr)'!$C:$FB,43)</f>
        <v>150</v>
      </c>
      <c r="H164" s="49">
        <f>VLOOKUP($A164,'Data Vlaue (Cr)'!$C:$FB,44)</f>
        <v>421</v>
      </c>
      <c r="I164" s="49">
        <f>VLOOKUP($A164,'Data Vlaue (Cr)'!$C:$FB,46)*100</f>
        <v>-64.239999999999995</v>
      </c>
      <c r="J164" s="51">
        <f>VLOOKUP($A164,'Data Vlaue (Cr)'!$C:$FB,59)</f>
        <v>748</v>
      </c>
      <c r="K164" s="51">
        <f>VLOOKUP($A164,'Data Vlaue (Cr)'!$C:$FB,60)</f>
        <v>1664</v>
      </c>
      <c r="L164" s="51">
        <f>VLOOKUP($A164,'Data Vlaue (Cr)'!$C:$FB,62)*100</f>
        <v>-55.05</v>
      </c>
      <c r="M164" s="51">
        <f>VLOOKUP($A164,'Data Vlaue (Cr)'!$C:$FB,63)</f>
        <v>206</v>
      </c>
      <c r="N164" s="51">
        <f>VLOOKUP($A164,'Data Vlaue (Cr)'!$C:$FB,64)</f>
        <v>609</v>
      </c>
      <c r="O164" s="51">
        <f>VLOOKUP($A164,'Data Vlaue (Cr)'!$C:$FB,66)*100</f>
        <v>-66.12</v>
      </c>
    </row>
    <row r="165" spans="1:15" x14ac:dyDescent="0.25">
      <c r="A165" s="101" t="str">
        <f>'Data Vlaue (Cr)'!C160</f>
        <v>PFC</v>
      </c>
      <c r="B165" s="50">
        <f>VLOOKUP($A165,'Data Vlaue (Cr)'!$C:$FB,8)</f>
        <v>463.9</v>
      </c>
      <c r="C165" s="50">
        <f>VLOOKUP($A165,'Data Vlaue (Cr)'!$C:$FB,11)*100</f>
        <v>1.53</v>
      </c>
      <c r="D165" s="50">
        <f>VLOOKUP($A165,'Data Vlaue (Cr)'!$C:$FB,143)</f>
        <v>1376.79</v>
      </c>
      <c r="E165" s="50">
        <f>VLOOKUP($A165,'Data Vlaue (Cr)'!$C:$FB,144)</f>
        <v>2141.37</v>
      </c>
      <c r="F165" s="50">
        <f>VLOOKUP($A165,'Data Vlaue (Cr)'!$C:$FB,146)*100</f>
        <v>-35.709999999999994</v>
      </c>
      <c r="G165" s="49">
        <f>VLOOKUP($A165,'Data Vlaue (Cr)'!$C:$FB,43)</f>
        <v>276</v>
      </c>
      <c r="H165" s="49">
        <f>VLOOKUP($A165,'Data Vlaue (Cr)'!$C:$FB,44)</f>
        <v>355</v>
      </c>
      <c r="I165" s="49">
        <f>VLOOKUP($A165,'Data Vlaue (Cr)'!$C:$FB,46)*100</f>
        <v>-22.189999999999998</v>
      </c>
      <c r="J165" s="51">
        <f>VLOOKUP($A165,'Data Vlaue (Cr)'!$C:$FB,59)</f>
        <v>749</v>
      </c>
      <c r="K165" s="51">
        <f>VLOOKUP($A165,'Data Vlaue (Cr)'!$C:$FB,60)</f>
        <v>1237</v>
      </c>
      <c r="L165" s="51">
        <f>VLOOKUP($A165,'Data Vlaue (Cr)'!$C:$FB,62)*100</f>
        <v>-39.43</v>
      </c>
      <c r="M165" s="51">
        <f>VLOOKUP($A165,'Data Vlaue (Cr)'!$C:$FB,63)</f>
        <v>329</v>
      </c>
      <c r="N165" s="51">
        <f>VLOOKUP($A165,'Data Vlaue (Cr)'!$C:$FB,64)</f>
        <v>530</v>
      </c>
      <c r="O165" s="51">
        <f>VLOOKUP($A165,'Data Vlaue (Cr)'!$C:$FB,66)*100</f>
        <v>-37.869999999999997</v>
      </c>
    </row>
    <row r="166" spans="1:15" x14ac:dyDescent="0.25">
      <c r="A166" s="101" t="str">
        <f>'Data Vlaue (Cr)'!C161</f>
        <v>PGEL</v>
      </c>
      <c r="B166" s="50">
        <f>VLOOKUP($A166,'Data Vlaue (Cr)'!$C:$FB,8)</f>
        <v>544.5</v>
      </c>
      <c r="C166" s="50">
        <f>VLOOKUP($A166,'Data Vlaue (Cr)'!$C:$FB,11)*100</f>
        <v>2.2800000000000002</v>
      </c>
      <c r="D166" s="50">
        <f>VLOOKUP($A166,'Data Vlaue (Cr)'!$C:$FB,143)</f>
        <v>586.98</v>
      </c>
      <c r="E166" s="50">
        <f>VLOOKUP($A166,'Data Vlaue (Cr)'!$C:$FB,144)</f>
        <v>459.76</v>
      </c>
      <c r="F166" s="50">
        <f>VLOOKUP($A166,'Data Vlaue (Cr)'!$C:$FB,146)*100</f>
        <v>27.67</v>
      </c>
      <c r="G166" s="49">
        <f>VLOOKUP($A166,'Data Vlaue (Cr)'!$C:$FB,43)</f>
        <v>117</v>
      </c>
      <c r="H166" s="49">
        <f>VLOOKUP($A166,'Data Vlaue (Cr)'!$C:$FB,44)</f>
        <v>105</v>
      </c>
      <c r="I166" s="49">
        <f>VLOOKUP($A166,'Data Vlaue (Cr)'!$C:$FB,46)*100</f>
        <v>11.07</v>
      </c>
      <c r="J166" s="51">
        <f>VLOOKUP($A166,'Data Vlaue (Cr)'!$C:$FB,59)</f>
        <v>314</v>
      </c>
      <c r="K166" s="51">
        <f>VLOOKUP($A166,'Data Vlaue (Cr)'!$C:$FB,60)</f>
        <v>254</v>
      </c>
      <c r="L166" s="51">
        <f>VLOOKUP($A166,'Data Vlaue (Cr)'!$C:$FB,62)*100</f>
        <v>23.39</v>
      </c>
      <c r="M166" s="51">
        <f>VLOOKUP($A166,'Data Vlaue (Cr)'!$C:$FB,63)</f>
        <v>138</v>
      </c>
      <c r="N166" s="51">
        <f>VLOOKUP($A166,'Data Vlaue (Cr)'!$C:$FB,64)</f>
        <v>85</v>
      </c>
      <c r="O166" s="51">
        <f>VLOOKUP($A166,'Data Vlaue (Cr)'!$C:$FB,66)*100</f>
        <v>62.41</v>
      </c>
    </row>
    <row r="167" spans="1:15" x14ac:dyDescent="0.25">
      <c r="A167" s="101" t="str">
        <f>'Data Vlaue (Cr)'!C162</f>
        <v>PHOENIXLTD</v>
      </c>
      <c r="B167" s="50">
        <f>VLOOKUP($A167,'Data Vlaue (Cr)'!$C:$FB,8)</f>
        <v>1839.1</v>
      </c>
      <c r="C167" s="50">
        <f>VLOOKUP($A167,'Data Vlaue (Cr)'!$C:$FB,11)*100</f>
        <v>2.52</v>
      </c>
      <c r="D167" s="50">
        <f>VLOOKUP($A167,'Data Vlaue (Cr)'!$C:$FB,143)</f>
        <v>416.94</v>
      </c>
      <c r="E167" s="50">
        <f>VLOOKUP($A167,'Data Vlaue (Cr)'!$C:$FB,144)</f>
        <v>322.32</v>
      </c>
      <c r="F167" s="50">
        <f>VLOOKUP($A167,'Data Vlaue (Cr)'!$C:$FB,146)*100</f>
        <v>29.360000000000003</v>
      </c>
      <c r="G167" s="49">
        <f>VLOOKUP($A167,'Data Vlaue (Cr)'!$C:$FB,43)</f>
        <v>85</v>
      </c>
      <c r="H167" s="49">
        <f>VLOOKUP($A167,'Data Vlaue (Cr)'!$C:$FB,44)</f>
        <v>52</v>
      </c>
      <c r="I167" s="49">
        <f>VLOOKUP($A167,'Data Vlaue (Cr)'!$C:$FB,46)*100</f>
        <v>61.58</v>
      </c>
      <c r="J167" s="51">
        <f>VLOOKUP($A167,'Data Vlaue (Cr)'!$C:$FB,59)</f>
        <v>250</v>
      </c>
      <c r="K167" s="51">
        <f>VLOOKUP($A167,'Data Vlaue (Cr)'!$C:$FB,60)</f>
        <v>181</v>
      </c>
      <c r="L167" s="51">
        <f>VLOOKUP($A167,'Data Vlaue (Cr)'!$C:$FB,62)*100</f>
        <v>38.26</v>
      </c>
      <c r="M167" s="51">
        <f>VLOOKUP($A167,'Data Vlaue (Cr)'!$C:$FB,63)</f>
        <v>73</v>
      </c>
      <c r="N167" s="51">
        <f>VLOOKUP($A167,'Data Vlaue (Cr)'!$C:$FB,64)</f>
        <v>88</v>
      </c>
      <c r="O167" s="51">
        <f>VLOOKUP($A167,'Data Vlaue (Cr)'!$C:$FB,66)*100</f>
        <v>-16.830000000000002</v>
      </c>
    </row>
    <row r="168" spans="1:15" x14ac:dyDescent="0.25">
      <c r="A168" s="101" t="str">
        <f>'Data Vlaue (Cr)'!C163</f>
        <v>PIDILITIND</v>
      </c>
      <c r="B168" s="50">
        <f>VLOOKUP($A168,'Data Vlaue (Cr)'!$C:$FB,8)</f>
        <v>1421.5</v>
      </c>
      <c r="C168" s="50">
        <f>VLOOKUP($A168,'Data Vlaue (Cr)'!$C:$FB,11)*100</f>
        <v>4.2</v>
      </c>
      <c r="D168" s="50">
        <f>VLOOKUP($A168,'Data Vlaue (Cr)'!$C:$FB,143)</f>
        <v>1896.03</v>
      </c>
      <c r="E168" s="50">
        <f>VLOOKUP($A168,'Data Vlaue (Cr)'!$C:$FB,144)</f>
        <v>314.8</v>
      </c>
      <c r="F168" s="50">
        <f>VLOOKUP($A168,'Data Vlaue (Cr)'!$C:$FB,146)*100</f>
        <v>502.29999999999995</v>
      </c>
      <c r="G168" s="49">
        <f>VLOOKUP($A168,'Data Vlaue (Cr)'!$C:$FB,43)</f>
        <v>456</v>
      </c>
      <c r="H168" s="49">
        <f>VLOOKUP($A168,'Data Vlaue (Cr)'!$C:$FB,44)</f>
        <v>115</v>
      </c>
      <c r="I168" s="49">
        <f>VLOOKUP($A168,'Data Vlaue (Cr)'!$C:$FB,46)*100</f>
        <v>296.45</v>
      </c>
      <c r="J168" s="51">
        <f>VLOOKUP($A168,'Data Vlaue (Cr)'!$C:$FB,59)</f>
        <v>1033</v>
      </c>
      <c r="K168" s="51">
        <f>VLOOKUP($A168,'Data Vlaue (Cr)'!$C:$FB,60)</f>
        <v>129</v>
      </c>
      <c r="L168" s="51">
        <f>VLOOKUP($A168,'Data Vlaue (Cr)'!$C:$FB,62)*100</f>
        <v>702.84</v>
      </c>
      <c r="M168" s="51">
        <f>VLOOKUP($A168,'Data Vlaue (Cr)'!$C:$FB,63)</f>
        <v>385</v>
      </c>
      <c r="N168" s="51">
        <f>VLOOKUP($A168,'Data Vlaue (Cr)'!$C:$FB,64)</f>
        <v>79</v>
      </c>
      <c r="O168" s="51">
        <f>VLOOKUP($A168,'Data Vlaue (Cr)'!$C:$FB,66)*100</f>
        <v>387.14</v>
      </c>
    </row>
    <row r="169" spans="1:15" x14ac:dyDescent="0.25">
      <c r="A169" s="101" t="str">
        <f>'Data Vlaue (Cr)'!C164</f>
        <v>PIIND</v>
      </c>
      <c r="B169" s="50">
        <f>VLOOKUP($A169,'Data Vlaue (Cr)'!$C:$FB,8)</f>
        <v>3071</v>
      </c>
      <c r="C169" s="50">
        <f>VLOOKUP($A169,'Data Vlaue (Cr)'!$C:$FB,11)*100</f>
        <v>1.8800000000000001</v>
      </c>
      <c r="D169" s="50">
        <f>VLOOKUP($A169,'Data Vlaue (Cr)'!$C:$FB,143)</f>
        <v>551.29</v>
      </c>
      <c r="E169" s="50">
        <f>VLOOKUP($A169,'Data Vlaue (Cr)'!$C:$FB,144)</f>
        <v>272.86</v>
      </c>
      <c r="F169" s="50">
        <f>VLOOKUP($A169,'Data Vlaue (Cr)'!$C:$FB,146)*100</f>
        <v>102.03999999999999</v>
      </c>
      <c r="G169" s="49">
        <f>VLOOKUP($A169,'Data Vlaue (Cr)'!$C:$FB,43)</f>
        <v>172</v>
      </c>
      <c r="H169" s="49">
        <f>VLOOKUP($A169,'Data Vlaue (Cr)'!$C:$FB,44)</f>
        <v>81</v>
      </c>
      <c r="I169" s="49">
        <f>VLOOKUP($A169,'Data Vlaue (Cr)'!$C:$FB,46)*100</f>
        <v>113.62</v>
      </c>
      <c r="J169" s="51">
        <f>VLOOKUP($A169,'Data Vlaue (Cr)'!$C:$FB,59)</f>
        <v>283</v>
      </c>
      <c r="K169" s="51">
        <f>VLOOKUP($A169,'Data Vlaue (Cr)'!$C:$FB,60)</f>
        <v>141</v>
      </c>
      <c r="L169" s="51">
        <f>VLOOKUP($A169,'Data Vlaue (Cr)'!$C:$FB,62)*100</f>
        <v>101.03999999999999</v>
      </c>
      <c r="M169" s="51">
        <f>VLOOKUP($A169,'Data Vlaue (Cr)'!$C:$FB,63)</f>
        <v>80</v>
      </c>
      <c r="N169" s="51">
        <f>VLOOKUP($A169,'Data Vlaue (Cr)'!$C:$FB,64)</f>
        <v>44</v>
      </c>
      <c r="O169" s="51">
        <f>VLOOKUP($A169,'Data Vlaue (Cr)'!$C:$FB,66)*100</f>
        <v>82.679999999999993</v>
      </c>
    </row>
    <row r="170" spans="1:15" x14ac:dyDescent="0.25">
      <c r="A170" s="101" t="str">
        <f>'Data Vlaue (Cr)'!C165</f>
        <v>PNB</v>
      </c>
      <c r="B170" s="50">
        <f>VLOOKUP($A170,'Data Vlaue (Cr)'!$C:$FB,8)</f>
        <v>110.18</v>
      </c>
      <c r="C170" s="50">
        <f>VLOOKUP($A170,'Data Vlaue (Cr)'!$C:$FB,11)*100</f>
        <v>2.12</v>
      </c>
      <c r="D170" s="50">
        <f>VLOOKUP($A170,'Data Vlaue (Cr)'!$C:$FB,143)</f>
        <v>5200.67</v>
      </c>
      <c r="E170" s="50">
        <f>VLOOKUP($A170,'Data Vlaue (Cr)'!$C:$FB,144)</f>
        <v>8651.66</v>
      </c>
      <c r="F170" s="50">
        <f>VLOOKUP($A170,'Data Vlaue (Cr)'!$C:$FB,146)*100</f>
        <v>-39.89</v>
      </c>
      <c r="G170" s="49">
        <f>VLOOKUP($A170,'Data Vlaue (Cr)'!$C:$FB,43)</f>
        <v>887</v>
      </c>
      <c r="H170" s="49">
        <f>VLOOKUP($A170,'Data Vlaue (Cr)'!$C:$FB,44)</f>
        <v>1590</v>
      </c>
      <c r="I170" s="49">
        <f>VLOOKUP($A170,'Data Vlaue (Cr)'!$C:$FB,46)*100</f>
        <v>-44.230000000000004</v>
      </c>
      <c r="J170" s="51">
        <f>VLOOKUP($A170,'Data Vlaue (Cr)'!$C:$FB,59)</f>
        <v>2533</v>
      </c>
      <c r="K170" s="51">
        <f>VLOOKUP($A170,'Data Vlaue (Cr)'!$C:$FB,60)</f>
        <v>4297</v>
      </c>
      <c r="L170" s="51">
        <f>VLOOKUP($A170,'Data Vlaue (Cr)'!$C:$FB,62)*100</f>
        <v>-41.06</v>
      </c>
      <c r="M170" s="51">
        <f>VLOOKUP($A170,'Data Vlaue (Cr)'!$C:$FB,63)</f>
        <v>1699</v>
      </c>
      <c r="N170" s="51">
        <f>VLOOKUP($A170,'Data Vlaue (Cr)'!$C:$FB,64)</f>
        <v>2675</v>
      </c>
      <c r="O170" s="51">
        <f>VLOOKUP($A170,'Data Vlaue (Cr)'!$C:$FB,66)*100</f>
        <v>-36.49</v>
      </c>
    </row>
    <row r="171" spans="1:15" x14ac:dyDescent="0.25">
      <c r="A171" s="101" t="str">
        <f>'Data Vlaue (Cr)'!C166</f>
        <v>PNBHOUSING</v>
      </c>
      <c r="B171" s="50">
        <f>VLOOKUP($A171,'Data Vlaue (Cr)'!$C:$FB,8)</f>
        <v>1065.0999999999999</v>
      </c>
      <c r="C171" s="50">
        <f>VLOOKUP($A171,'Data Vlaue (Cr)'!$C:$FB,11)*100</f>
        <v>2.21</v>
      </c>
      <c r="D171" s="50">
        <f>VLOOKUP($A171,'Data Vlaue (Cr)'!$C:$FB,143)</f>
        <v>605.27</v>
      </c>
      <c r="E171" s="50">
        <f>VLOOKUP($A171,'Data Vlaue (Cr)'!$C:$FB,144)</f>
        <v>273.37</v>
      </c>
      <c r="F171" s="50">
        <f>VLOOKUP($A171,'Data Vlaue (Cr)'!$C:$FB,146)*100</f>
        <v>121.41</v>
      </c>
      <c r="G171" s="49">
        <f>VLOOKUP($A171,'Data Vlaue (Cr)'!$C:$FB,43)</f>
        <v>155</v>
      </c>
      <c r="H171" s="49">
        <f>VLOOKUP($A171,'Data Vlaue (Cr)'!$C:$FB,44)</f>
        <v>87</v>
      </c>
      <c r="I171" s="49">
        <f>VLOOKUP($A171,'Data Vlaue (Cr)'!$C:$FB,46)*100</f>
        <v>78.47</v>
      </c>
      <c r="J171" s="51">
        <f>VLOOKUP($A171,'Data Vlaue (Cr)'!$C:$FB,59)</f>
        <v>348</v>
      </c>
      <c r="K171" s="51">
        <f>VLOOKUP($A171,'Data Vlaue (Cr)'!$C:$FB,60)</f>
        <v>138</v>
      </c>
      <c r="L171" s="51">
        <f>VLOOKUP($A171,'Data Vlaue (Cr)'!$C:$FB,62)*100</f>
        <v>152.75</v>
      </c>
      <c r="M171" s="51">
        <f>VLOOKUP($A171,'Data Vlaue (Cr)'!$C:$FB,63)</f>
        <v>89</v>
      </c>
      <c r="N171" s="51">
        <f>VLOOKUP($A171,'Data Vlaue (Cr)'!$C:$FB,64)</f>
        <v>46</v>
      </c>
      <c r="O171" s="51">
        <f>VLOOKUP($A171,'Data Vlaue (Cr)'!$C:$FB,66)*100</f>
        <v>96.02000000000001</v>
      </c>
    </row>
    <row r="172" spans="1:15" x14ac:dyDescent="0.25">
      <c r="A172" s="101" t="str">
        <f>'Data Vlaue (Cr)'!C167</f>
        <v>POLICYBZR</v>
      </c>
      <c r="B172" s="50">
        <f>VLOOKUP($A172,'Data Vlaue (Cr)'!$C:$FB,8)</f>
        <v>1701.8</v>
      </c>
      <c r="C172" s="50">
        <f>VLOOKUP($A172,'Data Vlaue (Cr)'!$C:$FB,11)*100</f>
        <v>1.27</v>
      </c>
      <c r="D172" s="50">
        <f>VLOOKUP($A172,'Data Vlaue (Cr)'!$C:$FB,143)</f>
        <v>2291.86</v>
      </c>
      <c r="E172" s="50">
        <f>VLOOKUP($A172,'Data Vlaue (Cr)'!$C:$FB,144)</f>
        <v>539.71</v>
      </c>
      <c r="F172" s="50">
        <f>VLOOKUP($A172,'Data Vlaue (Cr)'!$C:$FB,146)*100</f>
        <v>324.64</v>
      </c>
      <c r="G172" s="49">
        <f>VLOOKUP($A172,'Data Vlaue (Cr)'!$C:$FB,43)</f>
        <v>561</v>
      </c>
      <c r="H172" s="49">
        <f>VLOOKUP($A172,'Data Vlaue (Cr)'!$C:$FB,44)</f>
        <v>182</v>
      </c>
      <c r="I172" s="49">
        <f>VLOOKUP($A172,'Data Vlaue (Cr)'!$C:$FB,46)*100</f>
        <v>207.73999999999998</v>
      </c>
      <c r="J172" s="51">
        <f>VLOOKUP($A172,'Data Vlaue (Cr)'!$C:$FB,59)</f>
        <v>1045</v>
      </c>
      <c r="K172" s="51">
        <f>VLOOKUP($A172,'Data Vlaue (Cr)'!$C:$FB,60)</f>
        <v>247</v>
      </c>
      <c r="L172" s="51">
        <f>VLOOKUP($A172,'Data Vlaue (Cr)'!$C:$FB,62)*100</f>
        <v>323.33</v>
      </c>
      <c r="M172" s="51">
        <f>VLOOKUP($A172,'Data Vlaue (Cr)'!$C:$FB,63)</f>
        <v>639</v>
      </c>
      <c r="N172" s="51">
        <f>VLOOKUP($A172,'Data Vlaue (Cr)'!$C:$FB,64)</f>
        <v>105</v>
      </c>
      <c r="O172" s="51">
        <f>VLOOKUP($A172,'Data Vlaue (Cr)'!$C:$FB,66)*100</f>
        <v>510.96000000000004</v>
      </c>
    </row>
    <row r="173" spans="1:15" x14ac:dyDescent="0.25">
      <c r="A173" s="101" t="str">
        <f>'Data Vlaue (Cr)'!C168</f>
        <v>POLYCAB</v>
      </c>
      <c r="B173" s="50">
        <f>VLOOKUP($A173,'Data Vlaue (Cr)'!$C:$FB,8)</f>
        <v>8415.5</v>
      </c>
      <c r="C173" s="50">
        <f>VLOOKUP($A173,'Data Vlaue (Cr)'!$C:$FB,11)*100</f>
        <v>0.94000000000000006</v>
      </c>
      <c r="D173" s="50">
        <f>VLOOKUP($A173,'Data Vlaue (Cr)'!$C:$FB,143)</f>
        <v>9281.6200000000008</v>
      </c>
      <c r="E173" s="50">
        <f>VLOOKUP($A173,'Data Vlaue (Cr)'!$C:$FB,144)</f>
        <v>3215.95</v>
      </c>
      <c r="F173" s="50">
        <f>VLOOKUP($A173,'Data Vlaue (Cr)'!$C:$FB,146)*100</f>
        <v>188.61</v>
      </c>
      <c r="G173" s="49">
        <f>VLOOKUP($A173,'Data Vlaue (Cr)'!$C:$FB,43)</f>
        <v>1344</v>
      </c>
      <c r="H173" s="49">
        <f>VLOOKUP($A173,'Data Vlaue (Cr)'!$C:$FB,44)</f>
        <v>760</v>
      </c>
      <c r="I173" s="49">
        <f>VLOOKUP($A173,'Data Vlaue (Cr)'!$C:$FB,46)*100</f>
        <v>76.900000000000006</v>
      </c>
      <c r="J173" s="51">
        <f>VLOOKUP($A173,'Data Vlaue (Cr)'!$C:$FB,59)</f>
        <v>4828</v>
      </c>
      <c r="K173" s="51">
        <f>VLOOKUP($A173,'Data Vlaue (Cr)'!$C:$FB,60)</f>
        <v>1604</v>
      </c>
      <c r="L173" s="51">
        <f>VLOOKUP($A173,'Data Vlaue (Cr)'!$C:$FB,62)*100</f>
        <v>200.95999999999998</v>
      </c>
      <c r="M173" s="51">
        <f>VLOOKUP($A173,'Data Vlaue (Cr)'!$C:$FB,63)</f>
        <v>2970</v>
      </c>
      <c r="N173" s="51">
        <f>VLOOKUP($A173,'Data Vlaue (Cr)'!$C:$FB,64)</f>
        <v>848</v>
      </c>
      <c r="O173" s="51">
        <f>VLOOKUP($A173,'Data Vlaue (Cr)'!$C:$FB,66)*100</f>
        <v>250.32000000000002</v>
      </c>
    </row>
    <row r="174" spans="1:15" x14ac:dyDescent="0.25">
      <c r="A174" s="101" t="str">
        <f>'Data Vlaue (Cr)'!C169</f>
        <v>POWERGRID</v>
      </c>
      <c r="B174" s="50">
        <f>VLOOKUP($A174,'Data Vlaue (Cr)'!$C:$FB,8)</f>
        <v>315.95</v>
      </c>
      <c r="C174" s="50">
        <f>VLOOKUP($A174,'Data Vlaue (Cr)'!$C:$FB,11)*100</f>
        <v>-1.0999999999999999</v>
      </c>
      <c r="D174" s="50">
        <f>VLOOKUP($A174,'Data Vlaue (Cr)'!$C:$FB,143)</f>
        <v>1253.1099999999999</v>
      </c>
      <c r="E174" s="50">
        <f>VLOOKUP($A174,'Data Vlaue (Cr)'!$C:$FB,144)</f>
        <v>1588.34</v>
      </c>
      <c r="F174" s="50">
        <f>VLOOKUP($A174,'Data Vlaue (Cr)'!$C:$FB,146)*100</f>
        <v>-21.11</v>
      </c>
      <c r="G174" s="49">
        <f>VLOOKUP($A174,'Data Vlaue (Cr)'!$C:$FB,43)</f>
        <v>223</v>
      </c>
      <c r="H174" s="49">
        <f>VLOOKUP($A174,'Data Vlaue (Cr)'!$C:$FB,44)</f>
        <v>275</v>
      </c>
      <c r="I174" s="49">
        <f>VLOOKUP($A174,'Data Vlaue (Cr)'!$C:$FB,46)*100</f>
        <v>-18.920000000000002</v>
      </c>
      <c r="J174" s="51">
        <f>VLOOKUP($A174,'Data Vlaue (Cr)'!$C:$FB,59)</f>
        <v>686</v>
      </c>
      <c r="K174" s="51">
        <f>VLOOKUP($A174,'Data Vlaue (Cr)'!$C:$FB,60)</f>
        <v>903</v>
      </c>
      <c r="L174" s="51">
        <f>VLOOKUP($A174,'Data Vlaue (Cr)'!$C:$FB,62)*100</f>
        <v>-24.03</v>
      </c>
      <c r="M174" s="51">
        <f>VLOOKUP($A174,'Data Vlaue (Cr)'!$C:$FB,63)</f>
        <v>309</v>
      </c>
      <c r="N174" s="51">
        <f>VLOOKUP($A174,'Data Vlaue (Cr)'!$C:$FB,64)</f>
        <v>360</v>
      </c>
      <c r="O174" s="51">
        <f>VLOOKUP($A174,'Data Vlaue (Cr)'!$C:$FB,66)*100</f>
        <v>-14.17</v>
      </c>
    </row>
    <row r="175" spans="1:15" x14ac:dyDescent="0.25">
      <c r="A175" s="101" t="str">
        <f>'Data Vlaue (Cr)'!C170</f>
        <v>POWERINDIA</v>
      </c>
      <c r="B175" s="50">
        <f>VLOOKUP($A175,'Data Vlaue (Cr)'!$C:$FB,8)</f>
        <v>33380</v>
      </c>
      <c r="C175" s="50">
        <f>VLOOKUP($A175,'Data Vlaue (Cr)'!$C:$FB,11)*100</f>
        <v>-2.5499999999999998</v>
      </c>
      <c r="D175" s="50">
        <f>VLOOKUP($A175,'Data Vlaue (Cr)'!$C:$FB,143)</f>
        <v>2867.95</v>
      </c>
      <c r="E175" s="50">
        <f>VLOOKUP($A175,'Data Vlaue (Cr)'!$C:$FB,144)</f>
        <v>2141.2199999999998</v>
      </c>
      <c r="F175" s="50">
        <f>VLOOKUP($A175,'Data Vlaue (Cr)'!$C:$FB,146)*100</f>
        <v>33.94</v>
      </c>
      <c r="G175" s="49">
        <f>VLOOKUP($A175,'Data Vlaue (Cr)'!$C:$FB,43)</f>
        <v>474</v>
      </c>
      <c r="H175" s="49">
        <f>VLOOKUP($A175,'Data Vlaue (Cr)'!$C:$FB,44)</f>
        <v>260</v>
      </c>
      <c r="I175" s="49">
        <f>VLOOKUP($A175,'Data Vlaue (Cr)'!$C:$FB,46)*100</f>
        <v>82.31</v>
      </c>
      <c r="J175" s="51">
        <f>VLOOKUP($A175,'Data Vlaue (Cr)'!$C:$FB,59)</f>
        <v>1051</v>
      </c>
      <c r="K175" s="51">
        <f>VLOOKUP($A175,'Data Vlaue (Cr)'!$C:$FB,60)</f>
        <v>622</v>
      </c>
      <c r="L175" s="51">
        <f>VLOOKUP($A175,'Data Vlaue (Cr)'!$C:$FB,62)*100</f>
        <v>69.08</v>
      </c>
      <c r="M175" s="51">
        <f>VLOOKUP($A175,'Data Vlaue (Cr)'!$C:$FB,63)</f>
        <v>1476</v>
      </c>
      <c r="N175" s="51">
        <f>VLOOKUP($A175,'Data Vlaue (Cr)'!$C:$FB,64)</f>
        <v>1504</v>
      </c>
      <c r="O175" s="51">
        <f>VLOOKUP($A175,'Data Vlaue (Cr)'!$C:$FB,66)*100</f>
        <v>-1.87</v>
      </c>
    </row>
    <row r="176" spans="1:15" x14ac:dyDescent="0.25">
      <c r="A176" s="101" t="str">
        <f>'Data Vlaue (Cr)'!C171</f>
        <v>PREMIERENE</v>
      </c>
      <c r="B176" s="50">
        <f>VLOOKUP($A176,'Data Vlaue (Cr)'!$C:$FB,8)</f>
        <v>1033</v>
      </c>
      <c r="C176" s="50">
        <f>VLOOKUP($A176,'Data Vlaue (Cr)'!$C:$FB,11)*100</f>
        <v>-0.95</v>
      </c>
      <c r="D176" s="50">
        <f>VLOOKUP($A176,'Data Vlaue (Cr)'!$C:$FB,143)</f>
        <v>577.62</v>
      </c>
      <c r="E176" s="50">
        <f>VLOOKUP($A176,'Data Vlaue (Cr)'!$C:$FB,144)</f>
        <v>715.47</v>
      </c>
      <c r="F176" s="50">
        <f>VLOOKUP($A176,'Data Vlaue (Cr)'!$C:$FB,146)*100</f>
        <v>-19.27</v>
      </c>
      <c r="G176" s="49">
        <f>VLOOKUP($A176,'Data Vlaue (Cr)'!$C:$FB,43)</f>
        <v>138</v>
      </c>
      <c r="H176" s="49">
        <f>VLOOKUP($A176,'Data Vlaue (Cr)'!$C:$FB,44)</f>
        <v>132</v>
      </c>
      <c r="I176" s="49">
        <f>VLOOKUP($A176,'Data Vlaue (Cr)'!$C:$FB,46)*100</f>
        <v>5.21</v>
      </c>
      <c r="J176" s="51">
        <f>VLOOKUP($A176,'Data Vlaue (Cr)'!$C:$FB,59)</f>
        <v>274</v>
      </c>
      <c r="K176" s="51">
        <f>VLOOKUP($A176,'Data Vlaue (Cr)'!$C:$FB,60)</f>
        <v>366</v>
      </c>
      <c r="L176" s="51">
        <f>VLOOKUP($A176,'Data Vlaue (Cr)'!$C:$FB,62)*100</f>
        <v>-25.06</v>
      </c>
      <c r="M176" s="51">
        <f>VLOOKUP($A176,'Data Vlaue (Cr)'!$C:$FB,63)</f>
        <v>150</v>
      </c>
      <c r="N176" s="51">
        <f>VLOOKUP($A176,'Data Vlaue (Cr)'!$C:$FB,64)</f>
        <v>195</v>
      </c>
      <c r="O176" s="51">
        <f>VLOOKUP($A176,'Data Vlaue (Cr)'!$C:$FB,66)*100</f>
        <v>-23.05</v>
      </c>
    </row>
    <row r="177" spans="1:15" x14ac:dyDescent="0.25">
      <c r="A177" s="101" t="str">
        <f>'Data Vlaue (Cr)'!C172</f>
        <v>PRESTIGE</v>
      </c>
      <c r="B177" s="50">
        <f>VLOOKUP($A177,'Data Vlaue (Cr)'!$C:$FB,8)</f>
        <v>1455.2</v>
      </c>
      <c r="C177" s="50">
        <f>VLOOKUP($A177,'Data Vlaue (Cr)'!$C:$FB,11)*100</f>
        <v>1.6099999999999999</v>
      </c>
      <c r="D177" s="50">
        <f>VLOOKUP($A177,'Data Vlaue (Cr)'!$C:$FB,143)</f>
        <v>243.8</v>
      </c>
      <c r="E177" s="50">
        <f>VLOOKUP($A177,'Data Vlaue (Cr)'!$C:$FB,144)</f>
        <v>305.39999999999998</v>
      </c>
      <c r="F177" s="50">
        <f>VLOOKUP($A177,'Data Vlaue (Cr)'!$C:$FB,146)*100</f>
        <v>-20.169999999999998</v>
      </c>
      <c r="G177" s="49">
        <f>VLOOKUP($A177,'Data Vlaue (Cr)'!$C:$FB,43)</f>
        <v>98</v>
      </c>
      <c r="H177" s="49">
        <f>VLOOKUP($A177,'Data Vlaue (Cr)'!$C:$FB,44)</f>
        <v>115</v>
      </c>
      <c r="I177" s="49">
        <f>VLOOKUP($A177,'Data Vlaue (Cr)'!$C:$FB,46)*100</f>
        <v>-14.49</v>
      </c>
      <c r="J177" s="51">
        <f>VLOOKUP($A177,'Data Vlaue (Cr)'!$C:$FB,59)</f>
        <v>113</v>
      </c>
      <c r="K177" s="51">
        <f>VLOOKUP($A177,'Data Vlaue (Cr)'!$C:$FB,60)</f>
        <v>124</v>
      </c>
      <c r="L177" s="51">
        <f>VLOOKUP($A177,'Data Vlaue (Cr)'!$C:$FB,62)*100</f>
        <v>-9.39</v>
      </c>
      <c r="M177" s="51">
        <f>VLOOKUP($A177,'Data Vlaue (Cr)'!$C:$FB,63)</f>
        <v>28</v>
      </c>
      <c r="N177" s="51">
        <f>VLOOKUP($A177,'Data Vlaue (Cr)'!$C:$FB,64)</f>
        <v>61</v>
      </c>
      <c r="O177" s="51">
        <f>VLOOKUP($A177,'Data Vlaue (Cr)'!$C:$FB,66)*100</f>
        <v>-54.31</v>
      </c>
    </row>
    <row r="178" spans="1:15" x14ac:dyDescent="0.25">
      <c r="A178" s="101" t="str">
        <f>'Data Vlaue (Cr)'!C173</f>
        <v>RBLBANK</v>
      </c>
      <c r="B178" s="50">
        <f>VLOOKUP($A178,'Data Vlaue (Cr)'!$C:$FB,8)</f>
        <v>335.85</v>
      </c>
      <c r="C178" s="50">
        <f>VLOOKUP($A178,'Data Vlaue (Cr)'!$C:$FB,11)*100</f>
        <v>0.86999999999999988</v>
      </c>
      <c r="D178" s="50">
        <f>VLOOKUP($A178,'Data Vlaue (Cr)'!$C:$FB,143)</f>
        <v>2381.19</v>
      </c>
      <c r="E178" s="50">
        <f>VLOOKUP($A178,'Data Vlaue (Cr)'!$C:$FB,144)</f>
        <v>1354.55</v>
      </c>
      <c r="F178" s="50">
        <f>VLOOKUP($A178,'Data Vlaue (Cr)'!$C:$FB,146)*100</f>
        <v>75.790000000000006</v>
      </c>
      <c r="G178" s="49">
        <f>VLOOKUP($A178,'Data Vlaue (Cr)'!$C:$FB,43)</f>
        <v>520</v>
      </c>
      <c r="H178" s="49">
        <f>VLOOKUP($A178,'Data Vlaue (Cr)'!$C:$FB,44)</f>
        <v>262</v>
      </c>
      <c r="I178" s="49">
        <f>VLOOKUP($A178,'Data Vlaue (Cr)'!$C:$FB,46)*100</f>
        <v>98.48</v>
      </c>
      <c r="J178" s="51">
        <f>VLOOKUP($A178,'Data Vlaue (Cr)'!$C:$FB,59)</f>
        <v>1282</v>
      </c>
      <c r="K178" s="51">
        <f>VLOOKUP($A178,'Data Vlaue (Cr)'!$C:$FB,60)</f>
        <v>728</v>
      </c>
      <c r="L178" s="51">
        <f>VLOOKUP($A178,'Data Vlaue (Cr)'!$C:$FB,62)*100</f>
        <v>76.19</v>
      </c>
      <c r="M178" s="51">
        <f>VLOOKUP($A178,'Data Vlaue (Cr)'!$C:$FB,63)</f>
        <v>514</v>
      </c>
      <c r="N178" s="51">
        <f>VLOOKUP($A178,'Data Vlaue (Cr)'!$C:$FB,64)</f>
        <v>348</v>
      </c>
      <c r="O178" s="51">
        <f>VLOOKUP($A178,'Data Vlaue (Cr)'!$C:$FB,66)*100</f>
        <v>47.63</v>
      </c>
    </row>
    <row r="179" spans="1:15" x14ac:dyDescent="0.25">
      <c r="A179" s="101" t="str">
        <f>'Data Vlaue (Cr)'!C174</f>
        <v>RECLTD</v>
      </c>
      <c r="B179" s="50">
        <f>VLOOKUP($A179,'Data Vlaue (Cr)'!$C:$FB,8)</f>
        <v>359.1</v>
      </c>
      <c r="C179" s="50">
        <f>VLOOKUP($A179,'Data Vlaue (Cr)'!$C:$FB,11)*100</f>
        <v>0.76</v>
      </c>
      <c r="D179" s="50">
        <f>VLOOKUP($A179,'Data Vlaue (Cr)'!$C:$FB,143)</f>
        <v>1691.33</v>
      </c>
      <c r="E179" s="50">
        <f>VLOOKUP($A179,'Data Vlaue (Cr)'!$C:$FB,144)</f>
        <v>1502.97</v>
      </c>
      <c r="F179" s="50">
        <f>VLOOKUP($A179,'Data Vlaue (Cr)'!$C:$FB,146)*100</f>
        <v>12.53</v>
      </c>
      <c r="G179" s="49">
        <f>VLOOKUP($A179,'Data Vlaue (Cr)'!$C:$FB,43)</f>
        <v>306</v>
      </c>
      <c r="H179" s="49">
        <f>VLOOKUP($A179,'Data Vlaue (Cr)'!$C:$FB,44)</f>
        <v>239</v>
      </c>
      <c r="I179" s="49">
        <f>VLOOKUP($A179,'Data Vlaue (Cr)'!$C:$FB,46)*100</f>
        <v>28.08</v>
      </c>
      <c r="J179" s="51">
        <f>VLOOKUP($A179,'Data Vlaue (Cr)'!$C:$FB,59)</f>
        <v>903</v>
      </c>
      <c r="K179" s="51">
        <f>VLOOKUP($A179,'Data Vlaue (Cr)'!$C:$FB,60)</f>
        <v>889</v>
      </c>
      <c r="L179" s="51">
        <f>VLOOKUP($A179,'Data Vlaue (Cr)'!$C:$FB,62)*100</f>
        <v>1.5699999999999998</v>
      </c>
      <c r="M179" s="51">
        <f>VLOOKUP($A179,'Data Vlaue (Cr)'!$C:$FB,63)</f>
        <v>441</v>
      </c>
      <c r="N179" s="51">
        <f>VLOOKUP($A179,'Data Vlaue (Cr)'!$C:$FB,64)</f>
        <v>329</v>
      </c>
      <c r="O179" s="51">
        <f>VLOOKUP($A179,'Data Vlaue (Cr)'!$C:$FB,66)*100</f>
        <v>34.33</v>
      </c>
    </row>
    <row r="180" spans="1:15" x14ac:dyDescent="0.25">
      <c r="A180" s="101" t="str">
        <f>'Data Vlaue (Cr)'!C175</f>
        <v>RELIANCE</v>
      </c>
      <c r="B180" s="50">
        <f>VLOOKUP($A180,'Data Vlaue (Cr)'!$C:$FB,8)</f>
        <v>1437.9</v>
      </c>
      <c r="C180" s="50">
        <f>VLOOKUP($A180,'Data Vlaue (Cr)'!$C:$FB,11)*100</f>
        <v>-1.76</v>
      </c>
      <c r="D180" s="50">
        <f>VLOOKUP($A180,'Data Vlaue (Cr)'!$C:$FB,143)</f>
        <v>25417.22</v>
      </c>
      <c r="E180" s="50">
        <f>VLOOKUP($A180,'Data Vlaue (Cr)'!$C:$FB,144)</f>
        <v>17861.78</v>
      </c>
      <c r="F180" s="50">
        <f>VLOOKUP($A180,'Data Vlaue (Cr)'!$C:$FB,146)*100</f>
        <v>42.3</v>
      </c>
      <c r="G180" s="49">
        <f>VLOOKUP($A180,'Data Vlaue (Cr)'!$C:$FB,43)</f>
        <v>1862</v>
      </c>
      <c r="H180" s="49">
        <f>VLOOKUP($A180,'Data Vlaue (Cr)'!$C:$FB,44)</f>
        <v>1943</v>
      </c>
      <c r="I180" s="49">
        <f>VLOOKUP($A180,'Data Vlaue (Cr)'!$C:$FB,46)*100</f>
        <v>-4.16</v>
      </c>
      <c r="J180" s="51">
        <f>VLOOKUP($A180,'Data Vlaue (Cr)'!$C:$FB,59)</f>
        <v>14334</v>
      </c>
      <c r="K180" s="51">
        <f>VLOOKUP($A180,'Data Vlaue (Cr)'!$C:$FB,60)</f>
        <v>8921</v>
      </c>
      <c r="L180" s="51">
        <f>VLOOKUP($A180,'Data Vlaue (Cr)'!$C:$FB,62)*100</f>
        <v>60.68</v>
      </c>
      <c r="M180" s="51">
        <f>VLOOKUP($A180,'Data Vlaue (Cr)'!$C:$FB,63)</f>
        <v>8730</v>
      </c>
      <c r="N180" s="51">
        <f>VLOOKUP($A180,'Data Vlaue (Cr)'!$C:$FB,64)</f>
        <v>6571</v>
      </c>
      <c r="O180" s="51">
        <f>VLOOKUP($A180,'Data Vlaue (Cr)'!$C:$FB,66)*100</f>
        <v>32.85</v>
      </c>
    </row>
    <row r="181" spans="1:15" x14ac:dyDescent="0.25">
      <c r="A181" s="101" t="str">
        <f>'Data Vlaue (Cr)'!C176</f>
        <v>RVNL</v>
      </c>
      <c r="B181" s="50">
        <f>VLOOKUP($A181,'Data Vlaue (Cr)'!$C:$FB,8)</f>
        <v>305.10000000000002</v>
      </c>
      <c r="C181" s="50">
        <f>VLOOKUP($A181,'Data Vlaue (Cr)'!$C:$FB,11)*100</f>
        <v>1.55</v>
      </c>
      <c r="D181" s="50">
        <f>VLOOKUP($A181,'Data Vlaue (Cr)'!$C:$FB,143)</f>
        <v>860.5</v>
      </c>
      <c r="E181" s="50">
        <f>VLOOKUP($A181,'Data Vlaue (Cr)'!$C:$FB,144)</f>
        <v>909.44</v>
      </c>
      <c r="F181" s="50">
        <f>VLOOKUP($A181,'Data Vlaue (Cr)'!$C:$FB,146)*100</f>
        <v>-5.38</v>
      </c>
      <c r="G181" s="49">
        <f>VLOOKUP($A181,'Data Vlaue (Cr)'!$C:$FB,43)</f>
        <v>258</v>
      </c>
      <c r="H181" s="49">
        <f>VLOOKUP($A181,'Data Vlaue (Cr)'!$C:$FB,44)</f>
        <v>223</v>
      </c>
      <c r="I181" s="49">
        <f>VLOOKUP($A181,'Data Vlaue (Cr)'!$C:$FB,46)*100</f>
        <v>16.09</v>
      </c>
      <c r="J181" s="51">
        <f>VLOOKUP($A181,'Data Vlaue (Cr)'!$C:$FB,59)</f>
        <v>484</v>
      </c>
      <c r="K181" s="51">
        <f>VLOOKUP($A181,'Data Vlaue (Cr)'!$C:$FB,60)</f>
        <v>530</v>
      </c>
      <c r="L181" s="51">
        <f>VLOOKUP($A181,'Data Vlaue (Cr)'!$C:$FB,62)*100</f>
        <v>-8.68</v>
      </c>
      <c r="M181" s="51">
        <f>VLOOKUP($A181,'Data Vlaue (Cr)'!$C:$FB,63)</f>
        <v>91</v>
      </c>
      <c r="N181" s="51">
        <f>VLOOKUP($A181,'Data Vlaue (Cr)'!$C:$FB,64)</f>
        <v>132</v>
      </c>
      <c r="O181" s="51">
        <f>VLOOKUP($A181,'Data Vlaue (Cr)'!$C:$FB,66)*100</f>
        <v>-30.98</v>
      </c>
    </row>
    <row r="182" spans="1:15" x14ac:dyDescent="0.25">
      <c r="A182" s="101" t="str">
        <f>'Data Vlaue (Cr)'!C177</f>
        <v>SAIL</v>
      </c>
      <c r="B182" s="50">
        <f>VLOOKUP($A182,'Data Vlaue (Cr)'!$C:$FB,8)</f>
        <v>186.04</v>
      </c>
      <c r="C182" s="50">
        <f>VLOOKUP($A182,'Data Vlaue (Cr)'!$C:$FB,11)*100</f>
        <v>-0.67999999999999994</v>
      </c>
      <c r="D182" s="50">
        <f>VLOOKUP($A182,'Data Vlaue (Cr)'!$C:$FB,143)</f>
        <v>391.13</v>
      </c>
      <c r="E182" s="50">
        <f>VLOOKUP($A182,'Data Vlaue (Cr)'!$C:$FB,144)</f>
        <v>458.38</v>
      </c>
      <c r="F182" s="50">
        <f>VLOOKUP($A182,'Data Vlaue (Cr)'!$C:$FB,146)*100</f>
        <v>-14.67</v>
      </c>
      <c r="G182" s="49">
        <f>VLOOKUP($A182,'Data Vlaue (Cr)'!$C:$FB,43)</f>
        <v>223</v>
      </c>
      <c r="H182" s="49">
        <f>VLOOKUP($A182,'Data Vlaue (Cr)'!$C:$FB,44)</f>
        <v>231</v>
      </c>
      <c r="I182" s="49">
        <f>VLOOKUP($A182,'Data Vlaue (Cr)'!$C:$FB,46)*100</f>
        <v>-3.51</v>
      </c>
      <c r="J182" s="51">
        <f>VLOOKUP($A182,'Data Vlaue (Cr)'!$C:$FB,59)</f>
        <v>111</v>
      </c>
      <c r="K182" s="51">
        <f>VLOOKUP($A182,'Data Vlaue (Cr)'!$C:$FB,60)</f>
        <v>152</v>
      </c>
      <c r="L182" s="51">
        <f>VLOOKUP($A182,'Data Vlaue (Cr)'!$C:$FB,62)*100</f>
        <v>-26.75</v>
      </c>
      <c r="M182" s="51">
        <f>VLOOKUP($A182,'Data Vlaue (Cr)'!$C:$FB,63)</f>
        <v>49</v>
      </c>
      <c r="N182" s="51">
        <f>VLOOKUP($A182,'Data Vlaue (Cr)'!$C:$FB,64)</f>
        <v>66</v>
      </c>
      <c r="O182" s="51">
        <f>VLOOKUP($A182,'Data Vlaue (Cr)'!$C:$FB,66)*100</f>
        <v>-25.3</v>
      </c>
    </row>
    <row r="183" spans="1:15" x14ac:dyDescent="0.25">
      <c r="A183" s="101" t="str">
        <f>'Data Vlaue (Cr)'!C178</f>
        <v>SAMMAANCAP</v>
      </c>
      <c r="B183" s="50">
        <f>VLOOKUP($A183,'Data Vlaue (Cr)'!$C:$FB,8)</f>
        <v>149.78</v>
      </c>
      <c r="C183" s="50">
        <f>VLOOKUP($A183,'Data Vlaue (Cr)'!$C:$FB,11)*100</f>
        <v>3.73</v>
      </c>
      <c r="D183" s="50">
        <f>VLOOKUP($A183,'Data Vlaue (Cr)'!$C:$FB,143)</f>
        <v>972.01</v>
      </c>
      <c r="E183" s="50">
        <f>VLOOKUP($A183,'Data Vlaue (Cr)'!$C:$FB,144)</f>
        <v>336.65</v>
      </c>
      <c r="F183" s="50">
        <f>VLOOKUP($A183,'Data Vlaue (Cr)'!$C:$FB,146)*100</f>
        <v>188.73</v>
      </c>
      <c r="G183" s="49">
        <f>VLOOKUP($A183,'Data Vlaue (Cr)'!$C:$FB,43)</f>
        <v>309</v>
      </c>
      <c r="H183" s="49">
        <f>VLOOKUP($A183,'Data Vlaue (Cr)'!$C:$FB,44)</f>
        <v>140</v>
      </c>
      <c r="I183" s="49">
        <f>VLOOKUP($A183,'Data Vlaue (Cr)'!$C:$FB,46)*100</f>
        <v>120.30000000000001</v>
      </c>
      <c r="J183" s="51">
        <f>VLOOKUP($A183,'Data Vlaue (Cr)'!$C:$FB,59)</f>
        <v>540</v>
      </c>
      <c r="K183" s="51">
        <f>VLOOKUP($A183,'Data Vlaue (Cr)'!$C:$FB,60)</f>
        <v>155</v>
      </c>
      <c r="L183" s="51">
        <f>VLOOKUP($A183,'Data Vlaue (Cr)'!$C:$FB,62)*100</f>
        <v>248.32999999999998</v>
      </c>
      <c r="M183" s="51">
        <f>VLOOKUP($A183,'Data Vlaue (Cr)'!$C:$FB,63)</f>
        <v>102</v>
      </c>
      <c r="N183" s="51">
        <f>VLOOKUP($A183,'Data Vlaue (Cr)'!$C:$FB,64)</f>
        <v>41</v>
      </c>
      <c r="O183" s="51">
        <f>VLOOKUP($A183,'Data Vlaue (Cr)'!$C:$FB,66)*100</f>
        <v>149.44</v>
      </c>
    </row>
    <row r="184" spans="1:15" x14ac:dyDescent="0.25">
      <c r="A184" s="101" t="str">
        <f>'Data Vlaue (Cr)'!C179</f>
        <v>SBICARD</v>
      </c>
      <c r="B184" s="50">
        <f>VLOOKUP($A184,'Data Vlaue (Cr)'!$C:$FB,8)</f>
        <v>649.65</v>
      </c>
      <c r="C184" s="50">
        <f>VLOOKUP($A184,'Data Vlaue (Cr)'!$C:$FB,11)*100</f>
        <v>0.62</v>
      </c>
      <c r="D184" s="50">
        <f>VLOOKUP($A184,'Data Vlaue (Cr)'!$C:$FB,143)</f>
        <v>1097.01</v>
      </c>
      <c r="E184" s="50">
        <f>VLOOKUP($A184,'Data Vlaue (Cr)'!$C:$FB,144)</f>
        <v>808.71</v>
      </c>
      <c r="F184" s="50">
        <f>VLOOKUP($A184,'Data Vlaue (Cr)'!$C:$FB,146)*100</f>
        <v>35.65</v>
      </c>
      <c r="G184" s="49">
        <f>VLOOKUP($A184,'Data Vlaue (Cr)'!$C:$FB,43)</f>
        <v>329</v>
      </c>
      <c r="H184" s="49">
        <f>VLOOKUP($A184,'Data Vlaue (Cr)'!$C:$FB,44)</f>
        <v>154</v>
      </c>
      <c r="I184" s="49">
        <f>VLOOKUP($A184,'Data Vlaue (Cr)'!$C:$FB,46)*100</f>
        <v>113.78999999999999</v>
      </c>
      <c r="J184" s="51">
        <f>VLOOKUP($A184,'Data Vlaue (Cr)'!$C:$FB,59)</f>
        <v>476</v>
      </c>
      <c r="K184" s="51">
        <f>VLOOKUP($A184,'Data Vlaue (Cr)'!$C:$FB,60)</f>
        <v>430</v>
      </c>
      <c r="L184" s="51">
        <f>VLOOKUP($A184,'Data Vlaue (Cr)'!$C:$FB,62)*100</f>
        <v>10.74</v>
      </c>
      <c r="M184" s="51">
        <f>VLOOKUP($A184,'Data Vlaue (Cr)'!$C:$FB,63)</f>
        <v>277</v>
      </c>
      <c r="N184" s="51">
        <f>VLOOKUP($A184,'Data Vlaue (Cr)'!$C:$FB,64)</f>
        <v>211</v>
      </c>
      <c r="O184" s="51">
        <f>VLOOKUP($A184,'Data Vlaue (Cr)'!$C:$FB,66)*100</f>
        <v>31.09</v>
      </c>
    </row>
    <row r="185" spans="1:15" x14ac:dyDescent="0.25">
      <c r="A185" s="101" t="str">
        <f>'Data Vlaue (Cr)'!C180</f>
        <v>SBILIFE</v>
      </c>
      <c r="B185" s="50">
        <f>VLOOKUP($A185,'Data Vlaue (Cr)'!$C:$FB,8)</f>
        <v>1859</v>
      </c>
      <c r="C185" s="50">
        <f>VLOOKUP($A185,'Data Vlaue (Cr)'!$C:$FB,11)*100</f>
        <v>2.08</v>
      </c>
      <c r="D185" s="50">
        <f>VLOOKUP($A185,'Data Vlaue (Cr)'!$C:$FB,143)</f>
        <v>1549.82</v>
      </c>
      <c r="E185" s="50">
        <f>VLOOKUP($A185,'Data Vlaue (Cr)'!$C:$FB,144)</f>
        <v>1342.74</v>
      </c>
      <c r="F185" s="50">
        <f>VLOOKUP($A185,'Data Vlaue (Cr)'!$C:$FB,146)*100</f>
        <v>15.42</v>
      </c>
      <c r="G185" s="49">
        <f>VLOOKUP($A185,'Data Vlaue (Cr)'!$C:$FB,43)</f>
        <v>312</v>
      </c>
      <c r="H185" s="49">
        <f>VLOOKUP($A185,'Data Vlaue (Cr)'!$C:$FB,44)</f>
        <v>200</v>
      </c>
      <c r="I185" s="49">
        <f>VLOOKUP($A185,'Data Vlaue (Cr)'!$C:$FB,46)*100</f>
        <v>55.63</v>
      </c>
      <c r="J185" s="51">
        <f>VLOOKUP($A185,'Data Vlaue (Cr)'!$C:$FB,59)</f>
        <v>831</v>
      </c>
      <c r="K185" s="51">
        <f>VLOOKUP($A185,'Data Vlaue (Cr)'!$C:$FB,60)</f>
        <v>806</v>
      </c>
      <c r="L185" s="51">
        <f>VLOOKUP($A185,'Data Vlaue (Cr)'!$C:$FB,62)*100</f>
        <v>3.06</v>
      </c>
      <c r="M185" s="51">
        <f>VLOOKUP($A185,'Data Vlaue (Cr)'!$C:$FB,63)</f>
        <v>389</v>
      </c>
      <c r="N185" s="51">
        <f>VLOOKUP($A185,'Data Vlaue (Cr)'!$C:$FB,64)</f>
        <v>328</v>
      </c>
      <c r="O185" s="51">
        <f>VLOOKUP($A185,'Data Vlaue (Cr)'!$C:$FB,66)*100</f>
        <v>18.68</v>
      </c>
    </row>
    <row r="186" spans="1:15" x14ac:dyDescent="0.25">
      <c r="A186" s="101" t="str">
        <f>'Data Vlaue (Cr)'!C181</f>
        <v>SBIN</v>
      </c>
      <c r="B186" s="50">
        <f>VLOOKUP($A186,'Data Vlaue (Cr)'!$C:$FB,8)</f>
        <v>1096</v>
      </c>
      <c r="C186" s="50">
        <f>VLOOKUP($A186,'Data Vlaue (Cr)'!$C:$FB,11)*100</f>
        <v>3.4099999999999997</v>
      </c>
      <c r="D186" s="50">
        <f>VLOOKUP($A186,'Data Vlaue (Cr)'!$C:$FB,143)</f>
        <v>15090.18</v>
      </c>
      <c r="E186" s="50">
        <f>VLOOKUP($A186,'Data Vlaue (Cr)'!$C:$FB,144)</f>
        <v>7046.32</v>
      </c>
      <c r="F186" s="50">
        <f>VLOOKUP($A186,'Data Vlaue (Cr)'!$C:$FB,146)*100</f>
        <v>114.16</v>
      </c>
      <c r="G186" s="49">
        <f>VLOOKUP($A186,'Data Vlaue (Cr)'!$C:$FB,43)</f>
        <v>2318</v>
      </c>
      <c r="H186" s="49">
        <f>VLOOKUP($A186,'Data Vlaue (Cr)'!$C:$FB,44)</f>
        <v>993</v>
      </c>
      <c r="I186" s="49">
        <f>VLOOKUP($A186,'Data Vlaue (Cr)'!$C:$FB,46)*100</f>
        <v>133.47</v>
      </c>
      <c r="J186" s="51">
        <f>VLOOKUP($A186,'Data Vlaue (Cr)'!$C:$FB,59)</f>
        <v>8515</v>
      </c>
      <c r="K186" s="51">
        <f>VLOOKUP($A186,'Data Vlaue (Cr)'!$C:$FB,60)</f>
        <v>3797</v>
      </c>
      <c r="L186" s="51">
        <f>VLOOKUP($A186,'Data Vlaue (Cr)'!$C:$FB,62)*100</f>
        <v>124.21</v>
      </c>
      <c r="M186" s="51">
        <f>VLOOKUP($A186,'Data Vlaue (Cr)'!$C:$FB,63)</f>
        <v>4082</v>
      </c>
      <c r="N186" s="51">
        <f>VLOOKUP($A186,'Data Vlaue (Cr)'!$C:$FB,64)</f>
        <v>2274</v>
      </c>
      <c r="O186" s="51">
        <f>VLOOKUP($A186,'Data Vlaue (Cr)'!$C:$FB,66)*100</f>
        <v>79.540000000000006</v>
      </c>
    </row>
    <row r="187" spans="1:15" x14ac:dyDescent="0.25">
      <c r="A187" s="101" t="str">
        <f>'Data Vlaue (Cr)'!C182</f>
        <v>SHREECEM</v>
      </c>
      <c r="B187" s="50">
        <f>VLOOKUP($A187,'Data Vlaue (Cr)'!$C:$FB,8)</f>
        <v>24975</v>
      </c>
      <c r="C187" s="50">
        <f>VLOOKUP($A187,'Data Vlaue (Cr)'!$C:$FB,11)*100</f>
        <v>0.52</v>
      </c>
      <c r="D187" s="50">
        <f>VLOOKUP($A187,'Data Vlaue (Cr)'!$C:$FB,143)</f>
        <v>784.23</v>
      </c>
      <c r="E187" s="50">
        <f>VLOOKUP($A187,'Data Vlaue (Cr)'!$C:$FB,144)</f>
        <v>319.89999999999998</v>
      </c>
      <c r="F187" s="50">
        <f>VLOOKUP($A187,'Data Vlaue (Cr)'!$C:$FB,146)*100</f>
        <v>145.15</v>
      </c>
      <c r="G187" s="49">
        <f>VLOOKUP($A187,'Data Vlaue (Cr)'!$C:$FB,43)</f>
        <v>179</v>
      </c>
      <c r="H187" s="49">
        <f>VLOOKUP($A187,'Data Vlaue (Cr)'!$C:$FB,44)</f>
        <v>190</v>
      </c>
      <c r="I187" s="49">
        <f>VLOOKUP($A187,'Data Vlaue (Cr)'!$C:$FB,46)*100</f>
        <v>-5.7700000000000005</v>
      </c>
      <c r="J187" s="51">
        <f>VLOOKUP($A187,'Data Vlaue (Cr)'!$C:$FB,59)</f>
        <v>397</v>
      </c>
      <c r="K187" s="51">
        <f>VLOOKUP($A187,'Data Vlaue (Cr)'!$C:$FB,60)</f>
        <v>98</v>
      </c>
      <c r="L187" s="51">
        <f>VLOOKUP($A187,'Data Vlaue (Cr)'!$C:$FB,62)*100</f>
        <v>304.04000000000002</v>
      </c>
      <c r="M187" s="51">
        <f>VLOOKUP($A187,'Data Vlaue (Cr)'!$C:$FB,63)</f>
        <v>189</v>
      </c>
      <c r="N187" s="51">
        <f>VLOOKUP($A187,'Data Vlaue (Cr)'!$C:$FB,64)</f>
        <v>30</v>
      </c>
      <c r="O187" s="51">
        <f>VLOOKUP($A187,'Data Vlaue (Cr)'!$C:$FB,66)*100</f>
        <v>541.6</v>
      </c>
    </row>
    <row r="188" spans="1:15" x14ac:dyDescent="0.25">
      <c r="A188" s="101" t="str">
        <f>'Data Vlaue (Cr)'!C183</f>
        <v>SHRIRAMFIN</v>
      </c>
      <c r="B188" s="50">
        <f>VLOOKUP($A188,'Data Vlaue (Cr)'!$C:$FB,8)</f>
        <v>1004.1</v>
      </c>
      <c r="C188" s="50">
        <f>VLOOKUP($A188,'Data Vlaue (Cr)'!$C:$FB,11)*100</f>
        <v>4.12</v>
      </c>
      <c r="D188" s="50">
        <f>VLOOKUP($A188,'Data Vlaue (Cr)'!$C:$FB,143)</f>
        <v>5286.56</v>
      </c>
      <c r="E188" s="50">
        <f>VLOOKUP($A188,'Data Vlaue (Cr)'!$C:$FB,144)</f>
        <v>2479.7399999999998</v>
      </c>
      <c r="F188" s="50">
        <f>VLOOKUP($A188,'Data Vlaue (Cr)'!$C:$FB,146)*100</f>
        <v>113.19</v>
      </c>
      <c r="G188" s="49">
        <f>VLOOKUP($A188,'Data Vlaue (Cr)'!$C:$FB,43)</f>
        <v>1049</v>
      </c>
      <c r="H188" s="49">
        <f>VLOOKUP($A188,'Data Vlaue (Cr)'!$C:$FB,44)</f>
        <v>536</v>
      </c>
      <c r="I188" s="49">
        <f>VLOOKUP($A188,'Data Vlaue (Cr)'!$C:$FB,46)*100</f>
        <v>95.61</v>
      </c>
      <c r="J188" s="51">
        <f>VLOOKUP($A188,'Data Vlaue (Cr)'!$C:$FB,59)</f>
        <v>2747</v>
      </c>
      <c r="K188" s="51">
        <f>VLOOKUP($A188,'Data Vlaue (Cr)'!$C:$FB,60)</f>
        <v>1272</v>
      </c>
      <c r="L188" s="51">
        <f>VLOOKUP($A188,'Data Vlaue (Cr)'!$C:$FB,62)*100</f>
        <v>115.86000000000001</v>
      </c>
      <c r="M188" s="51">
        <f>VLOOKUP($A188,'Data Vlaue (Cr)'!$C:$FB,63)</f>
        <v>1459</v>
      </c>
      <c r="N188" s="51">
        <f>VLOOKUP($A188,'Data Vlaue (Cr)'!$C:$FB,64)</f>
        <v>715</v>
      </c>
      <c r="O188" s="51">
        <f>VLOOKUP($A188,'Data Vlaue (Cr)'!$C:$FB,66)*100</f>
        <v>104.06</v>
      </c>
    </row>
    <row r="189" spans="1:15" x14ac:dyDescent="0.25">
      <c r="A189" s="101" t="str">
        <f>'Data Vlaue (Cr)'!C184</f>
        <v>SIEMENS</v>
      </c>
      <c r="B189" s="50">
        <f>VLOOKUP($A189,'Data Vlaue (Cr)'!$C:$FB,8)</f>
        <v>3841.8</v>
      </c>
      <c r="C189" s="50">
        <f>VLOOKUP($A189,'Data Vlaue (Cr)'!$C:$FB,11)*100</f>
        <v>-0.12</v>
      </c>
      <c r="D189" s="50">
        <f>VLOOKUP($A189,'Data Vlaue (Cr)'!$C:$FB,143)</f>
        <v>735.25</v>
      </c>
      <c r="E189" s="50">
        <f>VLOOKUP($A189,'Data Vlaue (Cr)'!$C:$FB,144)</f>
        <v>449.38</v>
      </c>
      <c r="F189" s="50">
        <f>VLOOKUP($A189,'Data Vlaue (Cr)'!$C:$FB,146)*100</f>
        <v>63.62</v>
      </c>
      <c r="G189" s="49">
        <f>VLOOKUP($A189,'Data Vlaue (Cr)'!$C:$FB,43)</f>
        <v>162</v>
      </c>
      <c r="H189" s="49">
        <f>VLOOKUP($A189,'Data Vlaue (Cr)'!$C:$FB,44)</f>
        <v>94</v>
      </c>
      <c r="I189" s="49">
        <f>VLOOKUP($A189,'Data Vlaue (Cr)'!$C:$FB,46)*100</f>
        <v>73.06</v>
      </c>
      <c r="J189" s="51">
        <f>VLOOKUP($A189,'Data Vlaue (Cr)'!$C:$FB,59)</f>
        <v>383</v>
      </c>
      <c r="K189" s="51">
        <f>VLOOKUP($A189,'Data Vlaue (Cr)'!$C:$FB,60)</f>
        <v>250</v>
      </c>
      <c r="L189" s="51">
        <f>VLOOKUP($A189,'Data Vlaue (Cr)'!$C:$FB,62)*100</f>
        <v>53</v>
      </c>
      <c r="M189" s="51">
        <f>VLOOKUP($A189,'Data Vlaue (Cr)'!$C:$FB,63)</f>
        <v>171</v>
      </c>
      <c r="N189" s="51">
        <f>VLOOKUP($A189,'Data Vlaue (Cr)'!$C:$FB,64)</f>
        <v>87</v>
      </c>
      <c r="O189" s="51">
        <f>VLOOKUP($A189,'Data Vlaue (Cr)'!$C:$FB,66)*100</f>
        <v>97.44</v>
      </c>
    </row>
    <row r="190" spans="1:15" x14ac:dyDescent="0.25">
      <c r="A190" s="101" t="str">
        <f>'Data Vlaue (Cr)'!C185</f>
        <v>SOLARINDS</v>
      </c>
      <c r="B190" s="50">
        <f>VLOOKUP($A190,'Data Vlaue (Cr)'!$C:$FB,8)</f>
        <v>15740</v>
      </c>
      <c r="C190" s="50">
        <f>VLOOKUP($A190,'Data Vlaue (Cr)'!$C:$FB,11)*100</f>
        <v>-0.66</v>
      </c>
      <c r="D190" s="50">
        <f>VLOOKUP($A190,'Data Vlaue (Cr)'!$C:$FB,143)</f>
        <v>784.51</v>
      </c>
      <c r="E190" s="50">
        <f>VLOOKUP($A190,'Data Vlaue (Cr)'!$C:$FB,144)</f>
        <v>632.46</v>
      </c>
      <c r="F190" s="50">
        <f>VLOOKUP($A190,'Data Vlaue (Cr)'!$C:$FB,146)*100</f>
        <v>24.04</v>
      </c>
      <c r="G190" s="49">
        <f>VLOOKUP($A190,'Data Vlaue (Cr)'!$C:$FB,43)</f>
        <v>172</v>
      </c>
      <c r="H190" s="49">
        <f>VLOOKUP($A190,'Data Vlaue (Cr)'!$C:$FB,44)</f>
        <v>134</v>
      </c>
      <c r="I190" s="49">
        <f>VLOOKUP($A190,'Data Vlaue (Cr)'!$C:$FB,46)*100</f>
        <v>28.98</v>
      </c>
      <c r="J190" s="51">
        <f>VLOOKUP($A190,'Data Vlaue (Cr)'!$C:$FB,59)</f>
        <v>377</v>
      </c>
      <c r="K190" s="51">
        <f>VLOOKUP($A190,'Data Vlaue (Cr)'!$C:$FB,60)</f>
        <v>295</v>
      </c>
      <c r="L190" s="51">
        <f>VLOOKUP($A190,'Data Vlaue (Cr)'!$C:$FB,62)*100</f>
        <v>27.77</v>
      </c>
      <c r="M190" s="51">
        <f>VLOOKUP($A190,'Data Vlaue (Cr)'!$C:$FB,63)</f>
        <v>237</v>
      </c>
      <c r="N190" s="51">
        <f>VLOOKUP($A190,'Data Vlaue (Cr)'!$C:$FB,64)</f>
        <v>227</v>
      </c>
      <c r="O190" s="51">
        <f>VLOOKUP($A190,'Data Vlaue (Cr)'!$C:$FB,66)*100</f>
        <v>4.42</v>
      </c>
    </row>
    <row r="191" spans="1:15" x14ac:dyDescent="0.25">
      <c r="A191" s="101" t="str">
        <f>'Data Vlaue (Cr)'!C186</f>
        <v>SONACOMS</v>
      </c>
      <c r="B191" s="50">
        <f>VLOOKUP($A191,'Data Vlaue (Cr)'!$C:$FB,8)</f>
        <v>582.6</v>
      </c>
      <c r="C191" s="50">
        <f>VLOOKUP($A191,'Data Vlaue (Cr)'!$C:$FB,11)*100</f>
        <v>0.82000000000000006</v>
      </c>
      <c r="D191" s="50">
        <f>VLOOKUP($A191,'Data Vlaue (Cr)'!$C:$FB,143)</f>
        <v>546.17999999999995</v>
      </c>
      <c r="E191" s="50">
        <f>VLOOKUP($A191,'Data Vlaue (Cr)'!$C:$FB,144)</f>
        <v>731.09</v>
      </c>
      <c r="F191" s="50">
        <f>VLOOKUP($A191,'Data Vlaue (Cr)'!$C:$FB,146)*100</f>
        <v>-25.290000000000003</v>
      </c>
      <c r="G191" s="49">
        <f>VLOOKUP($A191,'Data Vlaue (Cr)'!$C:$FB,43)</f>
        <v>138</v>
      </c>
      <c r="H191" s="49">
        <f>VLOOKUP($A191,'Data Vlaue (Cr)'!$C:$FB,44)</f>
        <v>169</v>
      </c>
      <c r="I191" s="49">
        <f>VLOOKUP($A191,'Data Vlaue (Cr)'!$C:$FB,46)*100</f>
        <v>-18.029999999999998</v>
      </c>
      <c r="J191" s="51">
        <f>VLOOKUP($A191,'Data Vlaue (Cr)'!$C:$FB,59)</f>
        <v>284</v>
      </c>
      <c r="K191" s="51">
        <f>VLOOKUP($A191,'Data Vlaue (Cr)'!$C:$FB,60)</f>
        <v>366</v>
      </c>
      <c r="L191" s="51">
        <f>VLOOKUP($A191,'Data Vlaue (Cr)'!$C:$FB,62)*100</f>
        <v>-22.41</v>
      </c>
      <c r="M191" s="51">
        <f>VLOOKUP($A191,'Data Vlaue (Cr)'!$C:$FB,63)</f>
        <v>110</v>
      </c>
      <c r="N191" s="51">
        <f>VLOOKUP($A191,'Data Vlaue (Cr)'!$C:$FB,64)</f>
        <v>183</v>
      </c>
      <c r="O191" s="51">
        <f>VLOOKUP($A191,'Data Vlaue (Cr)'!$C:$FB,66)*100</f>
        <v>-40.129999999999995</v>
      </c>
    </row>
    <row r="192" spans="1:15" x14ac:dyDescent="0.25">
      <c r="A192" s="101" t="str">
        <f>'Data Vlaue (Cr)'!C187</f>
        <v>SRF</v>
      </c>
      <c r="B192" s="50">
        <f>VLOOKUP($A192,'Data Vlaue (Cr)'!$C:$FB,8)</f>
        <v>2719.6</v>
      </c>
      <c r="C192" s="50">
        <f>VLOOKUP($A192,'Data Vlaue (Cr)'!$C:$FB,11)*100</f>
        <v>7.8</v>
      </c>
      <c r="D192" s="50">
        <f>VLOOKUP($A192,'Data Vlaue (Cr)'!$C:$FB,143)</f>
        <v>11885.98</v>
      </c>
      <c r="E192" s="50">
        <f>VLOOKUP($A192,'Data Vlaue (Cr)'!$C:$FB,144)</f>
        <v>1492.9</v>
      </c>
      <c r="F192" s="50">
        <f>VLOOKUP($A192,'Data Vlaue (Cr)'!$C:$FB,146)*100</f>
        <v>696.17000000000007</v>
      </c>
      <c r="G192" s="49">
        <f>VLOOKUP($A192,'Data Vlaue (Cr)'!$C:$FB,43)</f>
        <v>1316</v>
      </c>
      <c r="H192" s="49">
        <f>VLOOKUP($A192,'Data Vlaue (Cr)'!$C:$FB,44)</f>
        <v>347</v>
      </c>
      <c r="I192" s="49">
        <f>VLOOKUP($A192,'Data Vlaue (Cr)'!$C:$FB,46)*100</f>
        <v>279.08</v>
      </c>
      <c r="J192" s="51">
        <f>VLOOKUP($A192,'Data Vlaue (Cr)'!$C:$FB,59)</f>
        <v>7337</v>
      </c>
      <c r="K192" s="51">
        <f>VLOOKUP($A192,'Data Vlaue (Cr)'!$C:$FB,60)</f>
        <v>818</v>
      </c>
      <c r="L192" s="51">
        <f>VLOOKUP($A192,'Data Vlaue (Cr)'!$C:$FB,62)*100</f>
        <v>797.18</v>
      </c>
      <c r="M192" s="51">
        <f>VLOOKUP($A192,'Data Vlaue (Cr)'!$C:$FB,63)</f>
        <v>3160</v>
      </c>
      <c r="N192" s="51">
        <f>VLOOKUP($A192,'Data Vlaue (Cr)'!$C:$FB,64)</f>
        <v>395</v>
      </c>
      <c r="O192" s="51">
        <f>VLOOKUP($A192,'Data Vlaue (Cr)'!$C:$FB,66)*100</f>
        <v>700.1</v>
      </c>
    </row>
    <row r="193" spans="1:15" x14ac:dyDescent="0.25">
      <c r="A193" s="101" t="str">
        <f>'Data Vlaue (Cr)'!C188</f>
        <v>SUNPHARMA</v>
      </c>
      <c r="B193" s="50">
        <f>VLOOKUP($A193,'Data Vlaue (Cr)'!$C:$FB,8)</f>
        <v>1850.2</v>
      </c>
      <c r="C193" s="50">
        <f>VLOOKUP($A193,'Data Vlaue (Cr)'!$C:$FB,11)*100</f>
        <v>1.6099999999999999</v>
      </c>
      <c r="D193" s="50">
        <f>VLOOKUP($A193,'Data Vlaue (Cr)'!$C:$FB,143)</f>
        <v>5434.67</v>
      </c>
      <c r="E193" s="50">
        <f>VLOOKUP($A193,'Data Vlaue (Cr)'!$C:$FB,144)</f>
        <v>2778.09</v>
      </c>
      <c r="F193" s="50">
        <f>VLOOKUP($A193,'Data Vlaue (Cr)'!$C:$FB,146)*100</f>
        <v>95.63000000000001</v>
      </c>
      <c r="G193" s="49">
        <f>VLOOKUP($A193,'Data Vlaue (Cr)'!$C:$FB,43)</f>
        <v>557</v>
      </c>
      <c r="H193" s="49">
        <f>VLOOKUP($A193,'Data Vlaue (Cr)'!$C:$FB,44)</f>
        <v>381</v>
      </c>
      <c r="I193" s="49">
        <f>VLOOKUP($A193,'Data Vlaue (Cr)'!$C:$FB,46)*100</f>
        <v>46.35</v>
      </c>
      <c r="J193" s="51">
        <f>VLOOKUP($A193,'Data Vlaue (Cr)'!$C:$FB,59)</f>
        <v>3202</v>
      </c>
      <c r="K193" s="51">
        <f>VLOOKUP($A193,'Data Vlaue (Cr)'!$C:$FB,60)</f>
        <v>1437</v>
      </c>
      <c r="L193" s="51">
        <f>VLOOKUP($A193,'Data Vlaue (Cr)'!$C:$FB,62)*100</f>
        <v>122.78</v>
      </c>
      <c r="M193" s="51">
        <f>VLOOKUP($A193,'Data Vlaue (Cr)'!$C:$FB,63)</f>
        <v>1619</v>
      </c>
      <c r="N193" s="51">
        <f>VLOOKUP($A193,'Data Vlaue (Cr)'!$C:$FB,64)</f>
        <v>974</v>
      </c>
      <c r="O193" s="51">
        <f>VLOOKUP($A193,'Data Vlaue (Cr)'!$C:$FB,66)*100</f>
        <v>66.210000000000008</v>
      </c>
    </row>
    <row r="194" spans="1:15" x14ac:dyDescent="0.25">
      <c r="A194" s="101" t="str">
        <f>'Data Vlaue (Cr)'!C189</f>
        <v>SUPREMEIND</v>
      </c>
      <c r="B194" s="50">
        <f>VLOOKUP($A194,'Data Vlaue (Cr)'!$C:$FB,8)</f>
        <v>3709.4</v>
      </c>
      <c r="C194" s="50">
        <f>VLOOKUP($A194,'Data Vlaue (Cr)'!$C:$FB,11)*100</f>
        <v>2.16</v>
      </c>
      <c r="D194" s="50">
        <f>VLOOKUP($A194,'Data Vlaue (Cr)'!$C:$FB,143)</f>
        <v>778.72</v>
      </c>
      <c r="E194" s="50">
        <f>VLOOKUP($A194,'Data Vlaue (Cr)'!$C:$FB,144)</f>
        <v>393.71</v>
      </c>
      <c r="F194" s="50">
        <f>VLOOKUP($A194,'Data Vlaue (Cr)'!$C:$FB,146)*100</f>
        <v>97.789999999999992</v>
      </c>
      <c r="G194" s="49">
        <f>VLOOKUP($A194,'Data Vlaue (Cr)'!$C:$FB,43)</f>
        <v>159</v>
      </c>
      <c r="H194" s="49">
        <f>VLOOKUP($A194,'Data Vlaue (Cr)'!$C:$FB,44)</f>
        <v>81</v>
      </c>
      <c r="I194" s="49">
        <f>VLOOKUP($A194,'Data Vlaue (Cr)'!$C:$FB,46)*100</f>
        <v>95.88</v>
      </c>
      <c r="J194" s="51">
        <f>VLOOKUP($A194,'Data Vlaue (Cr)'!$C:$FB,59)</f>
        <v>389</v>
      </c>
      <c r="K194" s="51">
        <f>VLOOKUP($A194,'Data Vlaue (Cr)'!$C:$FB,60)</f>
        <v>239</v>
      </c>
      <c r="L194" s="51">
        <f>VLOOKUP($A194,'Data Vlaue (Cr)'!$C:$FB,62)*100</f>
        <v>62.5</v>
      </c>
      <c r="M194" s="51">
        <f>VLOOKUP($A194,'Data Vlaue (Cr)'!$C:$FB,63)</f>
        <v>247</v>
      </c>
      <c r="N194" s="51">
        <f>VLOOKUP($A194,'Data Vlaue (Cr)'!$C:$FB,64)</f>
        <v>67</v>
      </c>
      <c r="O194" s="51">
        <f>VLOOKUP($A194,'Data Vlaue (Cr)'!$C:$FB,66)*100</f>
        <v>270.16000000000003</v>
      </c>
    </row>
    <row r="195" spans="1:15" x14ac:dyDescent="0.25">
      <c r="A195" s="101" t="str">
        <f>'Data Vlaue (Cr)'!C190</f>
        <v>SUZLON</v>
      </c>
      <c r="B195" s="50">
        <f>VLOOKUP($A195,'Data Vlaue (Cr)'!$C:$FB,8)</f>
        <v>54.32</v>
      </c>
      <c r="C195" s="50">
        <f>VLOOKUP($A195,'Data Vlaue (Cr)'!$C:$FB,11)*100</f>
        <v>-0.97</v>
      </c>
      <c r="D195" s="50">
        <f>VLOOKUP($A195,'Data Vlaue (Cr)'!$C:$FB,143)</f>
        <v>1343.45</v>
      </c>
      <c r="E195" s="50">
        <f>VLOOKUP($A195,'Data Vlaue (Cr)'!$C:$FB,144)</f>
        <v>1155.94</v>
      </c>
      <c r="F195" s="50">
        <f>VLOOKUP($A195,'Data Vlaue (Cr)'!$C:$FB,146)*100</f>
        <v>16.220000000000002</v>
      </c>
      <c r="G195" s="49">
        <f>VLOOKUP($A195,'Data Vlaue (Cr)'!$C:$FB,43)</f>
        <v>246</v>
      </c>
      <c r="H195" s="49">
        <f>VLOOKUP($A195,'Data Vlaue (Cr)'!$C:$FB,44)</f>
        <v>197</v>
      </c>
      <c r="I195" s="49">
        <f>VLOOKUP($A195,'Data Vlaue (Cr)'!$C:$FB,46)*100</f>
        <v>25.119999999999997</v>
      </c>
      <c r="J195" s="51">
        <f>VLOOKUP($A195,'Data Vlaue (Cr)'!$C:$FB,59)</f>
        <v>799</v>
      </c>
      <c r="K195" s="51">
        <f>VLOOKUP($A195,'Data Vlaue (Cr)'!$C:$FB,60)</f>
        <v>676</v>
      </c>
      <c r="L195" s="51">
        <f>VLOOKUP($A195,'Data Vlaue (Cr)'!$C:$FB,62)*100</f>
        <v>18.240000000000002</v>
      </c>
      <c r="M195" s="51">
        <f>VLOOKUP($A195,'Data Vlaue (Cr)'!$C:$FB,63)</f>
        <v>231</v>
      </c>
      <c r="N195" s="51">
        <f>VLOOKUP($A195,'Data Vlaue (Cr)'!$C:$FB,64)</f>
        <v>207</v>
      </c>
      <c r="O195" s="51">
        <f>VLOOKUP($A195,'Data Vlaue (Cr)'!$C:$FB,66)*100</f>
        <v>11.379999999999999</v>
      </c>
    </row>
    <row r="196" spans="1:15" x14ac:dyDescent="0.25">
      <c r="A196" s="101" t="str">
        <f>'Data Vlaue (Cr)'!C191</f>
        <v>SWIGGY</v>
      </c>
      <c r="B196" s="50">
        <f>VLOOKUP($A196,'Data Vlaue (Cr)'!$C:$FB,8)</f>
        <v>279.85000000000002</v>
      </c>
      <c r="C196" s="50">
        <f>VLOOKUP($A196,'Data Vlaue (Cr)'!$C:$FB,11)*100</f>
        <v>2.25</v>
      </c>
      <c r="D196" s="50">
        <f>VLOOKUP($A196,'Data Vlaue (Cr)'!$C:$FB,143)</f>
        <v>450.69</v>
      </c>
      <c r="E196" s="50">
        <f>VLOOKUP($A196,'Data Vlaue (Cr)'!$C:$FB,144)</f>
        <v>434.98</v>
      </c>
      <c r="F196" s="50">
        <f>VLOOKUP($A196,'Data Vlaue (Cr)'!$C:$FB,146)*100</f>
        <v>3.61</v>
      </c>
      <c r="G196" s="49">
        <f>VLOOKUP($A196,'Data Vlaue (Cr)'!$C:$FB,43)</f>
        <v>132</v>
      </c>
      <c r="H196" s="49">
        <f>VLOOKUP($A196,'Data Vlaue (Cr)'!$C:$FB,44)</f>
        <v>151</v>
      </c>
      <c r="I196" s="49">
        <f>VLOOKUP($A196,'Data Vlaue (Cr)'!$C:$FB,46)*100</f>
        <v>-12.41</v>
      </c>
      <c r="J196" s="51">
        <f>VLOOKUP($A196,'Data Vlaue (Cr)'!$C:$FB,59)</f>
        <v>216</v>
      </c>
      <c r="K196" s="51">
        <f>VLOOKUP($A196,'Data Vlaue (Cr)'!$C:$FB,60)</f>
        <v>206</v>
      </c>
      <c r="L196" s="51">
        <f>VLOOKUP($A196,'Data Vlaue (Cr)'!$C:$FB,62)*100</f>
        <v>4.97</v>
      </c>
      <c r="M196" s="51">
        <f>VLOOKUP($A196,'Data Vlaue (Cr)'!$C:$FB,63)</f>
        <v>91</v>
      </c>
      <c r="N196" s="51">
        <f>VLOOKUP($A196,'Data Vlaue (Cr)'!$C:$FB,64)</f>
        <v>69</v>
      </c>
      <c r="O196" s="51">
        <f>VLOOKUP($A196,'Data Vlaue (Cr)'!$C:$FB,66)*100</f>
        <v>31.75</v>
      </c>
    </row>
    <row r="197" spans="1:15" x14ac:dyDescent="0.25">
      <c r="A197" s="101" t="str">
        <f>'Data Vlaue (Cr)'!C192</f>
        <v>TATACONSUM</v>
      </c>
      <c r="B197" s="50">
        <f>VLOOKUP($A197,'Data Vlaue (Cr)'!$C:$FB,8)</f>
        <v>1152.2</v>
      </c>
      <c r="C197" s="50">
        <f>VLOOKUP($A197,'Data Vlaue (Cr)'!$C:$FB,11)*100</f>
        <v>-0.11</v>
      </c>
      <c r="D197" s="50">
        <f>VLOOKUP($A197,'Data Vlaue (Cr)'!$C:$FB,143)</f>
        <v>788.69</v>
      </c>
      <c r="E197" s="50">
        <f>VLOOKUP($A197,'Data Vlaue (Cr)'!$C:$FB,144)</f>
        <v>367.1</v>
      </c>
      <c r="F197" s="50">
        <f>VLOOKUP($A197,'Data Vlaue (Cr)'!$C:$FB,146)*100</f>
        <v>114.84</v>
      </c>
      <c r="G197" s="49">
        <f>VLOOKUP($A197,'Data Vlaue (Cr)'!$C:$FB,43)</f>
        <v>210</v>
      </c>
      <c r="H197" s="49">
        <f>VLOOKUP($A197,'Data Vlaue (Cr)'!$C:$FB,44)</f>
        <v>125</v>
      </c>
      <c r="I197" s="49">
        <f>VLOOKUP($A197,'Data Vlaue (Cr)'!$C:$FB,46)*100</f>
        <v>68.320000000000007</v>
      </c>
      <c r="J197" s="51">
        <f>VLOOKUP($A197,'Data Vlaue (Cr)'!$C:$FB,59)</f>
        <v>444</v>
      </c>
      <c r="K197" s="51">
        <f>VLOOKUP($A197,'Data Vlaue (Cr)'!$C:$FB,60)</f>
        <v>179</v>
      </c>
      <c r="L197" s="51">
        <f>VLOOKUP($A197,'Data Vlaue (Cr)'!$C:$FB,62)*100</f>
        <v>147.21</v>
      </c>
      <c r="M197" s="51">
        <f>VLOOKUP($A197,'Data Vlaue (Cr)'!$C:$FB,63)</f>
        <v>115</v>
      </c>
      <c r="N197" s="51">
        <f>VLOOKUP($A197,'Data Vlaue (Cr)'!$C:$FB,64)</f>
        <v>54</v>
      </c>
      <c r="O197" s="51">
        <f>VLOOKUP($A197,'Data Vlaue (Cr)'!$C:$FB,66)*100</f>
        <v>112.99999999999999</v>
      </c>
    </row>
    <row r="198" spans="1:15" x14ac:dyDescent="0.25">
      <c r="A198" s="101" t="str">
        <f>'Data Vlaue (Cr)'!C193</f>
        <v>TATAELXSI</v>
      </c>
      <c r="B198" s="50">
        <f>VLOOKUP($A198,'Data Vlaue (Cr)'!$C:$FB,8)</f>
        <v>4281.3</v>
      </c>
      <c r="C198" s="50">
        <f>VLOOKUP($A198,'Data Vlaue (Cr)'!$C:$FB,11)*100</f>
        <v>1.47</v>
      </c>
      <c r="D198" s="50">
        <f>VLOOKUP($A198,'Data Vlaue (Cr)'!$C:$FB,143)</f>
        <v>1362.5</v>
      </c>
      <c r="E198" s="50">
        <f>VLOOKUP($A198,'Data Vlaue (Cr)'!$C:$FB,144)</f>
        <v>662.3</v>
      </c>
      <c r="F198" s="50">
        <f>VLOOKUP($A198,'Data Vlaue (Cr)'!$C:$FB,146)*100</f>
        <v>105.72</v>
      </c>
      <c r="G198" s="49">
        <f>VLOOKUP($A198,'Data Vlaue (Cr)'!$C:$FB,43)</f>
        <v>199</v>
      </c>
      <c r="H198" s="49">
        <f>VLOOKUP($A198,'Data Vlaue (Cr)'!$C:$FB,44)</f>
        <v>129</v>
      </c>
      <c r="I198" s="49">
        <f>VLOOKUP($A198,'Data Vlaue (Cr)'!$C:$FB,46)*100</f>
        <v>54.04</v>
      </c>
      <c r="J198" s="51">
        <f>VLOOKUP($A198,'Data Vlaue (Cr)'!$C:$FB,59)</f>
        <v>857</v>
      </c>
      <c r="K198" s="51">
        <f>VLOOKUP($A198,'Data Vlaue (Cr)'!$C:$FB,60)</f>
        <v>385</v>
      </c>
      <c r="L198" s="51">
        <f>VLOOKUP($A198,'Data Vlaue (Cr)'!$C:$FB,62)*100</f>
        <v>122.38</v>
      </c>
      <c r="M198" s="51">
        <f>VLOOKUP($A198,'Data Vlaue (Cr)'!$C:$FB,63)</f>
        <v>255</v>
      </c>
      <c r="N198" s="51">
        <f>VLOOKUP($A198,'Data Vlaue (Cr)'!$C:$FB,64)</f>
        <v>131</v>
      </c>
      <c r="O198" s="51">
        <f>VLOOKUP($A198,'Data Vlaue (Cr)'!$C:$FB,66)*100</f>
        <v>94.83</v>
      </c>
    </row>
    <row r="199" spans="1:15" x14ac:dyDescent="0.25">
      <c r="A199" s="101" t="str">
        <f>'Data Vlaue (Cr)'!C194</f>
        <v>TATAPOWER</v>
      </c>
      <c r="B199" s="50">
        <f>VLOOKUP($A199,'Data Vlaue (Cr)'!$C:$FB,8)</f>
        <v>443.25</v>
      </c>
      <c r="C199" s="50">
        <f>VLOOKUP($A199,'Data Vlaue (Cr)'!$C:$FB,11)*100</f>
        <v>0.13999999999999999</v>
      </c>
      <c r="D199" s="50">
        <f>VLOOKUP($A199,'Data Vlaue (Cr)'!$C:$FB,143)</f>
        <v>1608.43</v>
      </c>
      <c r="E199" s="50">
        <f>VLOOKUP($A199,'Data Vlaue (Cr)'!$C:$FB,144)</f>
        <v>2993.58</v>
      </c>
      <c r="F199" s="50">
        <f>VLOOKUP($A199,'Data Vlaue (Cr)'!$C:$FB,146)*100</f>
        <v>-46.27</v>
      </c>
      <c r="G199" s="49">
        <f>VLOOKUP($A199,'Data Vlaue (Cr)'!$C:$FB,43)</f>
        <v>231</v>
      </c>
      <c r="H199" s="49">
        <f>VLOOKUP($A199,'Data Vlaue (Cr)'!$C:$FB,44)</f>
        <v>533</v>
      </c>
      <c r="I199" s="49">
        <f>VLOOKUP($A199,'Data Vlaue (Cr)'!$C:$FB,46)*100</f>
        <v>-56.76</v>
      </c>
      <c r="J199" s="51">
        <f>VLOOKUP($A199,'Data Vlaue (Cr)'!$C:$FB,59)</f>
        <v>983</v>
      </c>
      <c r="K199" s="51">
        <f>VLOOKUP($A199,'Data Vlaue (Cr)'!$C:$FB,60)</f>
        <v>1697</v>
      </c>
      <c r="L199" s="51">
        <f>VLOOKUP($A199,'Data Vlaue (Cr)'!$C:$FB,62)*100</f>
        <v>-42.1</v>
      </c>
      <c r="M199" s="51">
        <f>VLOOKUP($A199,'Data Vlaue (Cr)'!$C:$FB,63)</f>
        <v>354</v>
      </c>
      <c r="N199" s="51">
        <f>VLOOKUP($A199,'Data Vlaue (Cr)'!$C:$FB,64)</f>
        <v>689</v>
      </c>
      <c r="O199" s="51">
        <f>VLOOKUP($A199,'Data Vlaue (Cr)'!$C:$FB,66)*100</f>
        <v>-48.59</v>
      </c>
    </row>
    <row r="200" spans="1:15" x14ac:dyDescent="0.25">
      <c r="A200" s="101" t="str">
        <f>'Data Vlaue (Cr)'!C195</f>
        <v>TATASTEEL</v>
      </c>
      <c r="B200" s="50">
        <f>VLOOKUP($A200,'Data Vlaue (Cr)'!$C:$FB,8)</f>
        <v>215.47</v>
      </c>
      <c r="C200" s="50">
        <f>VLOOKUP($A200,'Data Vlaue (Cr)'!$C:$FB,11)*100</f>
        <v>1.96</v>
      </c>
      <c r="D200" s="50">
        <f>VLOOKUP($A200,'Data Vlaue (Cr)'!$C:$FB,143)</f>
        <v>3334.94</v>
      </c>
      <c r="E200" s="50">
        <f>VLOOKUP($A200,'Data Vlaue (Cr)'!$C:$FB,144)</f>
        <v>1960.2</v>
      </c>
      <c r="F200" s="50">
        <f>VLOOKUP($A200,'Data Vlaue (Cr)'!$C:$FB,146)*100</f>
        <v>70.13000000000001</v>
      </c>
      <c r="G200" s="49">
        <f>VLOOKUP($A200,'Data Vlaue (Cr)'!$C:$FB,43)</f>
        <v>607</v>
      </c>
      <c r="H200" s="49">
        <f>VLOOKUP($A200,'Data Vlaue (Cr)'!$C:$FB,44)</f>
        <v>297</v>
      </c>
      <c r="I200" s="49">
        <f>VLOOKUP($A200,'Data Vlaue (Cr)'!$C:$FB,46)*100</f>
        <v>104.82000000000001</v>
      </c>
      <c r="J200" s="51">
        <f>VLOOKUP($A200,'Data Vlaue (Cr)'!$C:$FB,59)</f>
        <v>1594</v>
      </c>
      <c r="K200" s="51">
        <f>VLOOKUP($A200,'Data Vlaue (Cr)'!$C:$FB,60)</f>
        <v>985</v>
      </c>
      <c r="L200" s="51">
        <f>VLOOKUP($A200,'Data Vlaue (Cr)'!$C:$FB,62)*100</f>
        <v>61.850000000000009</v>
      </c>
      <c r="M200" s="51">
        <f>VLOOKUP($A200,'Data Vlaue (Cr)'!$C:$FB,63)</f>
        <v>1103</v>
      </c>
      <c r="N200" s="51">
        <f>VLOOKUP($A200,'Data Vlaue (Cr)'!$C:$FB,64)</f>
        <v>680</v>
      </c>
      <c r="O200" s="51">
        <f>VLOOKUP($A200,'Data Vlaue (Cr)'!$C:$FB,66)*100</f>
        <v>62.160000000000004</v>
      </c>
    </row>
    <row r="201" spans="1:15" x14ac:dyDescent="0.25">
      <c r="A201" s="101" t="str">
        <f>'Data Vlaue (Cr)'!C196</f>
        <v>TCS</v>
      </c>
      <c r="B201" s="50">
        <f>VLOOKUP($A201,'Data Vlaue (Cr)'!$C:$FB,8)</f>
        <v>2435.4</v>
      </c>
      <c r="C201" s="50">
        <f>VLOOKUP($A201,'Data Vlaue (Cr)'!$C:$FB,11)*100</f>
        <v>0.33</v>
      </c>
      <c r="D201" s="50">
        <f>VLOOKUP($A201,'Data Vlaue (Cr)'!$C:$FB,143)</f>
        <v>7014.71</v>
      </c>
      <c r="E201" s="50">
        <f>VLOOKUP($A201,'Data Vlaue (Cr)'!$C:$FB,144)</f>
        <v>3353.62</v>
      </c>
      <c r="F201" s="50">
        <f>VLOOKUP($A201,'Data Vlaue (Cr)'!$C:$FB,146)*100</f>
        <v>109.16999999999999</v>
      </c>
      <c r="G201" s="49">
        <f>VLOOKUP($A201,'Data Vlaue (Cr)'!$C:$FB,43)</f>
        <v>1170</v>
      </c>
      <c r="H201" s="49">
        <f>VLOOKUP($A201,'Data Vlaue (Cr)'!$C:$FB,44)</f>
        <v>520</v>
      </c>
      <c r="I201" s="49">
        <f>VLOOKUP($A201,'Data Vlaue (Cr)'!$C:$FB,46)*100</f>
        <v>125</v>
      </c>
      <c r="J201" s="51">
        <f>VLOOKUP($A201,'Data Vlaue (Cr)'!$C:$FB,59)</f>
        <v>3764</v>
      </c>
      <c r="K201" s="51">
        <f>VLOOKUP($A201,'Data Vlaue (Cr)'!$C:$FB,60)</f>
        <v>1902</v>
      </c>
      <c r="L201" s="51">
        <f>VLOOKUP($A201,'Data Vlaue (Cr)'!$C:$FB,62)*100</f>
        <v>97.850000000000009</v>
      </c>
      <c r="M201" s="51">
        <f>VLOOKUP($A201,'Data Vlaue (Cr)'!$C:$FB,63)</f>
        <v>1868</v>
      </c>
      <c r="N201" s="51">
        <f>VLOOKUP($A201,'Data Vlaue (Cr)'!$C:$FB,64)</f>
        <v>811</v>
      </c>
      <c r="O201" s="51">
        <f>VLOOKUP($A201,'Data Vlaue (Cr)'!$C:$FB,66)*100</f>
        <v>130.25</v>
      </c>
    </row>
    <row r="202" spans="1:15" x14ac:dyDescent="0.25">
      <c r="A202" s="101" t="str">
        <f>'Data Vlaue (Cr)'!C197</f>
        <v>TECHM</v>
      </c>
      <c r="B202" s="50">
        <f>VLOOKUP($A202,'Data Vlaue (Cr)'!$C:$FB,8)</f>
        <v>1466.7</v>
      </c>
      <c r="C202" s="50">
        <f>VLOOKUP($A202,'Data Vlaue (Cr)'!$C:$FB,11)*100</f>
        <v>1</v>
      </c>
      <c r="D202" s="50">
        <f>VLOOKUP($A202,'Data Vlaue (Cr)'!$C:$FB,143)</f>
        <v>1370.74</v>
      </c>
      <c r="E202" s="50">
        <f>VLOOKUP($A202,'Data Vlaue (Cr)'!$C:$FB,144)</f>
        <v>1101.28</v>
      </c>
      <c r="F202" s="50">
        <f>VLOOKUP($A202,'Data Vlaue (Cr)'!$C:$FB,146)*100</f>
        <v>24.47</v>
      </c>
      <c r="G202" s="49">
        <f>VLOOKUP($A202,'Data Vlaue (Cr)'!$C:$FB,43)</f>
        <v>184</v>
      </c>
      <c r="H202" s="49">
        <f>VLOOKUP($A202,'Data Vlaue (Cr)'!$C:$FB,44)</f>
        <v>182</v>
      </c>
      <c r="I202" s="49">
        <f>VLOOKUP($A202,'Data Vlaue (Cr)'!$C:$FB,46)*100</f>
        <v>1.4500000000000002</v>
      </c>
      <c r="J202" s="51">
        <f>VLOOKUP($A202,'Data Vlaue (Cr)'!$C:$FB,59)</f>
        <v>778</v>
      </c>
      <c r="K202" s="51">
        <f>VLOOKUP($A202,'Data Vlaue (Cr)'!$C:$FB,60)</f>
        <v>567</v>
      </c>
      <c r="L202" s="51">
        <f>VLOOKUP($A202,'Data Vlaue (Cr)'!$C:$FB,62)*100</f>
        <v>37.130000000000003</v>
      </c>
      <c r="M202" s="51">
        <f>VLOOKUP($A202,'Data Vlaue (Cr)'!$C:$FB,63)</f>
        <v>378</v>
      </c>
      <c r="N202" s="51">
        <f>VLOOKUP($A202,'Data Vlaue (Cr)'!$C:$FB,64)</f>
        <v>330</v>
      </c>
      <c r="O202" s="51">
        <f>VLOOKUP($A202,'Data Vlaue (Cr)'!$C:$FB,66)*100</f>
        <v>14.46</v>
      </c>
    </row>
    <row r="203" spans="1:15" x14ac:dyDescent="0.25">
      <c r="A203" s="101" t="str">
        <f>'Data Vlaue (Cr)'!C198</f>
        <v>TIINDIA</v>
      </c>
      <c r="B203" s="50">
        <f>VLOOKUP($A203,'Data Vlaue (Cr)'!$C:$FB,8)</f>
        <v>2917</v>
      </c>
      <c r="C203" s="50">
        <f>VLOOKUP($A203,'Data Vlaue (Cr)'!$C:$FB,11)*100</f>
        <v>-0.53</v>
      </c>
      <c r="D203" s="50">
        <f>VLOOKUP($A203,'Data Vlaue (Cr)'!$C:$FB,143)</f>
        <v>289.22000000000003</v>
      </c>
      <c r="E203" s="50">
        <f>VLOOKUP($A203,'Data Vlaue (Cr)'!$C:$FB,144)</f>
        <v>122.35</v>
      </c>
      <c r="F203" s="50">
        <f>VLOOKUP($A203,'Data Vlaue (Cr)'!$C:$FB,146)*100</f>
        <v>136.37</v>
      </c>
      <c r="G203" s="49">
        <f>VLOOKUP($A203,'Data Vlaue (Cr)'!$C:$FB,43)</f>
        <v>128</v>
      </c>
      <c r="H203" s="49">
        <f>VLOOKUP($A203,'Data Vlaue (Cr)'!$C:$FB,44)</f>
        <v>38</v>
      </c>
      <c r="I203" s="49">
        <f>VLOOKUP($A203,'Data Vlaue (Cr)'!$C:$FB,46)*100</f>
        <v>234.24999999999997</v>
      </c>
      <c r="J203" s="51">
        <f>VLOOKUP($A203,'Data Vlaue (Cr)'!$C:$FB,59)</f>
        <v>119</v>
      </c>
      <c r="K203" s="51">
        <f>VLOOKUP($A203,'Data Vlaue (Cr)'!$C:$FB,60)</f>
        <v>67</v>
      </c>
      <c r="L203" s="51">
        <f>VLOOKUP($A203,'Data Vlaue (Cr)'!$C:$FB,62)*100</f>
        <v>77.81</v>
      </c>
      <c r="M203" s="51">
        <f>VLOOKUP($A203,'Data Vlaue (Cr)'!$C:$FB,63)</f>
        <v>34</v>
      </c>
      <c r="N203" s="51">
        <f>VLOOKUP($A203,'Data Vlaue (Cr)'!$C:$FB,64)</f>
        <v>11</v>
      </c>
      <c r="O203" s="51">
        <f>VLOOKUP($A203,'Data Vlaue (Cr)'!$C:$FB,66)*100</f>
        <v>209.09</v>
      </c>
    </row>
    <row r="204" spans="1:15" x14ac:dyDescent="0.25">
      <c r="A204" s="101" t="str">
        <f>'Data Vlaue (Cr)'!C199</f>
        <v>TITAN</v>
      </c>
      <c r="B204" s="50">
        <f>VLOOKUP($A204,'Data Vlaue (Cr)'!$C:$FB,8)</f>
        <v>4359.6000000000004</v>
      </c>
      <c r="C204" s="50">
        <f>VLOOKUP($A204,'Data Vlaue (Cr)'!$C:$FB,11)*100</f>
        <v>-0.32</v>
      </c>
      <c r="D204" s="50">
        <f>VLOOKUP($A204,'Data Vlaue (Cr)'!$C:$FB,143)</f>
        <v>4271.5</v>
      </c>
      <c r="E204" s="50">
        <f>VLOOKUP($A204,'Data Vlaue (Cr)'!$C:$FB,144)</f>
        <v>2003.08</v>
      </c>
      <c r="F204" s="50">
        <f>VLOOKUP($A204,'Data Vlaue (Cr)'!$C:$FB,146)*100</f>
        <v>113.25</v>
      </c>
      <c r="G204" s="49">
        <f>VLOOKUP($A204,'Data Vlaue (Cr)'!$C:$FB,43)</f>
        <v>790</v>
      </c>
      <c r="H204" s="49">
        <f>VLOOKUP($A204,'Data Vlaue (Cr)'!$C:$FB,44)</f>
        <v>368</v>
      </c>
      <c r="I204" s="49">
        <f>VLOOKUP($A204,'Data Vlaue (Cr)'!$C:$FB,46)*100</f>
        <v>114.49000000000001</v>
      </c>
      <c r="J204" s="51">
        <f>VLOOKUP($A204,'Data Vlaue (Cr)'!$C:$FB,59)</f>
        <v>2075</v>
      </c>
      <c r="K204" s="51">
        <f>VLOOKUP($A204,'Data Vlaue (Cr)'!$C:$FB,60)</f>
        <v>974</v>
      </c>
      <c r="L204" s="51">
        <f>VLOOKUP($A204,'Data Vlaue (Cr)'!$C:$FB,62)*100</f>
        <v>113.08</v>
      </c>
      <c r="M204" s="51">
        <f>VLOOKUP($A204,'Data Vlaue (Cr)'!$C:$FB,63)</f>
        <v>1323</v>
      </c>
      <c r="N204" s="51">
        <f>VLOOKUP($A204,'Data Vlaue (Cr)'!$C:$FB,64)</f>
        <v>615</v>
      </c>
      <c r="O204" s="51">
        <f>VLOOKUP($A204,'Data Vlaue (Cr)'!$C:$FB,66)*100</f>
        <v>115.23</v>
      </c>
    </row>
    <row r="205" spans="1:15" x14ac:dyDescent="0.25">
      <c r="A205" s="101" t="str">
        <f>'Data Vlaue (Cr)'!C200</f>
        <v>TMPV</v>
      </c>
      <c r="B205" s="50">
        <f>VLOOKUP($A205,'Data Vlaue (Cr)'!$C:$FB,8)</f>
        <v>358.15</v>
      </c>
      <c r="C205" s="50">
        <f>VLOOKUP($A205,'Data Vlaue (Cr)'!$C:$FB,11)*100</f>
        <v>5.29</v>
      </c>
      <c r="D205" s="50">
        <f>VLOOKUP($A205,'Data Vlaue (Cr)'!$C:$FB,143)</f>
        <v>2886.52</v>
      </c>
      <c r="E205" s="50">
        <f>VLOOKUP($A205,'Data Vlaue (Cr)'!$C:$FB,144)</f>
        <v>1363.79</v>
      </c>
      <c r="F205" s="50">
        <f>VLOOKUP($A205,'Data Vlaue (Cr)'!$C:$FB,146)*100</f>
        <v>111.65</v>
      </c>
      <c r="G205" s="49">
        <f>VLOOKUP($A205,'Data Vlaue (Cr)'!$C:$FB,43)</f>
        <v>569</v>
      </c>
      <c r="H205" s="49">
        <f>VLOOKUP($A205,'Data Vlaue (Cr)'!$C:$FB,44)</f>
        <v>305</v>
      </c>
      <c r="I205" s="49">
        <f>VLOOKUP($A205,'Data Vlaue (Cr)'!$C:$FB,46)*100</f>
        <v>86.4</v>
      </c>
      <c r="J205" s="51">
        <f>VLOOKUP($A205,'Data Vlaue (Cr)'!$C:$FB,59)</f>
        <v>1565</v>
      </c>
      <c r="K205" s="51">
        <f>VLOOKUP($A205,'Data Vlaue (Cr)'!$C:$FB,60)</f>
        <v>804</v>
      </c>
      <c r="L205" s="51">
        <f>VLOOKUP($A205,'Data Vlaue (Cr)'!$C:$FB,62)*100</f>
        <v>94.64</v>
      </c>
      <c r="M205" s="51">
        <f>VLOOKUP($A205,'Data Vlaue (Cr)'!$C:$FB,63)</f>
        <v>719</v>
      </c>
      <c r="N205" s="51">
        <f>VLOOKUP($A205,'Data Vlaue (Cr)'!$C:$FB,64)</f>
        <v>256</v>
      </c>
      <c r="O205" s="51">
        <f>VLOOKUP($A205,'Data Vlaue (Cr)'!$C:$FB,66)*100</f>
        <v>181.16</v>
      </c>
    </row>
    <row r="206" spans="1:15" x14ac:dyDescent="0.25">
      <c r="A206" s="101" t="str">
        <f>'Data Vlaue (Cr)'!C201</f>
        <v>TORNTPHARM</v>
      </c>
      <c r="B206" s="50">
        <f>VLOOKUP($A206,'Data Vlaue (Cr)'!$C:$FB,8)</f>
        <v>4358.3</v>
      </c>
      <c r="C206" s="50">
        <f>VLOOKUP($A206,'Data Vlaue (Cr)'!$C:$FB,11)*100</f>
        <v>1.95</v>
      </c>
      <c r="D206" s="50">
        <f>VLOOKUP($A206,'Data Vlaue (Cr)'!$C:$FB,143)</f>
        <v>760.65</v>
      </c>
      <c r="E206" s="50">
        <f>VLOOKUP($A206,'Data Vlaue (Cr)'!$C:$FB,144)</f>
        <v>368.57</v>
      </c>
      <c r="F206" s="50">
        <f>VLOOKUP($A206,'Data Vlaue (Cr)'!$C:$FB,146)*100</f>
        <v>106.38000000000001</v>
      </c>
      <c r="G206" s="49">
        <f>VLOOKUP($A206,'Data Vlaue (Cr)'!$C:$FB,43)</f>
        <v>182</v>
      </c>
      <c r="H206" s="49">
        <f>VLOOKUP($A206,'Data Vlaue (Cr)'!$C:$FB,44)</f>
        <v>139</v>
      </c>
      <c r="I206" s="49">
        <f>VLOOKUP($A206,'Data Vlaue (Cr)'!$C:$FB,46)*100</f>
        <v>30.86</v>
      </c>
      <c r="J206" s="51">
        <f>VLOOKUP($A206,'Data Vlaue (Cr)'!$C:$FB,59)</f>
        <v>451</v>
      </c>
      <c r="K206" s="51">
        <f>VLOOKUP($A206,'Data Vlaue (Cr)'!$C:$FB,60)</f>
        <v>177</v>
      </c>
      <c r="L206" s="51">
        <f>VLOOKUP($A206,'Data Vlaue (Cr)'!$C:$FB,62)*100</f>
        <v>155.20000000000002</v>
      </c>
      <c r="M206" s="51">
        <f>VLOOKUP($A206,'Data Vlaue (Cr)'!$C:$FB,63)</f>
        <v>114</v>
      </c>
      <c r="N206" s="51">
        <f>VLOOKUP($A206,'Data Vlaue (Cr)'!$C:$FB,64)</f>
        <v>52</v>
      </c>
      <c r="O206" s="51">
        <f>VLOOKUP($A206,'Data Vlaue (Cr)'!$C:$FB,66)*100</f>
        <v>119.19999999999999</v>
      </c>
    </row>
    <row r="207" spans="1:15" x14ac:dyDescent="0.25">
      <c r="A207" s="101" t="str">
        <f>'Data Vlaue (Cr)'!C202</f>
        <v>TRENT</v>
      </c>
      <c r="B207" s="50">
        <f>VLOOKUP($A207,'Data Vlaue (Cr)'!$C:$FB,8)</f>
        <v>4289.8</v>
      </c>
      <c r="C207" s="50">
        <f>VLOOKUP($A207,'Data Vlaue (Cr)'!$C:$FB,11)*100</f>
        <v>3.73</v>
      </c>
      <c r="D207" s="50">
        <f>VLOOKUP($A207,'Data Vlaue (Cr)'!$C:$FB,143)</f>
        <v>5311.56</v>
      </c>
      <c r="E207" s="50">
        <f>VLOOKUP($A207,'Data Vlaue (Cr)'!$C:$FB,144)</f>
        <v>1533.22</v>
      </c>
      <c r="F207" s="50">
        <f>VLOOKUP($A207,'Data Vlaue (Cr)'!$C:$FB,146)*100</f>
        <v>246.43</v>
      </c>
      <c r="G207" s="49">
        <f>VLOOKUP($A207,'Data Vlaue (Cr)'!$C:$FB,43)</f>
        <v>529</v>
      </c>
      <c r="H207" s="49">
        <f>VLOOKUP($A207,'Data Vlaue (Cr)'!$C:$FB,44)</f>
        <v>255</v>
      </c>
      <c r="I207" s="49">
        <f>VLOOKUP($A207,'Data Vlaue (Cr)'!$C:$FB,46)*100</f>
        <v>107.4</v>
      </c>
      <c r="J207" s="51">
        <f>VLOOKUP($A207,'Data Vlaue (Cr)'!$C:$FB,59)</f>
        <v>3509</v>
      </c>
      <c r="K207" s="51">
        <f>VLOOKUP($A207,'Data Vlaue (Cr)'!$C:$FB,60)</f>
        <v>872</v>
      </c>
      <c r="L207" s="51">
        <f>VLOOKUP($A207,'Data Vlaue (Cr)'!$C:$FB,62)*100</f>
        <v>302.25</v>
      </c>
      <c r="M207" s="51">
        <f>VLOOKUP($A207,'Data Vlaue (Cr)'!$C:$FB,63)</f>
        <v>1162</v>
      </c>
      <c r="N207" s="51">
        <f>VLOOKUP($A207,'Data Vlaue (Cr)'!$C:$FB,64)</f>
        <v>417</v>
      </c>
      <c r="O207" s="51">
        <f>VLOOKUP($A207,'Data Vlaue (Cr)'!$C:$FB,66)*100</f>
        <v>178.85</v>
      </c>
    </row>
    <row r="208" spans="1:15" x14ac:dyDescent="0.25">
      <c r="A208" s="101" t="str">
        <f>'Data Vlaue (Cr)'!C203</f>
        <v>TVSMOTOR</v>
      </c>
      <c r="B208" s="50">
        <f>VLOOKUP($A208,'Data Vlaue (Cr)'!$C:$FB,8)</f>
        <v>3617.9</v>
      </c>
      <c r="C208" s="50">
        <f>VLOOKUP($A208,'Data Vlaue (Cr)'!$C:$FB,11)*100</f>
        <v>2.36</v>
      </c>
      <c r="D208" s="50">
        <f>VLOOKUP($A208,'Data Vlaue (Cr)'!$C:$FB,143)</f>
        <v>2138.17</v>
      </c>
      <c r="E208" s="50">
        <f>VLOOKUP($A208,'Data Vlaue (Cr)'!$C:$FB,144)</f>
        <v>735.27</v>
      </c>
      <c r="F208" s="50">
        <f>VLOOKUP($A208,'Data Vlaue (Cr)'!$C:$FB,146)*100</f>
        <v>190.79999999999998</v>
      </c>
      <c r="G208" s="49">
        <f>VLOOKUP($A208,'Data Vlaue (Cr)'!$C:$FB,43)</f>
        <v>416</v>
      </c>
      <c r="H208" s="49">
        <f>VLOOKUP($A208,'Data Vlaue (Cr)'!$C:$FB,44)</f>
        <v>224</v>
      </c>
      <c r="I208" s="49">
        <f>VLOOKUP($A208,'Data Vlaue (Cr)'!$C:$FB,46)*100</f>
        <v>85.66</v>
      </c>
      <c r="J208" s="51">
        <f>VLOOKUP($A208,'Data Vlaue (Cr)'!$C:$FB,59)</f>
        <v>1337</v>
      </c>
      <c r="K208" s="51">
        <f>VLOOKUP($A208,'Data Vlaue (Cr)'!$C:$FB,60)</f>
        <v>369</v>
      </c>
      <c r="L208" s="51">
        <f>VLOOKUP($A208,'Data Vlaue (Cr)'!$C:$FB,62)*100</f>
        <v>262.77</v>
      </c>
      <c r="M208" s="51">
        <f>VLOOKUP($A208,'Data Vlaue (Cr)'!$C:$FB,63)</f>
        <v>362</v>
      </c>
      <c r="N208" s="51">
        <f>VLOOKUP($A208,'Data Vlaue (Cr)'!$C:$FB,64)</f>
        <v>147</v>
      </c>
      <c r="O208" s="51">
        <f>VLOOKUP($A208,'Data Vlaue (Cr)'!$C:$FB,66)*100</f>
        <v>146.9</v>
      </c>
    </row>
    <row r="209" spans="1:15" x14ac:dyDescent="0.25">
      <c r="A209" s="101" t="str">
        <f>'Data Vlaue (Cr)'!C204</f>
        <v>ULTRACEMCO</v>
      </c>
      <c r="B209" s="50">
        <f>VLOOKUP($A209,'Data Vlaue (Cr)'!$C:$FB,8)</f>
        <v>12093</v>
      </c>
      <c r="C209" s="50">
        <f>VLOOKUP($A209,'Data Vlaue (Cr)'!$C:$FB,11)*100</f>
        <v>1.0900000000000001</v>
      </c>
      <c r="D209" s="50">
        <f>VLOOKUP($A209,'Data Vlaue (Cr)'!$C:$FB,143)</f>
        <v>3449.05</v>
      </c>
      <c r="E209" s="50">
        <f>VLOOKUP($A209,'Data Vlaue (Cr)'!$C:$FB,144)</f>
        <v>3759.27</v>
      </c>
      <c r="F209" s="50">
        <f>VLOOKUP($A209,'Data Vlaue (Cr)'!$C:$FB,146)*100</f>
        <v>-8.25</v>
      </c>
      <c r="G209" s="49">
        <f>VLOOKUP($A209,'Data Vlaue (Cr)'!$C:$FB,43)</f>
        <v>550</v>
      </c>
      <c r="H209" s="49">
        <f>VLOOKUP($A209,'Data Vlaue (Cr)'!$C:$FB,44)</f>
        <v>614</v>
      </c>
      <c r="I209" s="49">
        <f>VLOOKUP($A209,'Data Vlaue (Cr)'!$C:$FB,46)*100</f>
        <v>-10.42</v>
      </c>
      <c r="J209" s="51">
        <f>VLOOKUP($A209,'Data Vlaue (Cr)'!$C:$FB,59)</f>
        <v>1949</v>
      </c>
      <c r="K209" s="51">
        <f>VLOOKUP($A209,'Data Vlaue (Cr)'!$C:$FB,60)</f>
        <v>2130</v>
      </c>
      <c r="L209" s="51">
        <f>VLOOKUP($A209,'Data Vlaue (Cr)'!$C:$FB,62)*100</f>
        <v>-8.5</v>
      </c>
      <c r="M209" s="51">
        <f>VLOOKUP($A209,'Data Vlaue (Cr)'!$C:$FB,63)</f>
        <v>918</v>
      </c>
      <c r="N209" s="51">
        <f>VLOOKUP($A209,'Data Vlaue (Cr)'!$C:$FB,64)</f>
        <v>1015</v>
      </c>
      <c r="O209" s="51">
        <f>VLOOKUP($A209,'Data Vlaue (Cr)'!$C:$FB,66)*100</f>
        <v>-9.56</v>
      </c>
    </row>
    <row r="210" spans="1:15" x14ac:dyDescent="0.25">
      <c r="A210" s="101" t="str">
        <f>'Data Vlaue (Cr)'!C205</f>
        <v>UNIONBANK</v>
      </c>
      <c r="B210" s="50">
        <f>VLOOKUP($A210,'Data Vlaue (Cr)'!$C:$FB,8)</f>
        <v>168.75</v>
      </c>
      <c r="C210" s="50">
        <f>VLOOKUP($A210,'Data Vlaue (Cr)'!$C:$FB,11)*100</f>
        <v>3.06</v>
      </c>
      <c r="D210" s="50">
        <f>VLOOKUP($A210,'Data Vlaue (Cr)'!$C:$FB,143)</f>
        <v>1956.95</v>
      </c>
      <c r="E210" s="50">
        <f>VLOOKUP($A210,'Data Vlaue (Cr)'!$C:$FB,144)</f>
        <v>1256.8699999999999</v>
      </c>
      <c r="F210" s="50">
        <f>VLOOKUP($A210,'Data Vlaue (Cr)'!$C:$FB,146)*100</f>
        <v>55.7</v>
      </c>
      <c r="G210" s="49">
        <f>VLOOKUP($A210,'Data Vlaue (Cr)'!$C:$FB,43)</f>
        <v>411</v>
      </c>
      <c r="H210" s="49">
        <f>VLOOKUP($A210,'Data Vlaue (Cr)'!$C:$FB,44)</f>
        <v>292</v>
      </c>
      <c r="I210" s="49">
        <f>VLOOKUP($A210,'Data Vlaue (Cr)'!$C:$FB,46)*100</f>
        <v>40.799999999999997</v>
      </c>
      <c r="J210" s="51">
        <f>VLOOKUP($A210,'Data Vlaue (Cr)'!$C:$FB,59)</f>
        <v>1077</v>
      </c>
      <c r="K210" s="51">
        <f>VLOOKUP($A210,'Data Vlaue (Cr)'!$C:$FB,60)</f>
        <v>717</v>
      </c>
      <c r="L210" s="51">
        <f>VLOOKUP($A210,'Data Vlaue (Cr)'!$C:$FB,62)*100</f>
        <v>50.249999999999993</v>
      </c>
      <c r="M210" s="51">
        <f>VLOOKUP($A210,'Data Vlaue (Cr)'!$C:$FB,63)</f>
        <v>400</v>
      </c>
      <c r="N210" s="51">
        <f>VLOOKUP($A210,'Data Vlaue (Cr)'!$C:$FB,64)</f>
        <v>212</v>
      </c>
      <c r="O210" s="51">
        <f>VLOOKUP($A210,'Data Vlaue (Cr)'!$C:$FB,66)*100</f>
        <v>88.32</v>
      </c>
    </row>
    <row r="211" spans="1:15" x14ac:dyDescent="0.25">
      <c r="A211" s="101" t="str">
        <f>'Data Vlaue (Cr)'!C206</f>
        <v>UNITDSPR</v>
      </c>
      <c r="B211" s="50">
        <f>VLOOKUP($A211,'Data Vlaue (Cr)'!$C:$FB,8)</f>
        <v>1290.3</v>
      </c>
      <c r="C211" s="50">
        <f>VLOOKUP($A211,'Data Vlaue (Cr)'!$C:$FB,11)*100</f>
        <v>-1.92</v>
      </c>
      <c r="D211" s="50">
        <f>VLOOKUP($A211,'Data Vlaue (Cr)'!$C:$FB,143)</f>
        <v>1493.81</v>
      </c>
      <c r="E211" s="50">
        <f>VLOOKUP($A211,'Data Vlaue (Cr)'!$C:$FB,144)</f>
        <v>285.02999999999997</v>
      </c>
      <c r="F211" s="50">
        <f>VLOOKUP($A211,'Data Vlaue (Cr)'!$C:$FB,146)*100</f>
        <v>424.09</v>
      </c>
      <c r="G211" s="49">
        <f>VLOOKUP($A211,'Data Vlaue (Cr)'!$C:$FB,43)</f>
        <v>370</v>
      </c>
      <c r="H211" s="49">
        <f>VLOOKUP($A211,'Data Vlaue (Cr)'!$C:$FB,44)</f>
        <v>61</v>
      </c>
      <c r="I211" s="49">
        <f>VLOOKUP($A211,'Data Vlaue (Cr)'!$C:$FB,46)*100</f>
        <v>507.42</v>
      </c>
      <c r="J211" s="51">
        <f>VLOOKUP($A211,'Data Vlaue (Cr)'!$C:$FB,59)</f>
        <v>674</v>
      </c>
      <c r="K211" s="51">
        <f>VLOOKUP($A211,'Data Vlaue (Cr)'!$C:$FB,60)</f>
        <v>154</v>
      </c>
      <c r="L211" s="51">
        <f>VLOOKUP($A211,'Data Vlaue (Cr)'!$C:$FB,62)*100</f>
        <v>336.52000000000004</v>
      </c>
      <c r="M211" s="51">
        <f>VLOOKUP($A211,'Data Vlaue (Cr)'!$C:$FB,63)</f>
        <v>411</v>
      </c>
      <c r="N211" s="51">
        <f>VLOOKUP($A211,'Data Vlaue (Cr)'!$C:$FB,64)</f>
        <v>53</v>
      </c>
      <c r="O211" s="51">
        <f>VLOOKUP($A211,'Data Vlaue (Cr)'!$C:$FB,66)*100</f>
        <v>671.54</v>
      </c>
    </row>
    <row r="212" spans="1:15" x14ac:dyDescent="0.25">
      <c r="A212" s="101" t="str">
        <f>'Data Vlaue (Cr)'!C207</f>
        <v>UNOMINDA</v>
      </c>
      <c r="B212" s="50">
        <f>VLOOKUP($A212,'Data Vlaue (Cr)'!$C:$FB,8)</f>
        <v>1127.9000000000001</v>
      </c>
      <c r="C212" s="50">
        <f>VLOOKUP($A212,'Data Vlaue (Cr)'!$C:$FB,11)*100</f>
        <v>3.75</v>
      </c>
      <c r="D212" s="50">
        <f>VLOOKUP($A212,'Data Vlaue (Cr)'!$C:$FB,143)</f>
        <v>432.7</v>
      </c>
      <c r="E212" s="50">
        <f>VLOOKUP($A212,'Data Vlaue (Cr)'!$C:$FB,144)</f>
        <v>361.16</v>
      </c>
      <c r="F212" s="50">
        <f>VLOOKUP($A212,'Data Vlaue (Cr)'!$C:$FB,146)*100</f>
        <v>19.809999999999999</v>
      </c>
      <c r="G212" s="49">
        <f>VLOOKUP($A212,'Data Vlaue (Cr)'!$C:$FB,43)</f>
        <v>125</v>
      </c>
      <c r="H212" s="49">
        <f>VLOOKUP($A212,'Data Vlaue (Cr)'!$C:$FB,44)</f>
        <v>141</v>
      </c>
      <c r="I212" s="49">
        <f>VLOOKUP($A212,'Data Vlaue (Cr)'!$C:$FB,46)*100</f>
        <v>-11.35</v>
      </c>
      <c r="J212" s="51">
        <f>VLOOKUP($A212,'Data Vlaue (Cr)'!$C:$FB,59)</f>
        <v>241</v>
      </c>
      <c r="K212" s="51">
        <f>VLOOKUP($A212,'Data Vlaue (Cr)'!$C:$FB,60)</f>
        <v>149</v>
      </c>
      <c r="L212" s="51">
        <f>VLOOKUP($A212,'Data Vlaue (Cr)'!$C:$FB,62)*100</f>
        <v>62.3</v>
      </c>
      <c r="M212" s="51">
        <f>VLOOKUP($A212,'Data Vlaue (Cr)'!$C:$FB,63)</f>
        <v>58</v>
      </c>
      <c r="N212" s="51">
        <f>VLOOKUP($A212,'Data Vlaue (Cr)'!$C:$FB,64)</f>
        <v>73</v>
      </c>
      <c r="O212" s="51">
        <f>VLOOKUP($A212,'Data Vlaue (Cr)'!$C:$FB,66)*100</f>
        <v>-20.53</v>
      </c>
    </row>
    <row r="213" spans="1:15" x14ac:dyDescent="0.25">
      <c r="A213" s="101" t="str">
        <f>'Data Vlaue (Cr)'!C208</f>
        <v>UPL</v>
      </c>
      <c r="B213" s="50">
        <f>VLOOKUP($A213,'Data Vlaue (Cr)'!$C:$FB,8)</f>
        <v>660</v>
      </c>
      <c r="C213" s="50">
        <f>VLOOKUP($A213,'Data Vlaue (Cr)'!$C:$FB,11)*100</f>
        <v>2.8000000000000003</v>
      </c>
      <c r="D213" s="50">
        <f>VLOOKUP($A213,'Data Vlaue (Cr)'!$C:$FB,143)</f>
        <v>862.92</v>
      </c>
      <c r="E213" s="50">
        <f>VLOOKUP($A213,'Data Vlaue (Cr)'!$C:$FB,144)</f>
        <v>267.05</v>
      </c>
      <c r="F213" s="50">
        <f>VLOOKUP($A213,'Data Vlaue (Cr)'!$C:$FB,146)*100</f>
        <v>223.13</v>
      </c>
      <c r="G213" s="49">
        <f>VLOOKUP($A213,'Data Vlaue (Cr)'!$C:$FB,43)</f>
        <v>200</v>
      </c>
      <c r="H213" s="49">
        <f>VLOOKUP($A213,'Data Vlaue (Cr)'!$C:$FB,44)</f>
        <v>67</v>
      </c>
      <c r="I213" s="49">
        <f>VLOOKUP($A213,'Data Vlaue (Cr)'!$C:$FB,46)*100</f>
        <v>198.25</v>
      </c>
      <c r="J213" s="51">
        <f>VLOOKUP($A213,'Data Vlaue (Cr)'!$C:$FB,59)</f>
        <v>448</v>
      </c>
      <c r="K213" s="51">
        <f>VLOOKUP($A213,'Data Vlaue (Cr)'!$C:$FB,60)</f>
        <v>145</v>
      </c>
      <c r="L213" s="51">
        <f>VLOOKUP($A213,'Data Vlaue (Cr)'!$C:$FB,62)*100</f>
        <v>209.76</v>
      </c>
      <c r="M213" s="51">
        <f>VLOOKUP($A213,'Data Vlaue (Cr)'!$C:$FB,63)</f>
        <v>203</v>
      </c>
      <c r="N213" s="51">
        <f>VLOOKUP($A213,'Data Vlaue (Cr)'!$C:$FB,64)</f>
        <v>54</v>
      </c>
      <c r="O213" s="51">
        <f>VLOOKUP($A213,'Data Vlaue (Cr)'!$C:$FB,66)*100</f>
        <v>276.95999999999998</v>
      </c>
    </row>
    <row r="214" spans="1:15" x14ac:dyDescent="0.25">
      <c r="A214" s="101" t="str">
        <f>'Data Vlaue (Cr)'!C209</f>
        <v>VBL</v>
      </c>
      <c r="B214" s="50">
        <f>VLOOKUP($A214,'Data Vlaue (Cr)'!$C:$FB,8)</f>
        <v>508.95</v>
      </c>
      <c r="C214" s="50">
        <f>VLOOKUP($A214,'Data Vlaue (Cr)'!$C:$FB,11)*100</f>
        <v>-0.54</v>
      </c>
      <c r="D214" s="50">
        <f>VLOOKUP($A214,'Data Vlaue (Cr)'!$C:$FB,143)</f>
        <v>800.01</v>
      </c>
      <c r="E214" s="50">
        <f>VLOOKUP($A214,'Data Vlaue (Cr)'!$C:$FB,144)</f>
        <v>969.86</v>
      </c>
      <c r="F214" s="50">
        <f>VLOOKUP($A214,'Data Vlaue (Cr)'!$C:$FB,146)*100</f>
        <v>-17.510000000000002</v>
      </c>
      <c r="G214" s="49">
        <f>VLOOKUP($A214,'Data Vlaue (Cr)'!$C:$FB,43)</f>
        <v>210</v>
      </c>
      <c r="H214" s="49">
        <f>VLOOKUP($A214,'Data Vlaue (Cr)'!$C:$FB,44)</f>
        <v>277</v>
      </c>
      <c r="I214" s="49">
        <f>VLOOKUP($A214,'Data Vlaue (Cr)'!$C:$FB,46)*100</f>
        <v>-23.95</v>
      </c>
      <c r="J214" s="51">
        <f>VLOOKUP($A214,'Data Vlaue (Cr)'!$C:$FB,59)</f>
        <v>364</v>
      </c>
      <c r="K214" s="51">
        <f>VLOOKUP($A214,'Data Vlaue (Cr)'!$C:$FB,60)</f>
        <v>417</v>
      </c>
      <c r="L214" s="51">
        <f>VLOOKUP($A214,'Data Vlaue (Cr)'!$C:$FB,62)*100</f>
        <v>-12.7</v>
      </c>
      <c r="M214" s="51">
        <f>VLOOKUP($A214,'Data Vlaue (Cr)'!$C:$FB,63)</f>
        <v>210</v>
      </c>
      <c r="N214" s="51">
        <f>VLOOKUP($A214,'Data Vlaue (Cr)'!$C:$FB,64)</f>
        <v>258</v>
      </c>
      <c r="O214" s="51">
        <f>VLOOKUP($A214,'Data Vlaue (Cr)'!$C:$FB,66)*100</f>
        <v>-18.490000000000002</v>
      </c>
    </row>
    <row r="215" spans="1:15" x14ac:dyDescent="0.25">
      <c r="A215" s="101" t="str">
        <f>'Data Vlaue (Cr)'!C210</f>
        <v>VEDL</v>
      </c>
      <c r="B215" s="50">
        <f>VLOOKUP($A215,'Data Vlaue (Cr)'!$C:$FB,8)</f>
        <v>316.39999999999998</v>
      </c>
      <c r="C215" s="50">
        <f>VLOOKUP($A215,'Data Vlaue (Cr)'!$C:$FB,11)*100</f>
        <v>4.1099999999999994</v>
      </c>
      <c r="D215" s="50">
        <f>VLOOKUP($A215,'Data Vlaue (Cr)'!$C:$FB,143)</f>
        <v>6744.76</v>
      </c>
      <c r="E215" s="50">
        <f>VLOOKUP($A215,'Data Vlaue (Cr)'!$C:$FB,144)</f>
        <v>5818.53</v>
      </c>
      <c r="F215" s="50">
        <f>VLOOKUP($A215,'Data Vlaue (Cr)'!$C:$FB,146)*100</f>
        <v>15.920000000000002</v>
      </c>
      <c r="G215" s="49">
        <f>VLOOKUP($A215,'Data Vlaue (Cr)'!$C:$FB,43)</f>
        <v>746</v>
      </c>
      <c r="H215" s="49">
        <f>VLOOKUP($A215,'Data Vlaue (Cr)'!$C:$FB,44)</f>
        <v>655</v>
      </c>
      <c r="I215" s="49">
        <f>VLOOKUP($A215,'Data Vlaue (Cr)'!$C:$FB,46)*100</f>
        <v>13.900000000000002</v>
      </c>
      <c r="J215" s="51">
        <f>VLOOKUP($A215,'Data Vlaue (Cr)'!$C:$FB,59)</f>
        <v>3933</v>
      </c>
      <c r="K215" s="51">
        <f>VLOOKUP($A215,'Data Vlaue (Cr)'!$C:$FB,60)</f>
        <v>3696</v>
      </c>
      <c r="L215" s="51">
        <f>VLOOKUP($A215,'Data Vlaue (Cr)'!$C:$FB,62)*100</f>
        <v>6.39</v>
      </c>
      <c r="M215" s="51">
        <f>VLOOKUP($A215,'Data Vlaue (Cr)'!$C:$FB,63)</f>
        <v>1910</v>
      </c>
      <c r="N215" s="51">
        <f>VLOOKUP($A215,'Data Vlaue (Cr)'!$C:$FB,64)</f>
        <v>1522</v>
      </c>
      <c r="O215" s="51">
        <f>VLOOKUP($A215,'Data Vlaue (Cr)'!$C:$FB,66)*100</f>
        <v>25.509999999999998</v>
      </c>
    </row>
    <row r="216" spans="1:15" x14ac:dyDescent="0.25">
      <c r="A216" s="101" t="str">
        <f>'Data Vlaue (Cr)'!C211</f>
        <v>VMM</v>
      </c>
      <c r="B216" s="50">
        <f>VLOOKUP($A216,'Data Vlaue (Cr)'!$C:$FB,8)</f>
        <v>124.2</v>
      </c>
      <c r="C216" s="50">
        <f>VLOOKUP($A216,'Data Vlaue (Cr)'!$C:$FB,11)*100</f>
        <v>-0.70000000000000007</v>
      </c>
      <c r="D216" s="50">
        <f>VLOOKUP($A216,'Data Vlaue (Cr)'!$C:$FB,143)</f>
        <v>111.84</v>
      </c>
      <c r="E216" s="50">
        <f>VLOOKUP($A216,'Data Vlaue (Cr)'!$C:$FB,144)</f>
        <v>104</v>
      </c>
      <c r="F216" s="50">
        <f>VLOOKUP($A216,'Data Vlaue (Cr)'!$C:$FB,146)*100</f>
        <v>7.53</v>
      </c>
      <c r="G216" s="49">
        <f>VLOOKUP($A216,'Data Vlaue (Cr)'!$C:$FB,43)</f>
        <v>45</v>
      </c>
      <c r="H216" s="49">
        <f>VLOOKUP($A216,'Data Vlaue (Cr)'!$C:$FB,44)</f>
        <v>62</v>
      </c>
      <c r="I216" s="49">
        <f>VLOOKUP($A216,'Data Vlaue (Cr)'!$C:$FB,46)*100</f>
        <v>-27.83</v>
      </c>
      <c r="J216" s="51">
        <f>VLOOKUP($A216,'Data Vlaue (Cr)'!$C:$FB,59)</f>
        <v>48</v>
      </c>
      <c r="K216" s="51">
        <f>VLOOKUP($A216,'Data Vlaue (Cr)'!$C:$FB,60)</f>
        <v>31</v>
      </c>
      <c r="L216" s="51">
        <f>VLOOKUP($A216,'Data Vlaue (Cr)'!$C:$FB,62)*100</f>
        <v>53.790000000000006</v>
      </c>
      <c r="M216" s="51">
        <f>VLOOKUP($A216,'Data Vlaue (Cr)'!$C:$FB,63)</f>
        <v>16</v>
      </c>
      <c r="N216" s="51">
        <f>VLOOKUP($A216,'Data Vlaue (Cr)'!$C:$FB,64)</f>
        <v>9</v>
      </c>
      <c r="O216" s="51">
        <f>VLOOKUP($A216,'Data Vlaue (Cr)'!$C:$FB,66)*100</f>
        <v>74.510000000000005</v>
      </c>
    </row>
    <row r="217" spans="1:15" x14ac:dyDescent="0.25">
      <c r="A217" s="101" t="str">
        <f>'Data Vlaue (Cr)'!C212</f>
        <v>VOLTAS</v>
      </c>
      <c r="B217" s="50">
        <f>VLOOKUP($A217,'Data Vlaue (Cr)'!$C:$FB,8)</f>
        <v>1379.6</v>
      </c>
      <c r="C217" s="50">
        <f>VLOOKUP($A217,'Data Vlaue (Cr)'!$C:$FB,11)*100</f>
        <v>0.27</v>
      </c>
      <c r="D217" s="50">
        <f>VLOOKUP($A217,'Data Vlaue (Cr)'!$C:$FB,143)</f>
        <v>1349.49</v>
      </c>
      <c r="E217" s="50">
        <f>VLOOKUP($A217,'Data Vlaue (Cr)'!$C:$FB,144)</f>
        <v>2280.06</v>
      </c>
      <c r="F217" s="50">
        <f>VLOOKUP($A217,'Data Vlaue (Cr)'!$C:$FB,146)*100</f>
        <v>-40.81</v>
      </c>
      <c r="G217" s="49">
        <f>VLOOKUP($A217,'Data Vlaue (Cr)'!$C:$FB,43)</f>
        <v>298</v>
      </c>
      <c r="H217" s="49">
        <f>VLOOKUP($A217,'Data Vlaue (Cr)'!$C:$FB,44)</f>
        <v>491</v>
      </c>
      <c r="I217" s="49">
        <f>VLOOKUP($A217,'Data Vlaue (Cr)'!$C:$FB,46)*100</f>
        <v>-39.340000000000003</v>
      </c>
      <c r="J217" s="51">
        <f>VLOOKUP($A217,'Data Vlaue (Cr)'!$C:$FB,59)</f>
        <v>683</v>
      </c>
      <c r="K217" s="51">
        <f>VLOOKUP($A217,'Data Vlaue (Cr)'!$C:$FB,60)</f>
        <v>984</v>
      </c>
      <c r="L217" s="51">
        <f>VLOOKUP($A217,'Data Vlaue (Cr)'!$C:$FB,62)*100</f>
        <v>-30.620000000000005</v>
      </c>
      <c r="M217" s="51">
        <f>VLOOKUP($A217,'Data Vlaue (Cr)'!$C:$FB,63)</f>
        <v>316</v>
      </c>
      <c r="N217" s="51">
        <f>VLOOKUP($A217,'Data Vlaue (Cr)'!$C:$FB,64)</f>
        <v>704</v>
      </c>
      <c r="O217" s="51">
        <f>VLOOKUP($A217,'Data Vlaue (Cr)'!$C:$FB,66)*100</f>
        <v>-55.08</v>
      </c>
    </row>
    <row r="218" spans="1:15" x14ac:dyDescent="0.25">
      <c r="A218" s="101" t="str">
        <f>'Data Vlaue (Cr)'!C213</f>
        <v>WAAREEENER</v>
      </c>
      <c r="B218" s="50">
        <f>VLOOKUP($A218,'Data Vlaue (Cr)'!$C:$FB,8)</f>
        <v>3225.1</v>
      </c>
      <c r="C218" s="50">
        <f>VLOOKUP($A218,'Data Vlaue (Cr)'!$C:$FB,11)*100</f>
        <v>1.3599999999999999</v>
      </c>
      <c r="D218" s="50">
        <f>VLOOKUP($A218,'Data Vlaue (Cr)'!$C:$FB,143)</f>
        <v>2302.98</v>
      </c>
      <c r="E218" s="50">
        <f>VLOOKUP($A218,'Data Vlaue (Cr)'!$C:$FB,144)</f>
        <v>2184.62</v>
      </c>
      <c r="F218" s="50">
        <f>VLOOKUP($A218,'Data Vlaue (Cr)'!$C:$FB,146)*100</f>
        <v>5.42</v>
      </c>
      <c r="G218" s="49">
        <f>VLOOKUP($A218,'Data Vlaue (Cr)'!$C:$FB,43)</f>
        <v>533</v>
      </c>
      <c r="H218" s="49">
        <f>VLOOKUP($A218,'Data Vlaue (Cr)'!$C:$FB,44)</f>
        <v>343</v>
      </c>
      <c r="I218" s="49">
        <f>VLOOKUP($A218,'Data Vlaue (Cr)'!$C:$FB,46)*100</f>
        <v>55.33</v>
      </c>
      <c r="J218" s="51">
        <f>VLOOKUP($A218,'Data Vlaue (Cr)'!$C:$FB,59)</f>
        <v>1265</v>
      </c>
      <c r="K218" s="51">
        <f>VLOOKUP($A218,'Data Vlaue (Cr)'!$C:$FB,60)</f>
        <v>1301</v>
      </c>
      <c r="L218" s="51">
        <f>VLOOKUP($A218,'Data Vlaue (Cr)'!$C:$FB,62)*100</f>
        <v>-2.74</v>
      </c>
      <c r="M218" s="51">
        <f>VLOOKUP($A218,'Data Vlaue (Cr)'!$C:$FB,63)</f>
        <v>443</v>
      </c>
      <c r="N218" s="51">
        <f>VLOOKUP($A218,'Data Vlaue (Cr)'!$C:$FB,64)</f>
        <v>493</v>
      </c>
      <c r="O218" s="51">
        <f>VLOOKUP($A218,'Data Vlaue (Cr)'!$C:$FB,66)*100</f>
        <v>-10.08</v>
      </c>
    </row>
    <row r="219" spans="1:15" x14ac:dyDescent="0.25">
      <c r="A219" s="101" t="str">
        <f>'Data Vlaue (Cr)'!C214</f>
        <v>WIPRO</v>
      </c>
      <c r="B219" s="50">
        <f>VLOOKUP($A219,'Data Vlaue (Cr)'!$C:$FB,8)</f>
        <v>199.12</v>
      </c>
      <c r="C219" s="50">
        <f>VLOOKUP($A219,'Data Vlaue (Cr)'!$C:$FB,11)*100</f>
        <v>-0.33</v>
      </c>
      <c r="D219" s="50">
        <f>VLOOKUP($A219,'Data Vlaue (Cr)'!$C:$FB,143)</f>
        <v>2664.68</v>
      </c>
      <c r="E219" s="50">
        <f>VLOOKUP($A219,'Data Vlaue (Cr)'!$C:$FB,144)</f>
        <v>1849.18</v>
      </c>
      <c r="F219" s="50">
        <f>VLOOKUP($A219,'Data Vlaue (Cr)'!$C:$FB,146)*100</f>
        <v>44.1</v>
      </c>
      <c r="G219" s="49">
        <f>VLOOKUP($A219,'Data Vlaue (Cr)'!$C:$FB,43)</f>
        <v>400</v>
      </c>
      <c r="H219" s="49">
        <f>VLOOKUP($A219,'Data Vlaue (Cr)'!$C:$FB,44)</f>
        <v>333</v>
      </c>
      <c r="I219" s="49">
        <f>VLOOKUP($A219,'Data Vlaue (Cr)'!$C:$FB,46)*100</f>
        <v>19.93</v>
      </c>
      <c r="J219" s="51">
        <f>VLOOKUP($A219,'Data Vlaue (Cr)'!$C:$FB,59)</f>
        <v>1473</v>
      </c>
      <c r="K219" s="51">
        <f>VLOOKUP($A219,'Data Vlaue (Cr)'!$C:$FB,60)</f>
        <v>1019</v>
      </c>
      <c r="L219" s="51">
        <f>VLOOKUP($A219,'Data Vlaue (Cr)'!$C:$FB,62)*100</f>
        <v>44.57</v>
      </c>
      <c r="M219" s="51">
        <f>VLOOKUP($A219,'Data Vlaue (Cr)'!$C:$FB,63)</f>
        <v>703</v>
      </c>
      <c r="N219" s="51">
        <f>VLOOKUP($A219,'Data Vlaue (Cr)'!$C:$FB,64)</f>
        <v>424</v>
      </c>
      <c r="O219" s="51">
        <f>VLOOKUP($A219,'Data Vlaue (Cr)'!$C:$FB,66)*100</f>
        <v>65.69</v>
      </c>
    </row>
    <row r="220" spans="1:15" x14ac:dyDescent="0.25">
      <c r="A220" s="101" t="str">
        <f>'Data Vlaue (Cr)'!C215</f>
        <v>YESBANK</v>
      </c>
      <c r="B220" s="50">
        <f>VLOOKUP($A220,'Data Vlaue (Cr)'!$C:$FB,8)</f>
        <v>22.13</v>
      </c>
      <c r="C220" s="50">
        <f>VLOOKUP($A220,'Data Vlaue (Cr)'!$C:$FB,11)*100</f>
        <v>8.06</v>
      </c>
      <c r="D220" s="50">
        <f>VLOOKUP($A220,'Data Vlaue (Cr)'!$C:$FB,143)</f>
        <v>7342.83</v>
      </c>
      <c r="E220" s="50">
        <f>VLOOKUP($A220,'Data Vlaue (Cr)'!$C:$FB,144)</f>
        <v>3578</v>
      </c>
      <c r="F220" s="50">
        <f>VLOOKUP($A220,'Data Vlaue (Cr)'!$C:$FB,146)*100</f>
        <v>105.22</v>
      </c>
      <c r="G220" s="49">
        <f>VLOOKUP($A220,'Data Vlaue (Cr)'!$C:$FB,43)</f>
        <v>1265</v>
      </c>
      <c r="H220" s="49">
        <f>VLOOKUP($A220,'Data Vlaue (Cr)'!$C:$FB,44)</f>
        <v>701</v>
      </c>
      <c r="I220" s="49">
        <f>VLOOKUP($A220,'Data Vlaue (Cr)'!$C:$FB,46)*100</f>
        <v>80.510000000000005</v>
      </c>
      <c r="J220" s="51">
        <f>VLOOKUP($A220,'Data Vlaue (Cr)'!$C:$FB,59)</f>
        <v>4563</v>
      </c>
      <c r="K220" s="51">
        <f>VLOOKUP($A220,'Data Vlaue (Cr)'!$C:$FB,60)</f>
        <v>2276</v>
      </c>
      <c r="L220" s="51">
        <f>VLOOKUP($A220,'Data Vlaue (Cr)'!$C:$FB,62)*100</f>
        <v>100.49</v>
      </c>
      <c r="M220" s="51">
        <f>VLOOKUP($A220,'Data Vlaue (Cr)'!$C:$FB,63)</f>
        <v>1416</v>
      </c>
      <c r="N220" s="51">
        <f>VLOOKUP($A220,'Data Vlaue (Cr)'!$C:$FB,64)</f>
        <v>707</v>
      </c>
      <c r="O220" s="51">
        <f>VLOOKUP($A220,'Data Vlaue (Cr)'!$C:$FB,66)*100</f>
        <v>100.24</v>
      </c>
    </row>
    <row r="221" spans="1:15" x14ac:dyDescent="0.25">
      <c r="A221" s="101" t="str">
        <f>'Data Vlaue (Cr)'!C216</f>
        <v>ZYDUSLIFE</v>
      </c>
      <c r="B221" s="50">
        <f>VLOOKUP($A221,'Data Vlaue (Cr)'!$C:$FB,8)</f>
        <v>938.8</v>
      </c>
      <c r="C221" s="50">
        <f>VLOOKUP($A221,'Data Vlaue (Cr)'!$C:$FB,11)*100</f>
        <v>2.91</v>
      </c>
      <c r="D221" s="50">
        <f>VLOOKUP($A221,'Data Vlaue (Cr)'!$C:$FB,143)</f>
        <v>1342.01</v>
      </c>
      <c r="E221" s="50">
        <f>VLOOKUP($A221,'Data Vlaue (Cr)'!$C:$FB,144)</f>
        <v>415.07</v>
      </c>
      <c r="F221" s="50">
        <f>VLOOKUP($A221,'Data Vlaue (Cr)'!$C:$FB,146)*100</f>
        <v>223.32</v>
      </c>
      <c r="G221" s="49">
        <f>VLOOKUP($A221,'Data Vlaue (Cr)'!$C:$FB,43)</f>
        <v>225</v>
      </c>
      <c r="H221" s="49">
        <f>VLOOKUP($A221,'Data Vlaue (Cr)'!$C:$FB,44)</f>
        <v>112</v>
      </c>
      <c r="I221" s="49">
        <f>VLOOKUP($A221,'Data Vlaue (Cr)'!$C:$FB,46)*100</f>
        <v>101.37</v>
      </c>
      <c r="J221" s="51">
        <f>VLOOKUP($A221,'Data Vlaue (Cr)'!$C:$FB,59)</f>
        <v>857</v>
      </c>
      <c r="K221" s="51">
        <f>VLOOKUP($A221,'Data Vlaue (Cr)'!$C:$FB,60)</f>
        <v>228</v>
      </c>
      <c r="L221" s="51">
        <f>VLOOKUP($A221,'Data Vlaue (Cr)'!$C:$FB,62)*100</f>
        <v>276.5</v>
      </c>
      <c r="M221" s="51">
        <f>VLOOKUP($A221,'Data Vlaue (Cr)'!$C:$FB,63)</f>
        <v>235</v>
      </c>
      <c r="N221" s="51">
        <f>VLOOKUP($A221,'Data Vlaue (Cr)'!$C:$FB,64)</f>
        <v>79</v>
      </c>
      <c r="O221" s="51">
        <f>VLOOKUP($A221,'Data Vlaue (Cr)'!$C:$FB,66)*100</f>
        <v>199.45999999999998</v>
      </c>
    </row>
    <row r="222" spans="1:15" x14ac:dyDescent="0.25">
      <c r="A222" s="101"/>
      <c r="B222" s="50"/>
      <c r="C222" s="50"/>
      <c r="D222" s="50"/>
      <c r="E222" s="50"/>
      <c r="F222" s="50"/>
      <c r="G222" s="49"/>
      <c r="H222" s="49"/>
      <c r="I222" s="49"/>
      <c r="J222" s="51"/>
      <c r="K222" s="51"/>
      <c r="L222" s="51"/>
      <c r="M222" s="51"/>
      <c r="N222" s="51"/>
      <c r="O222" s="51"/>
    </row>
    <row r="223" spans="1:15" x14ac:dyDescent="0.25">
      <c r="A223" s="101"/>
      <c r="B223" s="50"/>
      <c r="C223" s="50"/>
      <c r="D223" s="50"/>
      <c r="E223" s="50"/>
      <c r="F223" s="50"/>
      <c r="G223" s="49"/>
      <c r="H223" s="49"/>
      <c r="I223" s="49"/>
      <c r="J223" s="51"/>
      <c r="K223" s="51"/>
      <c r="L223" s="51"/>
      <c r="M223" s="51"/>
      <c r="N223" s="51"/>
      <c r="O223" s="51"/>
    </row>
    <row r="224" spans="1:15" x14ac:dyDescent="0.25">
      <c r="A224" s="101"/>
      <c r="B224" s="50"/>
      <c r="C224" s="50"/>
      <c r="D224" s="50"/>
      <c r="E224" s="50"/>
      <c r="F224" s="50"/>
      <c r="G224" s="49"/>
      <c r="H224" s="49"/>
      <c r="I224" s="49"/>
      <c r="J224" s="51"/>
      <c r="K224" s="51"/>
      <c r="L224" s="51"/>
      <c r="M224" s="51"/>
      <c r="N224" s="51"/>
      <c r="O224" s="51"/>
    </row>
    <row r="225" spans="1:15" x14ac:dyDescent="0.25">
      <c r="A225" s="101"/>
      <c r="B225" s="50"/>
      <c r="C225" s="50"/>
      <c r="D225" s="50"/>
      <c r="E225" s="50"/>
      <c r="F225" s="50"/>
      <c r="G225" s="49"/>
      <c r="H225" s="49"/>
      <c r="I225" s="49"/>
      <c r="J225" s="51"/>
      <c r="K225" s="51"/>
      <c r="L225" s="51"/>
      <c r="M225" s="51"/>
      <c r="N225" s="51"/>
      <c r="O225" s="51"/>
    </row>
    <row r="226" spans="1:15" x14ac:dyDescent="0.25">
      <c r="A226" s="101"/>
      <c r="B226" s="50"/>
      <c r="C226" s="50"/>
      <c r="D226" s="50"/>
      <c r="E226" s="50"/>
      <c r="F226" s="50"/>
      <c r="G226" s="49"/>
      <c r="H226" s="49"/>
      <c r="I226" s="49"/>
      <c r="J226" s="51"/>
      <c r="K226" s="51"/>
      <c r="L226" s="51"/>
      <c r="M226" s="51"/>
      <c r="N226" s="51"/>
      <c r="O226" s="51"/>
    </row>
    <row r="227" spans="1:15" x14ac:dyDescent="0.25">
      <c r="A227" s="101"/>
      <c r="B227" s="50"/>
      <c r="C227" s="50"/>
      <c r="D227" s="50"/>
      <c r="E227" s="50"/>
      <c r="F227" s="50"/>
      <c r="G227" s="49"/>
      <c r="H227" s="49"/>
      <c r="I227" s="49"/>
      <c r="J227" s="51"/>
      <c r="K227" s="51"/>
      <c r="L227" s="51"/>
      <c r="M227" s="51"/>
      <c r="N227" s="51"/>
      <c r="O227" s="51"/>
    </row>
    <row r="228" spans="1:15" x14ac:dyDescent="0.25">
      <c r="A228" s="101"/>
      <c r="B228" s="50"/>
      <c r="C228" s="50"/>
      <c r="D228" s="50"/>
      <c r="E228" s="50"/>
      <c r="F228" s="50"/>
      <c r="G228" s="49"/>
      <c r="H228" s="49"/>
      <c r="I228" s="49"/>
      <c r="J228" s="51"/>
      <c r="K228" s="51"/>
      <c r="L228" s="51"/>
      <c r="M228" s="51"/>
      <c r="N228" s="51"/>
      <c r="O228" s="51"/>
    </row>
    <row r="229" spans="1:15" x14ac:dyDescent="0.25">
      <c r="A229" s="101"/>
      <c r="B229" s="50"/>
      <c r="C229" s="50"/>
      <c r="D229" s="50"/>
      <c r="E229" s="50"/>
      <c r="F229" s="50"/>
      <c r="G229" s="49"/>
      <c r="H229" s="49"/>
      <c r="I229" s="49"/>
      <c r="J229" s="51"/>
      <c r="K229" s="51"/>
      <c r="L229" s="51"/>
      <c r="M229" s="51"/>
      <c r="N229" s="51"/>
      <c r="O229" s="51"/>
    </row>
    <row r="230" spans="1:15" x14ac:dyDescent="0.25">
      <c r="A230" s="101"/>
      <c r="B230" s="50"/>
      <c r="C230" s="50"/>
      <c r="D230" s="50"/>
      <c r="E230" s="50"/>
      <c r="F230" s="50"/>
      <c r="G230" s="49"/>
      <c r="H230" s="49"/>
      <c r="I230" s="49"/>
      <c r="J230" s="51"/>
      <c r="K230" s="51"/>
      <c r="L230" s="51"/>
      <c r="M230" s="51"/>
      <c r="N230" s="51"/>
      <c r="O230" s="51"/>
    </row>
    <row r="231" spans="1:15" x14ac:dyDescent="0.25">
      <c r="A231" s="101"/>
      <c r="B231" s="17"/>
      <c r="C231" s="17"/>
      <c r="D231" s="17"/>
      <c r="E231" s="17"/>
      <c r="F231" s="17"/>
      <c r="G231" s="17"/>
      <c r="H231" s="17"/>
      <c r="I231" s="17"/>
      <c r="J231" s="17"/>
      <c r="K231" s="17"/>
      <c r="L231" s="17"/>
      <c r="M231" s="17"/>
      <c r="N231" s="17"/>
      <c r="O231" s="17"/>
    </row>
    <row r="232" spans="1:15" x14ac:dyDescent="0.25">
      <c r="A232" s="130" t="s">
        <v>398</v>
      </c>
      <c r="B232" s="130"/>
      <c r="C232" s="130"/>
      <c r="D232" s="131">
        <f>SUM(D7:D231)</f>
        <v>10734877.229999997</v>
      </c>
      <c r="E232" s="131">
        <f>SUM(E7:E231)</f>
        <v>70026772.229999959</v>
      </c>
      <c r="F232" s="132">
        <f>(D232-E232)/E232</f>
        <v>-0.84670324094416705</v>
      </c>
      <c r="G232" s="131">
        <f>SUM(G7:G231)</f>
        <v>131160</v>
      </c>
      <c r="H232" s="131">
        <f>SUM(H7:H231)</f>
        <v>90392</v>
      </c>
      <c r="I232" s="132">
        <f>(G232-H232)/H232</f>
        <v>0.45101336401451458</v>
      </c>
      <c r="J232" s="131">
        <f>SUM(J7:J231)</f>
        <v>5428983</v>
      </c>
      <c r="K232" s="131">
        <f>SUM(K7:K231)</f>
        <v>37562813</v>
      </c>
      <c r="L232" s="132">
        <f>(J232-K232)/K232</f>
        <v>-0.85546921099865447</v>
      </c>
      <c r="M232" s="131">
        <f>SUM(M7:M231)</f>
        <v>5243834</v>
      </c>
      <c r="N232" s="131">
        <f>SUM(N7:N231)</f>
        <v>33477326</v>
      </c>
      <c r="O232" s="132">
        <f>(M232-N232)/N232</f>
        <v>-0.84336162332678544</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33"/>
  <sheetViews>
    <sheetView workbookViewId="0">
      <pane ySplit="6" topLeftCell="A191" activePane="bottomLeft" state="frozen"/>
      <selection pane="bottomLeft" activeCell="A7" sqref="A7:A221"/>
    </sheetView>
  </sheetViews>
  <sheetFormatPr defaultRowHeight="15" x14ac:dyDescent="0.25"/>
  <cols>
    <col min="1" max="1" width="14.5703125" bestFit="1" customWidth="1"/>
    <col min="2" max="3" width="9.28515625" bestFit="1" customWidth="1"/>
    <col min="4" max="4" width="12.140625" bestFit="1" customWidth="1"/>
    <col min="5" max="5" width="12.7109375" customWidth="1"/>
    <col min="6" max="6" width="10.28515625" bestFit="1" customWidth="1"/>
    <col min="7" max="8" width="12.5703125" customWidth="1"/>
    <col min="9" max="9" width="9.28515625" bestFit="1" customWidth="1"/>
    <col min="10" max="11" width="12.140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2" t="s">
        <v>315</v>
      </c>
      <c r="B3" s="299"/>
      <c r="C3" s="299"/>
      <c r="D3" s="299"/>
      <c r="E3" s="299"/>
      <c r="F3" s="299"/>
      <c r="G3" s="299"/>
      <c r="H3" s="299"/>
      <c r="I3" s="299"/>
      <c r="J3" s="299"/>
      <c r="K3" s="299"/>
      <c r="L3" s="299"/>
      <c r="M3" s="299"/>
      <c r="N3" s="299"/>
      <c r="O3" s="300"/>
    </row>
    <row r="4" spans="1:15" x14ac:dyDescent="0.25">
      <c r="A4" s="303" t="s">
        <v>330</v>
      </c>
      <c r="B4" s="303" t="s">
        <v>308</v>
      </c>
      <c r="C4" s="303"/>
      <c r="D4" s="303" t="s">
        <v>361</v>
      </c>
      <c r="E4" s="303"/>
      <c r="F4" s="303"/>
      <c r="G4" s="303"/>
      <c r="H4" s="303"/>
      <c r="I4" s="303"/>
      <c r="J4" s="303"/>
      <c r="K4" s="303"/>
      <c r="L4" s="303"/>
      <c r="M4" s="303"/>
      <c r="N4" s="303"/>
      <c r="O4" s="303"/>
    </row>
    <row r="5" spans="1:15" x14ac:dyDescent="0.25">
      <c r="A5" s="304"/>
      <c r="B5" s="304" t="s">
        <v>312</v>
      </c>
      <c r="C5" s="304"/>
      <c r="D5" s="304" t="s">
        <v>315</v>
      </c>
      <c r="E5" s="304"/>
      <c r="F5" s="304"/>
      <c r="G5" s="304" t="s">
        <v>362</v>
      </c>
      <c r="H5" s="304"/>
      <c r="I5" s="304"/>
      <c r="J5" s="304" t="s">
        <v>363</v>
      </c>
      <c r="K5" s="304"/>
      <c r="L5" s="304"/>
      <c r="M5" s="304" t="s">
        <v>364</v>
      </c>
      <c r="N5" s="304"/>
      <c r="O5" s="304"/>
    </row>
    <row r="6" spans="1:15" x14ac:dyDescent="0.25">
      <c r="A6" s="34" t="s">
        <v>318</v>
      </c>
      <c r="B6" s="21">
        <f>'Total Value'!B6</f>
        <v>46148</v>
      </c>
      <c r="C6" s="34" t="s">
        <v>328</v>
      </c>
      <c r="D6" s="21">
        <f>B6</f>
        <v>46148</v>
      </c>
      <c r="E6" s="34" t="s">
        <v>322</v>
      </c>
      <c r="F6" s="34" t="s">
        <v>328</v>
      </c>
      <c r="G6" s="21">
        <f>D6</f>
        <v>46148</v>
      </c>
      <c r="H6" s="34" t="s">
        <v>322</v>
      </c>
      <c r="I6" s="34" t="s">
        <v>328</v>
      </c>
      <c r="J6" s="21">
        <f>D6</f>
        <v>46148</v>
      </c>
      <c r="K6" s="34" t="s">
        <v>322</v>
      </c>
      <c r="L6" s="34" t="s">
        <v>328</v>
      </c>
      <c r="M6" s="21">
        <f>D6</f>
        <v>46148</v>
      </c>
      <c r="N6" s="34" t="s">
        <v>322</v>
      </c>
      <c r="O6" s="34" t="s">
        <v>328</v>
      </c>
    </row>
    <row r="7" spans="1:15" x14ac:dyDescent="0.25">
      <c r="A7" s="101" t="str">
        <f>'Data Vlaue (Cr)'!C2</f>
        <v>360ONE</v>
      </c>
      <c r="B7" s="50">
        <f>VLOOKUP($A7,'Data shares'!$C:$FB,7)</f>
        <v>1084.0999999999999</v>
      </c>
      <c r="C7" s="50">
        <f>VLOOKUP($A7,'Data shares'!$C:$FB,10)*100</f>
        <v>1.25</v>
      </c>
      <c r="D7" s="49">
        <f>VLOOKUP($A7,'Data shares'!$C:$FB,66)</f>
        <v>2545500</v>
      </c>
      <c r="E7" s="49">
        <f>VLOOKUP($A7,'Data shares'!$C:$FB,67)</f>
        <v>2985500</v>
      </c>
      <c r="F7" s="50">
        <f>VLOOKUP($A7,'Data shares'!$C:$FB,69)*100</f>
        <v>-14.74</v>
      </c>
      <c r="G7" s="49">
        <f>VLOOKUP($A7,'Data shares'!$C:$FB,42)</f>
        <v>1265000</v>
      </c>
      <c r="H7" s="49">
        <f>VLOOKUP($A7,'Data shares'!$C:$FB,43)</f>
        <v>1436500</v>
      </c>
      <c r="I7" s="50">
        <f>VLOOKUP($A7,'Data shares'!$C:$FB,45)*100</f>
        <v>-11.940000000000001</v>
      </c>
      <c r="J7" s="49">
        <f>VLOOKUP($A7,'Data shares'!$C:$FB,58)</f>
        <v>1029000</v>
      </c>
      <c r="K7" s="49">
        <f>VLOOKUP($A7,'Data shares'!$C:$FB,59)</f>
        <v>1095000</v>
      </c>
      <c r="L7" s="50">
        <f>VLOOKUP($A7,'Data shares'!$C:$FB,61)*100</f>
        <v>-6.03</v>
      </c>
      <c r="M7" s="49">
        <f>VLOOKUP($A7,'Data shares'!$C:$FB,62)</f>
        <v>251500</v>
      </c>
      <c r="N7" s="49">
        <f>VLOOKUP($A7,'Data shares'!$C:$FB,63)</f>
        <v>454000</v>
      </c>
      <c r="O7" s="140">
        <f>VLOOKUP($A7,'Data shares'!$C:$FB,65)*100</f>
        <v>-44.6</v>
      </c>
    </row>
    <row r="8" spans="1:15" x14ac:dyDescent="0.25">
      <c r="A8" s="101" t="str">
        <f>'Data Vlaue (Cr)'!C3</f>
        <v>ABB</v>
      </c>
      <c r="B8" s="50">
        <f>VLOOKUP($A8,'Data shares'!$C:$FB,7)</f>
        <v>7182.5</v>
      </c>
      <c r="C8" s="50">
        <f>VLOOKUP($A8,'Data shares'!$C:$FB,10)*100</f>
        <v>-1.9900000000000002</v>
      </c>
      <c r="D8" s="49">
        <f>VLOOKUP($A8,'Data shares'!$C:$FB,66)</f>
        <v>3203000</v>
      </c>
      <c r="E8" s="49">
        <f>VLOOKUP($A8,'Data shares'!$C:$FB,67)</f>
        <v>2187250</v>
      </c>
      <c r="F8" s="50">
        <f>VLOOKUP($A8,'Data shares'!$C:$FB,69)*100</f>
        <v>46.44</v>
      </c>
      <c r="G8" s="49">
        <f>VLOOKUP($A8,'Data shares'!$C:$FB,42)</f>
        <v>606500</v>
      </c>
      <c r="H8" s="49">
        <f>VLOOKUP($A8,'Data shares'!$C:$FB,43)</f>
        <v>393500</v>
      </c>
      <c r="I8" s="50">
        <f>VLOOKUP($A8,'Data shares'!$C:$FB,45)*100</f>
        <v>54.13</v>
      </c>
      <c r="J8" s="49">
        <f>VLOOKUP($A8,'Data shares'!$C:$FB,58)</f>
        <v>1860625</v>
      </c>
      <c r="K8" s="49">
        <f>VLOOKUP($A8,'Data shares'!$C:$FB,59)</f>
        <v>1430250</v>
      </c>
      <c r="L8" s="50">
        <f>VLOOKUP($A8,'Data shares'!$C:$FB,61)*100</f>
        <v>30.09</v>
      </c>
      <c r="M8" s="49">
        <f>VLOOKUP($A8,'Data shares'!$C:$FB,62)</f>
        <v>735875</v>
      </c>
      <c r="N8" s="49">
        <f>VLOOKUP($A8,'Data shares'!$C:$FB,63)</f>
        <v>363500</v>
      </c>
      <c r="O8" s="140">
        <f>VLOOKUP($A8,'Data shares'!$C:$FB,65)*100</f>
        <v>102.44</v>
      </c>
    </row>
    <row r="9" spans="1:15" x14ac:dyDescent="0.25">
      <c r="A9" s="101" t="str">
        <f>'Data Vlaue (Cr)'!C4</f>
        <v>ABCAPITAL</v>
      </c>
      <c r="B9" s="50">
        <f>VLOOKUP($A9,'Data shares'!$C:$FB,7)</f>
        <v>369.3</v>
      </c>
      <c r="C9" s="50">
        <f>VLOOKUP($A9,'Data shares'!$C:$FB,10)*100</f>
        <v>2.34</v>
      </c>
      <c r="D9" s="49">
        <f>VLOOKUP($A9,'Data shares'!$C:$FB,66)</f>
        <v>86149000</v>
      </c>
      <c r="E9" s="49">
        <f>VLOOKUP($A9,'Data shares'!$C:$FB,67)</f>
        <v>148158300</v>
      </c>
      <c r="F9" s="50">
        <f>VLOOKUP($A9,'Data shares'!$C:$FB,69)*100</f>
        <v>-41.85</v>
      </c>
      <c r="G9" s="49">
        <f>VLOOKUP($A9,'Data shares'!$C:$FB,42)</f>
        <v>14101900</v>
      </c>
      <c r="H9" s="49">
        <f>VLOOKUP($A9,'Data shares'!$C:$FB,43)</f>
        <v>25984200</v>
      </c>
      <c r="I9" s="50">
        <f>VLOOKUP($A9,'Data shares'!$C:$FB,45)*100</f>
        <v>-45.73</v>
      </c>
      <c r="J9" s="49">
        <f>VLOOKUP($A9,'Data shares'!$C:$FB,58)</f>
        <v>46292300</v>
      </c>
      <c r="K9" s="49">
        <f>VLOOKUP($A9,'Data shares'!$C:$FB,59)</f>
        <v>84304500</v>
      </c>
      <c r="L9" s="50">
        <f>VLOOKUP($A9,'Data shares'!$C:$FB,61)*100</f>
        <v>-45.09</v>
      </c>
      <c r="M9" s="49">
        <f>VLOOKUP($A9,'Data shares'!$C:$FB,62)</f>
        <v>25754800</v>
      </c>
      <c r="N9" s="49">
        <f>VLOOKUP($A9,'Data shares'!$C:$FB,63)</f>
        <v>37869600</v>
      </c>
      <c r="O9" s="140">
        <f>VLOOKUP($A9,'Data shares'!$C:$FB,65)*100</f>
        <v>-31.990000000000002</v>
      </c>
    </row>
    <row r="10" spans="1:15" x14ac:dyDescent="0.25">
      <c r="A10" s="101" t="str">
        <f>'Data Vlaue (Cr)'!C5</f>
        <v>ADANIENSOL</v>
      </c>
      <c r="B10" s="50">
        <f>VLOOKUP($A10,'Data shares'!$C:$FB,7)</f>
        <v>1407.3</v>
      </c>
      <c r="C10" s="50">
        <f>VLOOKUP($A10,'Data shares'!$C:$FB,10)*100</f>
        <v>-0.16</v>
      </c>
      <c r="D10" s="49">
        <f>VLOOKUP($A10,'Data shares'!$C:$FB,66)</f>
        <v>15937425</v>
      </c>
      <c r="E10" s="49">
        <f>VLOOKUP($A10,'Data shares'!$C:$FB,67)</f>
        <v>16402500</v>
      </c>
      <c r="F10" s="50">
        <f>VLOOKUP($A10,'Data shares'!$C:$FB,69)*100</f>
        <v>-2.8400000000000003</v>
      </c>
      <c r="G10" s="49">
        <f>VLOOKUP($A10,'Data shares'!$C:$FB,42)</f>
        <v>4837050</v>
      </c>
      <c r="H10" s="49">
        <f>VLOOKUP($A10,'Data shares'!$C:$FB,43)</f>
        <v>4475925</v>
      </c>
      <c r="I10" s="50">
        <f>VLOOKUP($A10,'Data shares'!$C:$FB,45)*100</f>
        <v>8.07</v>
      </c>
      <c r="J10" s="49">
        <f>VLOOKUP($A10,'Data shares'!$C:$FB,58)</f>
        <v>7686225</v>
      </c>
      <c r="K10" s="49">
        <f>VLOOKUP($A10,'Data shares'!$C:$FB,59)</f>
        <v>7918425</v>
      </c>
      <c r="L10" s="50">
        <f>VLOOKUP($A10,'Data shares'!$C:$FB,61)*100</f>
        <v>-2.93</v>
      </c>
      <c r="M10" s="49">
        <f>VLOOKUP($A10,'Data shares'!$C:$FB,62)</f>
        <v>3414150</v>
      </c>
      <c r="N10" s="49">
        <f>VLOOKUP($A10,'Data shares'!$C:$FB,63)</f>
        <v>4008150</v>
      </c>
      <c r="O10" s="140">
        <f>VLOOKUP($A10,'Data shares'!$C:$FB,65)*100</f>
        <v>-14.82</v>
      </c>
    </row>
    <row r="11" spans="1:15" x14ac:dyDescent="0.25">
      <c r="A11" s="101" t="str">
        <f>'Data Vlaue (Cr)'!C6</f>
        <v>ADANIENT</v>
      </c>
      <c r="B11" s="50">
        <f>VLOOKUP($A11,'Data shares'!$C:$FB,7)</f>
        <v>2540.3000000000002</v>
      </c>
      <c r="C11" s="50">
        <f>VLOOKUP($A11,'Data shares'!$C:$FB,10)*100</f>
        <v>3.18</v>
      </c>
      <c r="D11" s="49">
        <f>VLOOKUP($A11,'Data shares'!$C:$FB,66)</f>
        <v>28891191</v>
      </c>
      <c r="E11" s="49">
        <f>VLOOKUP($A11,'Data shares'!$C:$FB,67)</f>
        <v>14095653</v>
      </c>
      <c r="F11" s="50">
        <f>VLOOKUP($A11,'Data shares'!$C:$FB,69)*100</f>
        <v>104.97000000000001</v>
      </c>
      <c r="G11" s="49">
        <f>VLOOKUP($A11,'Data shares'!$C:$FB,42)</f>
        <v>4669299</v>
      </c>
      <c r="H11" s="49">
        <f>VLOOKUP($A11,'Data shares'!$C:$FB,43)</f>
        <v>2562846</v>
      </c>
      <c r="I11" s="50">
        <f>VLOOKUP($A11,'Data shares'!$C:$FB,45)*100</f>
        <v>82.19</v>
      </c>
      <c r="J11" s="49">
        <f>VLOOKUP($A11,'Data shares'!$C:$FB,58)</f>
        <v>15415701</v>
      </c>
      <c r="K11" s="49">
        <f>VLOOKUP($A11,'Data shares'!$C:$FB,59)</f>
        <v>6720750</v>
      </c>
      <c r="L11" s="50">
        <f>VLOOKUP($A11,'Data shares'!$C:$FB,61)*100</f>
        <v>129.37</v>
      </c>
      <c r="M11" s="49">
        <f>VLOOKUP($A11,'Data shares'!$C:$FB,62)</f>
        <v>8806191</v>
      </c>
      <c r="N11" s="49">
        <f>VLOOKUP($A11,'Data shares'!$C:$FB,63)</f>
        <v>4812057</v>
      </c>
      <c r="O11" s="140">
        <f>VLOOKUP($A11,'Data shares'!$C:$FB,65)*100</f>
        <v>83</v>
      </c>
    </row>
    <row r="12" spans="1:15" x14ac:dyDescent="0.25">
      <c r="A12" s="101" t="str">
        <f>'Data Vlaue (Cr)'!C7</f>
        <v>ADANIGREEN</v>
      </c>
      <c r="B12" s="50">
        <f>VLOOKUP($A12,'Data shares'!$C:$FB,7)</f>
        <v>1353</v>
      </c>
      <c r="C12" s="50">
        <f>VLOOKUP($A12,'Data shares'!$C:$FB,10)*100</f>
        <v>1.6199999999999999</v>
      </c>
      <c r="D12" s="49">
        <f>VLOOKUP($A12,'Data shares'!$C:$FB,66)</f>
        <v>25738200</v>
      </c>
      <c r="E12" s="49">
        <f>VLOOKUP($A12,'Data shares'!$C:$FB,67)</f>
        <v>27684600</v>
      </c>
      <c r="F12" s="50">
        <f>VLOOKUP($A12,'Data shares'!$C:$FB,69)*100</f>
        <v>-7.03</v>
      </c>
      <c r="G12" s="49">
        <f>VLOOKUP($A12,'Data shares'!$C:$FB,42)</f>
        <v>4589400</v>
      </c>
      <c r="H12" s="49">
        <f>VLOOKUP($A12,'Data shares'!$C:$FB,43)</f>
        <v>4519200</v>
      </c>
      <c r="I12" s="50">
        <f>VLOOKUP($A12,'Data shares'!$C:$FB,45)*100</f>
        <v>1.55</v>
      </c>
      <c r="J12" s="49">
        <f>VLOOKUP($A12,'Data shares'!$C:$FB,58)</f>
        <v>14864400</v>
      </c>
      <c r="K12" s="49">
        <f>VLOOKUP($A12,'Data shares'!$C:$FB,59)</f>
        <v>16199400</v>
      </c>
      <c r="L12" s="50">
        <f>VLOOKUP($A12,'Data shares'!$C:$FB,61)*100</f>
        <v>-8.24</v>
      </c>
      <c r="M12" s="49">
        <f>VLOOKUP($A12,'Data shares'!$C:$FB,62)</f>
        <v>6284400</v>
      </c>
      <c r="N12" s="49">
        <f>VLOOKUP($A12,'Data shares'!$C:$FB,63)</f>
        <v>6966000</v>
      </c>
      <c r="O12" s="140">
        <f>VLOOKUP($A12,'Data shares'!$C:$FB,65)*100</f>
        <v>-9.7799999999999994</v>
      </c>
    </row>
    <row r="13" spans="1:15" x14ac:dyDescent="0.25">
      <c r="A13" s="101" t="str">
        <f>'Data Vlaue (Cr)'!C8</f>
        <v>ADANIPORTS</v>
      </c>
      <c r="B13" s="50">
        <f>VLOOKUP($A13,'Data shares'!$C:$FB,7)</f>
        <v>1748.3</v>
      </c>
      <c r="C13" s="50">
        <f>VLOOKUP($A13,'Data shares'!$C:$FB,10)*100</f>
        <v>1.35</v>
      </c>
      <c r="D13" s="49">
        <f>VLOOKUP($A13,'Data shares'!$C:$FB,66)</f>
        <v>25326525</v>
      </c>
      <c r="E13" s="49">
        <f>VLOOKUP($A13,'Data shares'!$C:$FB,67)</f>
        <v>31528600</v>
      </c>
      <c r="F13" s="50">
        <f>VLOOKUP($A13,'Data shares'!$C:$FB,69)*100</f>
        <v>-19.670000000000002</v>
      </c>
      <c r="G13" s="49">
        <f>VLOOKUP($A13,'Data shares'!$C:$FB,42)</f>
        <v>3874575</v>
      </c>
      <c r="H13" s="49">
        <f>VLOOKUP($A13,'Data shares'!$C:$FB,43)</f>
        <v>4516300</v>
      </c>
      <c r="I13" s="50">
        <f>VLOOKUP($A13,'Data shares'!$C:$FB,45)*100</f>
        <v>-14.21</v>
      </c>
      <c r="J13" s="49">
        <f>VLOOKUP($A13,'Data shares'!$C:$FB,58)</f>
        <v>13569325</v>
      </c>
      <c r="K13" s="49">
        <f>VLOOKUP($A13,'Data shares'!$C:$FB,59)</f>
        <v>17299025</v>
      </c>
      <c r="L13" s="50">
        <f>VLOOKUP($A13,'Data shares'!$C:$FB,61)*100</f>
        <v>-21.560000000000002</v>
      </c>
      <c r="M13" s="49">
        <f>VLOOKUP($A13,'Data shares'!$C:$FB,62)</f>
        <v>7882625</v>
      </c>
      <c r="N13" s="49">
        <f>VLOOKUP($A13,'Data shares'!$C:$FB,63)</f>
        <v>9713275</v>
      </c>
      <c r="O13" s="140">
        <f>VLOOKUP($A13,'Data shares'!$C:$FB,65)*100</f>
        <v>-18.850000000000001</v>
      </c>
    </row>
    <row r="14" spans="1:15" x14ac:dyDescent="0.25">
      <c r="A14" s="101" t="str">
        <f>'Data Vlaue (Cr)'!C9</f>
        <v>ADANIPOWER</v>
      </c>
      <c r="B14" s="50">
        <f>VLOOKUP($A14,'Data shares'!$C:$FB,7)</f>
        <v>229.12</v>
      </c>
      <c r="C14" s="50">
        <f>VLOOKUP($A14,'Data shares'!$C:$FB,10)*100</f>
        <v>-0.37</v>
      </c>
      <c r="D14" s="49">
        <f>VLOOKUP($A14,'Data shares'!$C:$FB,66)</f>
        <v>82746950</v>
      </c>
      <c r="E14" s="49">
        <f>VLOOKUP($A14,'Data shares'!$C:$FB,67)</f>
        <v>77784050</v>
      </c>
      <c r="F14" s="50">
        <f>VLOOKUP($A14,'Data shares'!$C:$FB,69)*100</f>
        <v>6.38</v>
      </c>
      <c r="G14" s="49">
        <f>VLOOKUP($A14,'Data shares'!$C:$FB,42)</f>
        <v>27235600</v>
      </c>
      <c r="H14" s="49">
        <f>VLOOKUP($A14,'Data shares'!$C:$FB,43)</f>
        <v>19361700</v>
      </c>
      <c r="I14" s="50">
        <f>VLOOKUP($A14,'Data shares'!$C:$FB,45)*100</f>
        <v>40.67</v>
      </c>
      <c r="J14" s="49">
        <f>VLOOKUP($A14,'Data shares'!$C:$FB,58)</f>
        <v>38939950</v>
      </c>
      <c r="K14" s="49">
        <f>VLOOKUP($A14,'Data shares'!$C:$FB,59)</f>
        <v>43636600</v>
      </c>
      <c r="L14" s="50">
        <f>VLOOKUP($A14,'Data shares'!$C:$FB,61)*100</f>
        <v>-10.76</v>
      </c>
      <c r="M14" s="49">
        <f>VLOOKUP($A14,'Data shares'!$C:$FB,62)</f>
        <v>16571400</v>
      </c>
      <c r="N14" s="49">
        <f>VLOOKUP($A14,'Data shares'!$C:$FB,63)</f>
        <v>14785750</v>
      </c>
      <c r="O14" s="140">
        <f>VLOOKUP($A14,'Data shares'!$C:$FB,65)*100</f>
        <v>12.08</v>
      </c>
    </row>
    <row r="15" spans="1:15" x14ac:dyDescent="0.25">
      <c r="A15" s="101" t="str">
        <f>'Data Vlaue (Cr)'!C10</f>
        <v>ALKEM</v>
      </c>
      <c r="B15" s="50">
        <f>VLOOKUP($A15,'Data shares'!$C:$FB,7)</f>
        <v>5557</v>
      </c>
      <c r="C15" s="50">
        <f>VLOOKUP($A15,'Data shares'!$C:$FB,10)*100</f>
        <v>2.85</v>
      </c>
      <c r="D15" s="49">
        <f>VLOOKUP($A15,'Data shares'!$C:$FB,66)</f>
        <v>1492625</v>
      </c>
      <c r="E15" s="49">
        <f>VLOOKUP($A15,'Data shares'!$C:$FB,67)</f>
        <v>364500</v>
      </c>
      <c r="F15" s="50">
        <f>VLOOKUP($A15,'Data shares'!$C:$FB,69)*100</f>
        <v>309.5</v>
      </c>
      <c r="G15" s="49">
        <f>VLOOKUP($A15,'Data shares'!$C:$FB,42)</f>
        <v>205625</v>
      </c>
      <c r="H15" s="49">
        <f>VLOOKUP($A15,'Data shares'!$C:$FB,43)</f>
        <v>76500</v>
      </c>
      <c r="I15" s="50">
        <f>VLOOKUP($A15,'Data shares'!$C:$FB,45)*100</f>
        <v>168.79</v>
      </c>
      <c r="J15" s="49">
        <f>VLOOKUP($A15,'Data shares'!$C:$FB,58)</f>
        <v>998250</v>
      </c>
      <c r="K15" s="49">
        <f>VLOOKUP($A15,'Data shares'!$C:$FB,59)</f>
        <v>210500</v>
      </c>
      <c r="L15" s="50">
        <f>VLOOKUP($A15,'Data shares'!$C:$FB,61)*100</f>
        <v>374.23</v>
      </c>
      <c r="M15" s="49">
        <f>VLOOKUP($A15,'Data shares'!$C:$FB,62)</f>
        <v>288750</v>
      </c>
      <c r="N15" s="49">
        <f>VLOOKUP($A15,'Data shares'!$C:$FB,63)</f>
        <v>77500</v>
      </c>
      <c r="O15" s="140">
        <f>VLOOKUP($A15,'Data shares'!$C:$FB,65)*100</f>
        <v>272.58</v>
      </c>
    </row>
    <row r="16" spans="1:15" x14ac:dyDescent="0.25">
      <c r="A16" s="101" t="str">
        <f>'Data Vlaue (Cr)'!C11</f>
        <v>AMBER</v>
      </c>
      <c r="B16" s="50">
        <f>VLOOKUP($A16,'Data shares'!$C:$FB,7)</f>
        <v>8661.5</v>
      </c>
      <c r="C16" s="50">
        <f>VLOOKUP($A16,'Data shares'!$C:$FB,10)*100</f>
        <v>5.58</v>
      </c>
      <c r="D16" s="49">
        <f>VLOOKUP($A16,'Data shares'!$C:$FB,66)</f>
        <v>4825000</v>
      </c>
      <c r="E16" s="49">
        <f>VLOOKUP($A16,'Data shares'!$C:$FB,67)</f>
        <v>1382400</v>
      </c>
      <c r="F16" s="50">
        <f>VLOOKUP($A16,'Data shares'!$C:$FB,69)*100</f>
        <v>249.03</v>
      </c>
      <c r="G16" s="49">
        <f>VLOOKUP($A16,'Data shares'!$C:$FB,42)</f>
        <v>949000</v>
      </c>
      <c r="H16" s="49">
        <f>VLOOKUP($A16,'Data shares'!$C:$FB,43)</f>
        <v>338100</v>
      </c>
      <c r="I16" s="50">
        <f>VLOOKUP($A16,'Data shares'!$C:$FB,45)*100</f>
        <v>180.69</v>
      </c>
      <c r="J16" s="49">
        <f>VLOOKUP($A16,'Data shares'!$C:$FB,58)</f>
        <v>2759400</v>
      </c>
      <c r="K16" s="49">
        <f>VLOOKUP($A16,'Data shares'!$C:$FB,59)</f>
        <v>771400</v>
      </c>
      <c r="L16" s="50">
        <f>VLOOKUP($A16,'Data shares'!$C:$FB,61)*100</f>
        <v>257.71000000000004</v>
      </c>
      <c r="M16" s="49">
        <f>VLOOKUP($A16,'Data shares'!$C:$FB,62)</f>
        <v>1116600</v>
      </c>
      <c r="N16" s="49">
        <f>VLOOKUP($A16,'Data shares'!$C:$FB,63)</f>
        <v>272900</v>
      </c>
      <c r="O16" s="140">
        <f>VLOOKUP($A16,'Data shares'!$C:$FB,65)*100</f>
        <v>309.16000000000003</v>
      </c>
    </row>
    <row r="17" spans="1:15" x14ac:dyDescent="0.25">
      <c r="A17" s="101" t="str">
        <f>'Data Vlaue (Cr)'!C12</f>
        <v>AMBUJACEM</v>
      </c>
      <c r="B17" s="50">
        <f>VLOOKUP($A17,'Data shares'!$C:$FB,7)</f>
        <v>446.9</v>
      </c>
      <c r="C17" s="50">
        <f>VLOOKUP($A17,'Data shares'!$C:$FB,10)*100</f>
        <v>3.19</v>
      </c>
      <c r="D17" s="49">
        <f>VLOOKUP($A17,'Data shares'!$C:$FB,66)</f>
        <v>72667350</v>
      </c>
      <c r="E17" s="49">
        <f>VLOOKUP($A17,'Data shares'!$C:$FB,67)</f>
        <v>71115450</v>
      </c>
      <c r="F17" s="50">
        <f>VLOOKUP($A17,'Data shares'!$C:$FB,69)*100</f>
        <v>2.1800000000000002</v>
      </c>
      <c r="G17" s="49">
        <f>VLOOKUP($A17,'Data shares'!$C:$FB,42)</f>
        <v>14172900</v>
      </c>
      <c r="H17" s="49">
        <f>VLOOKUP($A17,'Data shares'!$C:$FB,43)</f>
        <v>14942550</v>
      </c>
      <c r="I17" s="50">
        <f>VLOOKUP($A17,'Data shares'!$C:$FB,45)*100</f>
        <v>-5.1499999999999995</v>
      </c>
      <c r="J17" s="49">
        <f>VLOOKUP($A17,'Data shares'!$C:$FB,58)</f>
        <v>43817550</v>
      </c>
      <c r="K17" s="49">
        <f>VLOOKUP($A17,'Data shares'!$C:$FB,59)</f>
        <v>38746050</v>
      </c>
      <c r="L17" s="50">
        <f>VLOOKUP($A17,'Data shares'!$C:$FB,61)*100</f>
        <v>13.089999999999998</v>
      </c>
      <c r="M17" s="49">
        <f>VLOOKUP($A17,'Data shares'!$C:$FB,62)</f>
        <v>14676900</v>
      </c>
      <c r="N17" s="49">
        <f>VLOOKUP($A17,'Data shares'!$C:$FB,63)</f>
        <v>17426850</v>
      </c>
      <c r="O17" s="140">
        <f>VLOOKUP($A17,'Data shares'!$C:$FB,65)*100</f>
        <v>-15.78</v>
      </c>
    </row>
    <row r="18" spans="1:15" x14ac:dyDescent="0.25">
      <c r="A18" s="101" t="str">
        <f>'Data Vlaue (Cr)'!C13</f>
        <v>ANGELONE</v>
      </c>
      <c r="B18" s="50">
        <f>VLOOKUP($A18,'Data shares'!$C:$FB,7)</f>
        <v>316.85000000000002</v>
      </c>
      <c r="C18" s="50">
        <f>VLOOKUP($A18,'Data shares'!$C:$FB,10)*100</f>
        <v>0.77999999999999992</v>
      </c>
      <c r="D18" s="49">
        <f>VLOOKUP($A18,'Data shares'!$C:$FB,66)</f>
        <v>49820000</v>
      </c>
      <c r="E18" s="49">
        <f>VLOOKUP($A18,'Data shares'!$C:$FB,67)</f>
        <v>48870000</v>
      </c>
      <c r="F18" s="50">
        <f>VLOOKUP($A18,'Data shares'!$C:$FB,69)*100</f>
        <v>1.94</v>
      </c>
      <c r="G18" s="49">
        <f>VLOOKUP($A18,'Data shares'!$C:$FB,42)</f>
        <v>7155000</v>
      </c>
      <c r="H18" s="49">
        <f>VLOOKUP($A18,'Data shares'!$C:$FB,43)</f>
        <v>7170000</v>
      </c>
      <c r="I18" s="50">
        <f>VLOOKUP($A18,'Data shares'!$C:$FB,45)*100</f>
        <v>-0.21</v>
      </c>
      <c r="J18" s="49">
        <f>VLOOKUP($A18,'Data shares'!$C:$FB,58)</f>
        <v>32325000</v>
      </c>
      <c r="K18" s="49">
        <f>VLOOKUP($A18,'Data shares'!$C:$FB,59)</f>
        <v>29385000</v>
      </c>
      <c r="L18" s="50">
        <f>VLOOKUP($A18,'Data shares'!$C:$FB,61)*100</f>
        <v>10.01</v>
      </c>
      <c r="M18" s="49">
        <f>VLOOKUP($A18,'Data shares'!$C:$FB,62)</f>
        <v>10340000</v>
      </c>
      <c r="N18" s="49">
        <f>VLOOKUP($A18,'Data shares'!$C:$FB,63)</f>
        <v>12315000</v>
      </c>
      <c r="O18" s="140">
        <f>VLOOKUP($A18,'Data shares'!$C:$FB,65)*100</f>
        <v>-16.04</v>
      </c>
    </row>
    <row r="19" spans="1:15" x14ac:dyDescent="0.25">
      <c r="A19" s="101" t="str">
        <f>'Data Vlaue (Cr)'!C14</f>
        <v>APLAPOLLO</v>
      </c>
      <c r="B19" s="50">
        <f>VLOOKUP($A19,'Data shares'!$C:$FB,7)</f>
        <v>1914.7</v>
      </c>
      <c r="C19" s="50">
        <f>VLOOKUP($A19,'Data shares'!$C:$FB,10)*100</f>
        <v>2.36</v>
      </c>
      <c r="D19" s="49">
        <f>VLOOKUP($A19,'Data shares'!$C:$FB,66)</f>
        <v>4158700</v>
      </c>
      <c r="E19" s="49">
        <f>VLOOKUP($A19,'Data shares'!$C:$FB,67)</f>
        <v>4244100</v>
      </c>
      <c r="F19" s="50">
        <f>VLOOKUP($A19,'Data shares'!$C:$FB,69)*100</f>
        <v>-2.0099999999999998</v>
      </c>
      <c r="G19" s="49">
        <f>VLOOKUP($A19,'Data shares'!$C:$FB,42)</f>
        <v>568400</v>
      </c>
      <c r="H19" s="49">
        <f>VLOOKUP($A19,'Data shares'!$C:$FB,43)</f>
        <v>977550</v>
      </c>
      <c r="I19" s="50">
        <f>VLOOKUP($A19,'Data shares'!$C:$FB,45)*100</f>
        <v>-41.85</v>
      </c>
      <c r="J19" s="49">
        <f>VLOOKUP($A19,'Data shares'!$C:$FB,58)</f>
        <v>2857750</v>
      </c>
      <c r="K19" s="49">
        <f>VLOOKUP($A19,'Data shares'!$C:$FB,59)</f>
        <v>2155650</v>
      </c>
      <c r="L19" s="50">
        <f>VLOOKUP($A19,'Data shares'!$C:$FB,61)*100</f>
        <v>32.57</v>
      </c>
      <c r="M19" s="49">
        <f>VLOOKUP($A19,'Data shares'!$C:$FB,62)</f>
        <v>732550</v>
      </c>
      <c r="N19" s="49">
        <f>VLOOKUP($A19,'Data shares'!$C:$FB,63)</f>
        <v>1110900</v>
      </c>
      <c r="O19" s="140">
        <f>VLOOKUP($A19,'Data shares'!$C:$FB,65)*100</f>
        <v>-34.06</v>
      </c>
    </row>
    <row r="20" spans="1:15" x14ac:dyDescent="0.25">
      <c r="A20" s="101" t="str">
        <f>'Data Vlaue (Cr)'!C15</f>
        <v>APOLLOHOSP</v>
      </c>
      <c r="B20" s="50">
        <f>VLOOKUP($A20,'Data shares'!$C:$FB,7)</f>
        <v>7760.5</v>
      </c>
      <c r="C20" s="50">
        <f>VLOOKUP($A20,'Data shares'!$C:$FB,10)*100</f>
        <v>-0.15</v>
      </c>
      <c r="D20" s="49">
        <f>VLOOKUP($A20,'Data shares'!$C:$FB,66)</f>
        <v>1196250</v>
      </c>
      <c r="E20" s="49">
        <f>VLOOKUP($A20,'Data shares'!$C:$FB,67)</f>
        <v>1188750</v>
      </c>
      <c r="F20" s="50">
        <f>VLOOKUP($A20,'Data shares'!$C:$FB,69)*100</f>
        <v>0.63</v>
      </c>
      <c r="G20" s="49">
        <f>VLOOKUP($A20,'Data shares'!$C:$FB,42)</f>
        <v>243125</v>
      </c>
      <c r="H20" s="49">
        <f>VLOOKUP($A20,'Data shares'!$C:$FB,43)</f>
        <v>199750</v>
      </c>
      <c r="I20" s="50">
        <f>VLOOKUP($A20,'Data shares'!$C:$FB,45)*100</f>
        <v>21.709999999999997</v>
      </c>
      <c r="J20" s="49">
        <f>VLOOKUP($A20,'Data shares'!$C:$FB,58)</f>
        <v>678250</v>
      </c>
      <c r="K20" s="49">
        <f>VLOOKUP($A20,'Data shares'!$C:$FB,59)</f>
        <v>648250</v>
      </c>
      <c r="L20" s="50">
        <f>VLOOKUP($A20,'Data shares'!$C:$FB,61)*100</f>
        <v>4.63</v>
      </c>
      <c r="M20" s="49">
        <f>VLOOKUP($A20,'Data shares'!$C:$FB,62)</f>
        <v>274875</v>
      </c>
      <c r="N20" s="49">
        <f>VLOOKUP($A20,'Data shares'!$C:$FB,63)</f>
        <v>340750</v>
      </c>
      <c r="O20" s="140">
        <f>VLOOKUP($A20,'Data shares'!$C:$FB,65)*100</f>
        <v>-19.329999999999998</v>
      </c>
    </row>
    <row r="21" spans="1:15" x14ac:dyDescent="0.25">
      <c r="A21" s="101" t="str">
        <f>'Data Vlaue (Cr)'!C16</f>
        <v>ASHOKLEY</v>
      </c>
      <c r="B21" s="50">
        <f>VLOOKUP($A21,'Data shares'!$C:$FB,7)</f>
        <v>167.8</v>
      </c>
      <c r="C21" s="50">
        <f>VLOOKUP($A21,'Data shares'!$C:$FB,10)*100</f>
        <v>4.71</v>
      </c>
      <c r="D21" s="49">
        <f>VLOOKUP($A21,'Data shares'!$C:$FB,66)</f>
        <v>289055000</v>
      </c>
      <c r="E21" s="49">
        <f>VLOOKUP($A21,'Data shares'!$C:$FB,67)</f>
        <v>109265000</v>
      </c>
      <c r="F21" s="50">
        <f>VLOOKUP($A21,'Data shares'!$C:$FB,69)*100</f>
        <v>164.54</v>
      </c>
      <c r="G21" s="49">
        <f>VLOOKUP($A21,'Data shares'!$C:$FB,42)</f>
        <v>55555000</v>
      </c>
      <c r="H21" s="49">
        <f>VLOOKUP($A21,'Data shares'!$C:$FB,43)</f>
        <v>24145000</v>
      </c>
      <c r="I21" s="50">
        <f>VLOOKUP($A21,'Data shares'!$C:$FB,45)*100</f>
        <v>130.09</v>
      </c>
      <c r="J21" s="49">
        <f>VLOOKUP($A21,'Data shares'!$C:$FB,58)</f>
        <v>175285000</v>
      </c>
      <c r="K21" s="49">
        <f>VLOOKUP($A21,'Data shares'!$C:$FB,59)</f>
        <v>54165000</v>
      </c>
      <c r="L21" s="50">
        <f>VLOOKUP($A21,'Data shares'!$C:$FB,61)*100</f>
        <v>223.60999999999999</v>
      </c>
      <c r="M21" s="49">
        <f>VLOOKUP($A21,'Data shares'!$C:$FB,62)</f>
        <v>58215000</v>
      </c>
      <c r="N21" s="49">
        <f>VLOOKUP($A21,'Data shares'!$C:$FB,63)</f>
        <v>30955000</v>
      </c>
      <c r="O21" s="140">
        <f>VLOOKUP($A21,'Data shares'!$C:$FB,65)*100</f>
        <v>88.06</v>
      </c>
    </row>
    <row r="22" spans="1:15" x14ac:dyDescent="0.25">
      <c r="A22" s="101" t="str">
        <f>'Data Vlaue (Cr)'!C17</f>
        <v>ASIANPAINT</v>
      </c>
      <c r="B22" s="50">
        <f>VLOOKUP($A22,'Data shares'!$C:$FB,7)</f>
        <v>2519</v>
      </c>
      <c r="C22" s="50">
        <f>VLOOKUP($A22,'Data shares'!$C:$FB,10)*100</f>
        <v>3.66</v>
      </c>
      <c r="D22" s="49">
        <f>VLOOKUP($A22,'Data shares'!$C:$FB,66)</f>
        <v>16770500</v>
      </c>
      <c r="E22" s="49">
        <f>VLOOKUP($A22,'Data shares'!$C:$FB,67)</f>
        <v>5923250</v>
      </c>
      <c r="F22" s="50">
        <f>VLOOKUP($A22,'Data shares'!$C:$FB,69)*100</f>
        <v>183.13</v>
      </c>
      <c r="G22" s="49">
        <f>VLOOKUP($A22,'Data shares'!$C:$FB,42)</f>
        <v>2098750</v>
      </c>
      <c r="H22" s="49">
        <f>VLOOKUP($A22,'Data shares'!$C:$FB,43)</f>
        <v>809250</v>
      </c>
      <c r="I22" s="50">
        <f>VLOOKUP($A22,'Data shares'!$C:$FB,45)*100</f>
        <v>159.35</v>
      </c>
      <c r="J22" s="49">
        <f>VLOOKUP($A22,'Data shares'!$C:$FB,58)</f>
        <v>9175500</v>
      </c>
      <c r="K22" s="49">
        <f>VLOOKUP($A22,'Data shares'!$C:$FB,59)</f>
        <v>2976250</v>
      </c>
      <c r="L22" s="50">
        <f>VLOOKUP($A22,'Data shares'!$C:$FB,61)*100</f>
        <v>208.29</v>
      </c>
      <c r="M22" s="49">
        <f>VLOOKUP($A22,'Data shares'!$C:$FB,62)</f>
        <v>5496250</v>
      </c>
      <c r="N22" s="49">
        <f>VLOOKUP($A22,'Data shares'!$C:$FB,63)</f>
        <v>2137750</v>
      </c>
      <c r="O22" s="140">
        <f>VLOOKUP($A22,'Data shares'!$C:$FB,65)*100</f>
        <v>157.1</v>
      </c>
    </row>
    <row r="23" spans="1:15" x14ac:dyDescent="0.25">
      <c r="A23" s="101" t="str">
        <f>'Data Vlaue (Cr)'!C18</f>
        <v>ASTRAL</v>
      </c>
      <c r="B23" s="50">
        <f>VLOOKUP($A23,'Data shares'!$C:$FB,7)</f>
        <v>1576.1</v>
      </c>
      <c r="C23" s="50">
        <f>VLOOKUP($A23,'Data shares'!$C:$FB,10)*100</f>
        <v>2.91</v>
      </c>
      <c r="D23" s="49">
        <f>VLOOKUP($A23,'Data shares'!$C:$FB,66)</f>
        <v>9404825</v>
      </c>
      <c r="E23" s="49">
        <f>VLOOKUP($A23,'Data shares'!$C:$FB,67)</f>
        <v>2407625</v>
      </c>
      <c r="F23" s="50">
        <f>VLOOKUP($A23,'Data shares'!$C:$FB,69)*100</f>
        <v>290.63</v>
      </c>
      <c r="G23" s="49">
        <f>VLOOKUP($A23,'Data shares'!$C:$FB,42)</f>
        <v>1766725</v>
      </c>
      <c r="H23" s="49">
        <f>VLOOKUP($A23,'Data shares'!$C:$FB,43)</f>
        <v>544850</v>
      </c>
      <c r="I23" s="50">
        <f>VLOOKUP($A23,'Data shares'!$C:$FB,45)*100</f>
        <v>224.26</v>
      </c>
      <c r="J23" s="49">
        <f>VLOOKUP($A23,'Data shares'!$C:$FB,58)</f>
        <v>5827600</v>
      </c>
      <c r="K23" s="49">
        <f>VLOOKUP($A23,'Data shares'!$C:$FB,59)</f>
        <v>1380400</v>
      </c>
      <c r="L23" s="50">
        <f>VLOOKUP($A23,'Data shares'!$C:$FB,61)*100</f>
        <v>322.16999999999996</v>
      </c>
      <c r="M23" s="49">
        <f>VLOOKUP($A23,'Data shares'!$C:$FB,62)</f>
        <v>1810500</v>
      </c>
      <c r="N23" s="49">
        <f>VLOOKUP($A23,'Data shares'!$C:$FB,63)</f>
        <v>482375</v>
      </c>
      <c r="O23" s="140">
        <f>VLOOKUP($A23,'Data shares'!$C:$FB,65)*100</f>
        <v>275.33</v>
      </c>
    </row>
    <row r="24" spans="1:15" x14ac:dyDescent="0.25">
      <c r="A24" s="101" t="str">
        <f>'Data Vlaue (Cr)'!C19</f>
        <v>AUBANK</v>
      </c>
      <c r="B24" s="50">
        <f>VLOOKUP($A24,'Data shares'!$C:$FB,7)</f>
        <v>1024</v>
      </c>
      <c r="C24" s="50">
        <f>VLOOKUP($A24,'Data shares'!$C:$FB,10)*100</f>
        <v>1.68</v>
      </c>
      <c r="D24" s="49">
        <f>VLOOKUP($A24,'Data shares'!$C:$FB,66)</f>
        <v>21153000</v>
      </c>
      <c r="E24" s="49">
        <f>VLOOKUP($A24,'Data shares'!$C:$FB,67)</f>
        <v>10360000</v>
      </c>
      <c r="F24" s="50">
        <f>VLOOKUP($A24,'Data shares'!$C:$FB,69)*100</f>
        <v>104.18</v>
      </c>
      <c r="G24" s="49">
        <f>VLOOKUP($A24,'Data shares'!$C:$FB,42)</f>
        <v>4529000</v>
      </c>
      <c r="H24" s="49">
        <f>VLOOKUP($A24,'Data shares'!$C:$FB,43)</f>
        <v>2533000</v>
      </c>
      <c r="I24" s="50">
        <f>VLOOKUP($A24,'Data shares'!$C:$FB,45)*100</f>
        <v>78.8</v>
      </c>
      <c r="J24" s="49">
        <f>VLOOKUP($A24,'Data shares'!$C:$FB,58)</f>
        <v>11605000</v>
      </c>
      <c r="K24" s="49">
        <f>VLOOKUP($A24,'Data shares'!$C:$FB,59)</f>
        <v>5553000</v>
      </c>
      <c r="L24" s="50">
        <f>VLOOKUP($A24,'Data shares'!$C:$FB,61)*100</f>
        <v>108.99000000000001</v>
      </c>
      <c r="M24" s="49">
        <f>VLOOKUP($A24,'Data shares'!$C:$FB,62)</f>
        <v>5019000</v>
      </c>
      <c r="N24" s="49">
        <f>VLOOKUP($A24,'Data shares'!$C:$FB,63)</f>
        <v>2274000</v>
      </c>
      <c r="O24" s="140">
        <f>VLOOKUP($A24,'Data shares'!$C:$FB,65)*100</f>
        <v>120.71000000000001</v>
      </c>
    </row>
    <row r="25" spans="1:15" x14ac:dyDescent="0.25">
      <c r="A25" s="101" t="str">
        <f>'Data Vlaue (Cr)'!C20</f>
        <v>AUROPHARMA</v>
      </c>
      <c r="B25" s="50">
        <f>VLOOKUP($A25,'Data shares'!$C:$FB,7)</f>
        <v>1484</v>
      </c>
      <c r="C25" s="50">
        <f>VLOOKUP($A25,'Data shares'!$C:$FB,10)*100</f>
        <v>3.91</v>
      </c>
      <c r="D25" s="49">
        <f>VLOOKUP($A25,'Data shares'!$C:$FB,66)</f>
        <v>21782750</v>
      </c>
      <c r="E25" s="49">
        <f>VLOOKUP($A25,'Data shares'!$C:$FB,67)</f>
        <v>10254200</v>
      </c>
      <c r="F25" s="50">
        <f>VLOOKUP($A25,'Data shares'!$C:$FB,69)*100</f>
        <v>112.43</v>
      </c>
      <c r="G25" s="49">
        <f>VLOOKUP($A25,'Data shares'!$C:$FB,42)</f>
        <v>4037550</v>
      </c>
      <c r="H25" s="49">
        <f>VLOOKUP($A25,'Data shares'!$C:$FB,43)</f>
        <v>1828200</v>
      </c>
      <c r="I25" s="50">
        <f>VLOOKUP($A25,'Data shares'!$C:$FB,45)*100</f>
        <v>120.85</v>
      </c>
      <c r="J25" s="49">
        <f>VLOOKUP($A25,'Data shares'!$C:$FB,58)</f>
        <v>12554300</v>
      </c>
      <c r="K25" s="49">
        <f>VLOOKUP($A25,'Data shares'!$C:$FB,59)</f>
        <v>6734750</v>
      </c>
      <c r="L25" s="50">
        <f>VLOOKUP($A25,'Data shares'!$C:$FB,61)*100</f>
        <v>86.41</v>
      </c>
      <c r="M25" s="49">
        <f>VLOOKUP($A25,'Data shares'!$C:$FB,62)</f>
        <v>5190900</v>
      </c>
      <c r="N25" s="49">
        <f>VLOOKUP($A25,'Data shares'!$C:$FB,63)</f>
        <v>1691250</v>
      </c>
      <c r="O25" s="140">
        <f>VLOOKUP($A25,'Data shares'!$C:$FB,65)*100</f>
        <v>206.93</v>
      </c>
    </row>
    <row r="26" spans="1:15" x14ac:dyDescent="0.25">
      <c r="A26" s="101" t="str">
        <f>'Data Vlaue (Cr)'!C21</f>
        <v>AXISBANK</v>
      </c>
      <c r="B26" s="50">
        <f>VLOOKUP($A26,'Data shares'!$C:$FB,7)</f>
        <v>1294.2</v>
      </c>
      <c r="C26" s="50">
        <f>VLOOKUP($A26,'Data shares'!$C:$FB,10)*100</f>
        <v>2.74</v>
      </c>
      <c r="D26" s="49">
        <f>VLOOKUP($A26,'Data shares'!$C:$FB,66)</f>
        <v>64322500</v>
      </c>
      <c r="E26" s="49">
        <f>VLOOKUP($A26,'Data shares'!$C:$FB,67)</f>
        <v>34265000</v>
      </c>
      <c r="F26" s="50">
        <f>VLOOKUP($A26,'Data shares'!$C:$FB,69)*100</f>
        <v>87.72</v>
      </c>
      <c r="G26" s="49">
        <f>VLOOKUP($A26,'Data shares'!$C:$FB,42)</f>
        <v>8875625</v>
      </c>
      <c r="H26" s="49">
        <f>VLOOKUP($A26,'Data shares'!$C:$FB,43)</f>
        <v>6811875</v>
      </c>
      <c r="I26" s="50">
        <f>VLOOKUP($A26,'Data shares'!$C:$FB,45)*100</f>
        <v>30.3</v>
      </c>
      <c r="J26" s="49">
        <f>VLOOKUP($A26,'Data shares'!$C:$FB,58)</f>
        <v>35583750</v>
      </c>
      <c r="K26" s="49">
        <f>VLOOKUP($A26,'Data shares'!$C:$FB,59)</f>
        <v>18495625</v>
      </c>
      <c r="L26" s="50">
        <f>VLOOKUP($A26,'Data shares'!$C:$FB,61)*100</f>
        <v>92.39</v>
      </c>
      <c r="M26" s="49">
        <f>VLOOKUP($A26,'Data shares'!$C:$FB,62)</f>
        <v>19863125</v>
      </c>
      <c r="N26" s="49">
        <f>VLOOKUP($A26,'Data shares'!$C:$FB,63)</f>
        <v>8957500</v>
      </c>
      <c r="O26" s="140">
        <f>VLOOKUP($A26,'Data shares'!$C:$FB,65)*100</f>
        <v>121.75</v>
      </c>
    </row>
    <row r="27" spans="1:15" x14ac:dyDescent="0.25">
      <c r="A27" s="101" t="str">
        <f>'Data Vlaue (Cr)'!C22</f>
        <v>BAJAJ-AUTO</v>
      </c>
      <c r="B27" s="50">
        <f>VLOOKUP($A27,'Data shares'!$C:$FB,7)</f>
        <v>10319</v>
      </c>
      <c r="C27" s="50">
        <f>VLOOKUP($A27,'Data shares'!$C:$FB,10)*100</f>
        <v>2.7199999999999998</v>
      </c>
      <c r="D27" s="49">
        <f>VLOOKUP($A27,'Data shares'!$C:$FB,66)</f>
        <v>9535800</v>
      </c>
      <c r="E27" s="49">
        <f>VLOOKUP($A27,'Data shares'!$C:$FB,67)</f>
        <v>2943225</v>
      </c>
      <c r="F27" s="50">
        <f>VLOOKUP($A27,'Data shares'!$C:$FB,69)*100</f>
        <v>223.99</v>
      </c>
      <c r="G27" s="49">
        <f>VLOOKUP($A27,'Data shares'!$C:$FB,42)</f>
        <v>677775</v>
      </c>
      <c r="H27" s="49">
        <f>VLOOKUP($A27,'Data shares'!$C:$FB,43)</f>
        <v>338850</v>
      </c>
      <c r="I27" s="50">
        <f>VLOOKUP($A27,'Data shares'!$C:$FB,45)*100</f>
        <v>100.02</v>
      </c>
      <c r="J27" s="49">
        <f>VLOOKUP($A27,'Data shares'!$C:$FB,58)</f>
        <v>6194850</v>
      </c>
      <c r="K27" s="49">
        <f>VLOOKUP($A27,'Data shares'!$C:$FB,59)</f>
        <v>1538925</v>
      </c>
      <c r="L27" s="50">
        <f>VLOOKUP($A27,'Data shares'!$C:$FB,61)*100</f>
        <v>302.53999999999996</v>
      </c>
      <c r="M27" s="49">
        <f>VLOOKUP($A27,'Data shares'!$C:$FB,62)</f>
        <v>2663175</v>
      </c>
      <c r="N27" s="49">
        <f>VLOOKUP($A27,'Data shares'!$C:$FB,63)</f>
        <v>1065450</v>
      </c>
      <c r="O27" s="140">
        <f>VLOOKUP($A27,'Data shares'!$C:$FB,65)*100</f>
        <v>149.96</v>
      </c>
    </row>
    <row r="28" spans="1:15" x14ac:dyDescent="0.25">
      <c r="A28" s="101" t="str">
        <f>'Data Vlaue (Cr)'!C23</f>
        <v>BAJAJFINSV</v>
      </c>
      <c r="B28" s="50">
        <f>VLOOKUP($A28,'Data shares'!$C:$FB,7)</f>
        <v>1836.1</v>
      </c>
      <c r="C28" s="50">
        <f>VLOOKUP($A28,'Data shares'!$C:$FB,10)*100</f>
        <v>2.31</v>
      </c>
      <c r="D28" s="49">
        <f>VLOOKUP($A28,'Data shares'!$C:$FB,66)</f>
        <v>10062000</v>
      </c>
      <c r="E28" s="49">
        <f>VLOOKUP($A28,'Data shares'!$C:$FB,67)</f>
        <v>7153250</v>
      </c>
      <c r="F28" s="50">
        <f>VLOOKUP($A28,'Data shares'!$C:$FB,69)*100</f>
        <v>40.660000000000004</v>
      </c>
      <c r="G28" s="49">
        <f>VLOOKUP($A28,'Data shares'!$C:$FB,42)</f>
        <v>1140000</v>
      </c>
      <c r="H28" s="49">
        <f>VLOOKUP($A28,'Data shares'!$C:$FB,43)</f>
        <v>823250</v>
      </c>
      <c r="I28" s="50">
        <f>VLOOKUP($A28,'Data shares'!$C:$FB,45)*100</f>
        <v>38.479999999999997</v>
      </c>
      <c r="J28" s="49">
        <f>VLOOKUP($A28,'Data shares'!$C:$FB,58)</f>
        <v>5941000</v>
      </c>
      <c r="K28" s="49">
        <f>VLOOKUP($A28,'Data shares'!$C:$FB,59)</f>
        <v>3773500</v>
      </c>
      <c r="L28" s="50">
        <f>VLOOKUP($A28,'Data shares'!$C:$FB,61)*100</f>
        <v>57.440000000000005</v>
      </c>
      <c r="M28" s="49">
        <f>VLOOKUP($A28,'Data shares'!$C:$FB,62)</f>
        <v>2981000</v>
      </c>
      <c r="N28" s="49">
        <f>VLOOKUP($A28,'Data shares'!$C:$FB,63)</f>
        <v>2556500</v>
      </c>
      <c r="O28" s="140">
        <f>VLOOKUP($A28,'Data shares'!$C:$FB,65)*100</f>
        <v>16.600000000000001</v>
      </c>
    </row>
    <row r="29" spans="1:15" x14ac:dyDescent="0.25">
      <c r="A29" s="101" t="str">
        <f>'Data Vlaue (Cr)'!C24</f>
        <v>BAJAJHLDNG</v>
      </c>
      <c r="B29" s="50">
        <f>VLOOKUP($A29,'Data shares'!$C:$FB,7)</f>
        <v>10612</v>
      </c>
      <c r="C29" s="50">
        <f>VLOOKUP($A29,'Data shares'!$C:$FB,10)*100</f>
        <v>1.37</v>
      </c>
      <c r="D29" s="49">
        <f>VLOOKUP($A29,'Data shares'!$C:$FB,66)</f>
        <v>251300</v>
      </c>
      <c r="E29" s="49">
        <f>VLOOKUP($A29,'Data shares'!$C:$FB,67)</f>
        <v>119150</v>
      </c>
      <c r="F29" s="50">
        <f>VLOOKUP($A29,'Data shares'!$C:$FB,69)*100</f>
        <v>110.91</v>
      </c>
      <c r="G29" s="49">
        <f>VLOOKUP($A29,'Data shares'!$C:$FB,42)</f>
        <v>44050</v>
      </c>
      <c r="H29" s="49">
        <f>VLOOKUP($A29,'Data shares'!$C:$FB,43)</f>
        <v>25950</v>
      </c>
      <c r="I29" s="50">
        <f>VLOOKUP($A29,'Data shares'!$C:$FB,45)*100</f>
        <v>69.75</v>
      </c>
      <c r="J29" s="49">
        <f>VLOOKUP($A29,'Data shares'!$C:$FB,58)</f>
        <v>185900</v>
      </c>
      <c r="K29" s="49">
        <f>VLOOKUP($A29,'Data shares'!$C:$FB,59)</f>
        <v>73650</v>
      </c>
      <c r="L29" s="50">
        <f>VLOOKUP($A29,'Data shares'!$C:$FB,61)*100</f>
        <v>152.41</v>
      </c>
      <c r="M29" s="49">
        <f>VLOOKUP($A29,'Data shares'!$C:$FB,62)</f>
        <v>21350</v>
      </c>
      <c r="N29" s="49">
        <f>VLOOKUP($A29,'Data shares'!$C:$FB,63)</f>
        <v>19550</v>
      </c>
      <c r="O29" s="140">
        <f>VLOOKUP($A29,'Data shares'!$C:$FB,65)*100</f>
        <v>9.2100000000000009</v>
      </c>
    </row>
    <row r="30" spans="1:15" x14ac:dyDescent="0.25">
      <c r="A30" s="101" t="str">
        <f>'Data Vlaue (Cr)'!C25</f>
        <v>BAJFINANCE</v>
      </c>
      <c r="B30" s="50">
        <f>VLOOKUP($A30,'Data shares'!$C:$FB,7)</f>
        <v>980.75</v>
      </c>
      <c r="C30" s="50">
        <f>VLOOKUP($A30,'Data shares'!$C:$FB,10)*100</f>
        <v>2.31</v>
      </c>
      <c r="D30" s="49">
        <f>VLOOKUP($A30,'Data shares'!$C:$FB,66)</f>
        <v>68886750</v>
      </c>
      <c r="E30" s="49">
        <f>VLOOKUP($A30,'Data shares'!$C:$FB,67)</f>
        <v>42948000</v>
      </c>
      <c r="F30" s="50">
        <f>VLOOKUP($A30,'Data shares'!$C:$FB,69)*100</f>
        <v>60.4</v>
      </c>
      <c r="G30" s="49">
        <f>VLOOKUP($A30,'Data shares'!$C:$FB,42)</f>
        <v>9245250</v>
      </c>
      <c r="H30" s="49">
        <f>VLOOKUP($A30,'Data shares'!$C:$FB,43)</f>
        <v>6085500</v>
      </c>
      <c r="I30" s="50">
        <f>VLOOKUP($A30,'Data shares'!$C:$FB,45)*100</f>
        <v>51.92</v>
      </c>
      <c r="J30" s="49">
        <f>VLOOKUP($A30,'Data shares'!$C:$FB,58)</f>
        <v>39501750</v>
      </c>
      <c r="K30" s="49">
        <f>VLOOKUP($A30,'Data shares'!$C:$FB,59)</f>
        <v>21155250</v>
      </c>
      <c r="L30" s="50">
        <f>VLOOKUP($A30,'Data shares'!$C:$FB,61)*100</f>
        <v>86.72</v>
      </c>
      <c r="M30" s="49">
        <f>VLOOKUP($A30,'Data shares'!$C:$FB,62)</f>
        <v>20139750</v>
      </c>
      <c r="N30" s="49">
        <f>VLOOKUP($A30,'Data shares'!$C:$FB,63)</f>
        <v>15707250</v>
      </c>
      <c r="O30" s="140">
        <f>VLOOKUP($A30,'Data shares'!$C:$FB,65)*100</f>
        <v>28.22</v>
      </c>
    </row>
    <row r="31" spans="1:15" x14ac:dyDescent="0.25">
      <c r="A31" s="101" t="str">
        <f>'Data Vlaue (Cr)'!C26</f>
        <v>BANDHANBNK</v>
      </c>
      <c r="B31" s="50">
        <f>VLOOKUP($A31,'Data shares'!$C:$FB,7)</f>
        <v>208.88</v>
      </c>
      <c r="C31" s="50">
        <f>VLOOKUP($A31,'Data shares'!$C:$FB,10)*100</f>
        <v>1.18</v>
      </c>
      <c r="D31" s="49">
        <f>VLOOKUP($A31,'Data shares'!$C:$FB,66)</f>
        <v>83340000</v>
      </c>
      <c r="E31" s="49">
        <f>VLOOKUP($A31,'Data shares'!$C:$FB,67)</f>
        <v>87631200</v>
      </c>
      <c r="F31" s="50">
        <f>VLOOKUP($A31,'Data shares'!$C:$FB,69)*100</f>
        <v>-4.9000000000000004</v>
      </c>
      <c r="G31" s="49">
        <f>VLOOKUP($A31,'Data shares'!$C:$FB,42)</f>
        <v>15066000</v>
      </c>
      <c r="H31" s="49">
        <f>VLOOKUP($A31,'Data shares'!$C:$FB,43)</f>
        <v>14616000</v>
      </c>
      <c r="I31" s="50">
        <f>VLOOKUP($A31,'Data shares'!$C:$FB,45)*100</f>
        <v>3.08</v>
      </c>
      <c r="J31" s="49">
        <f>VLOOKUP($A31,'Data shares'!$C:$FB,58)</f>
        <v>41767200</v>
      </c>
      <c r="K31" s="49">
        <f>VLOOKUP($A31,'Data shares'!$C:$FB,59)</f>
        <v>40381200</v>
      </c>
      <c r="L31" s="50">
        <f>VLOOKUP($A31,'Data shares'!$C:$FB,61)*100</f>
        <v>3.4299999999999997</v>
      </c>
      <c r="M31" s="49">
        <f>VLOOKUP($A31,'Data shares'!$C:$FB,62)</f>
        <v>26506800</v>
      </c>
      <c r="N31" s="49">
        <f>VLOOKUP($A31,'Data shares'!$C:$FB,63)</f>
        <v>32634000</v>
      </c>
      <c r="O31" s="140">
        <f>VLOOKUP($A31,'Data shares'!$C:$FB,65)*100</f>
        <v>-18.78</v>
      </c>
    </row>
    <row r="32" spans="1:15" x14ac:dyDescent="0.25">
      <c r="A32" s="101" t="str">
        <f>'Data Vlaue (Cr)'!C27</f>
        <v>BANKBARODA</v>
      </c>
      <c r="B32" s="50">
        <f>VLOOKUP($A32,'Data shares'!$C:$FB,7)</f>
        <v>270.3</v>
      </c>
      <c r="C32" s="50">
        <f>VLOOKUP($A32,'Data shares'!$C:$FB,10)*100</f>
        <v>2.62</v>
      </c>
      <c r="D32" s="49">
        <f>VLOOKUP($A32,'Data shares'!$C:$FB,66)</f>
        <v>89756550</v>
      </c>
      <c r="E32" s="49">
        <f>VLOOKUP($A32,'Data shares'!$C:$FB,67)</f>
        <v>33976800</v>
      </c>
      <c r="F32" s="50">
        <f>VLOOKUP($A32,'Data shares'!$C:$FB,69)*100</f>
        <v>164.17</v>
      </c>
      <c r="G32" s="49">
        <f>VLOOKUP($A32,'Data shares'!$C:$FB,42)</f>
        <v>22753575</v>
      </c>
      <c r="H32" s="49">
        <f>VLOOKUP($A32,'Data shares'!$C:$FB,43)</f>
        <v>9064575</v>
      </c>
      <c r="I32" s="50">
        <f>VLOOKUP($A32,'Data shares'!$C:$FB,45)*100</f>
        <v>151.02000000000001</v>
      </c>
      <c r="J32" s="49">
        <f>VLOOKUP($A32,'Data shares'!$C:$FB,58)</f>
        <v>49479300</v>
      </c>
      <c r="K32" s="49">
        <f>VLOOKUP($A32,'Data shares'!$C:$FB,59)</f>
        <v>18108675</v>
      </c>
      <c r="L32" s="50">
        <f>VLOOKUP($A32,'Data shares'!$C:$FB,61)*100</f>
        <v>173.23999999999998</v>
      </c>
      <c r="M32" s="49">
        <f>VLOOKUP($A32,'Data shares'!$C:$FB,62)</f>
        <v>17523675</v>
      </c>
      <c r="N32" s="49">
        <f>VLOOKUP($A32,'Data shares'!$C:$FB,63)</f>
        <v>6803550</v>
      </c>
      <c r="O32" s="140">
        <f>VLOOKUP($A32,'Data shares'!$C:$FB,65)*100</f>
        <v>157.57000000000002</v>
      </c>
    </row>
    <row r="33" spans="1:15" x14ac:dyDescent="0.25">
      <c r="A33" s="101" t="str">
        <f>'Data Vlaue (Cr)'!C28</f>
        <v>BANKINDIA</v>
      </c>
      <c r="B33" s="50">
        <f>VLOOKUP($A33,'Data shares'!$C:$FB,7)</f>
        <v>142.34</v>
      </c>
      <c r="C33" s="50">
        <f>VLOOKUP($A33,'Data shares'!$C:$FB,10)*100</f>
        <v>2.71</v>
      </c>
      <c r="D33" s="49">
        <f>VLOOKUP($A33,'Data shares'!$C:$FB,66)</f>
        <v>60756800</v>
      </c>
      <c r="E33" s="49">
        <f>VLOOKUP($A33,'Data shares'!$C:$FB,67)</f>
        <v>30019600</v>
      </c>
      <c r="F33" s="50">
        <f>VLOOKUP($A33,'Data shares'!$C:$FB,69)*100</f>
        <v>102.39</v>
      </c>
      <c r="G33" s="49">
        <f>VLOOKUP($A33,'Data shares'!$C:$FB,42)</f>
        <v>21897200</v>
      </c>
      <c r="H33" s="49">
        <f>VLOOKUP($A33,'Data shares'!$C:$FB,43)</f>
        <v>8736000</v>
      </c>
      <c r="I33" s="50">
        <f>VLOOKUP($A33,'Data shares'!$C:$FB,45)*100</f>
        <v>150.65</v>
      </c>
      <c r="J33" s="49">
        <f>VLOOKUP($A33,'Data shares'!$C:$FB,58)</f>
        <v>26499200</v>
      </c>
      <c r="K33" s="49">
        <f>VLOOKUP($A33,'Data shares'!$C:$FB,59)</f>
        <v>15173600</v>
      </c>
      <c r="L33" s="50">
        <f>VLOOKUP($A33,'Data shares'!$C:$FB,61)*100</f>
        <v>74.64</v>
      </c>
      <c r="M33" s="49">
        <f>VLOOKUP($A33,'Data shares'!$C:$FB,62)</f>
        <v>12360400</v>
      </c>
      <c r="N33" s="49">
        <f>VLOOKUP($A33,'Data shares'!$C:$FB,63)</f>
        <v>6110000</v>
      </c>
      <c r="O33" s="140">
        <f>VLOOKUP($A33,'Data shares'!$C:$FB,65)*100</f>
        <v>102.3</v>
      </c>
    </row>
    <row r="34" spans="1:15" x14ac:dyDescent="0.25">
      <c r="A34" s="101" t="str">
        <f>'Data Vlaue (Cr)'!C29</f>
        <v>BANKNIFTY</v>
      </c>
      <c r="B34" s="50">
        <f>VLOOKUP($A34,'Data shares'!$C:$FB,7)</f>
        <v>55981.05</v>
      </c>
      <c r="C34" s="50">
        <f>VLOOKUP($A34,'Data shares'!$C:$FB,10)*100</f>
        <v>2.63</v>
      </c>
      <c r="D34" s="49">
        <f>VLOOKUP($A34,'Data shares'!$C:$FB,66)</f>
        <v>88906590</v>
      </c>
      <c r="E34" s="49">
        <f>VLOOKUP($A34,'Data shares'!$C:$FB,67)</f>
        <v>53183400</v>
      </c>
      <c r="F34" s="50">
        <f>VLOOKUP($A34,'Data shares'!$C:$FB,69)*100</f>
        <v>67.17</v>
      </c>
      <c r="G34" s="49">
        <f>VLOOKUP($A34,'Data shares'!$C:$FB,42)</f>
        <v>1625880</v>
      </c>
      <c r="H34" s="49">
        <f>VLOOKUP($A34,'Data shares'!$C:$FB,43)</f>
        <v>934590</v>
      </c>
      <c r="I34" s="50">
        <f>VLOOKUP($A34,'Data shares'!$C:$FB,45)*100</f>
        <v>73.97</v>
      </c>
      <c r="J34" s="49">
        <f>VLOOKUP($A34,'Data shares'!$C:$FB,58)</f>
        <v>47099370</v>
      </c>
      <c r="K34" s="49">
        <f>VLOOKUP($A34,'Data shares'!$C:$FB,59)</f>
        <v>28427790</v>
      </c>
      <c r="L34" s="50">
        <f>VLOOKUP($A34,'Data shares'!$C:$FB,61)*100</f>
        <v>65.680000000000007</v>
      </c>
      <c r="M34" s="49">
        <f>VLOOKUP($A34,'Data shares'!$C:$FB,62)</f>
        <v>40181340</v>
      </c>
      <c r="N34" s="49">
        <f>VLOOKUP($A34,'Data shares'!$C:$FB,63)</f>
        <v>23821020</v>
      </c>
      <c r="O34" s="140">
        <f>VLOOKUP($A34,'Data shares'!$C:$FB,65)*100</f>
        <v>68.679999999999993</v>
      </c>
    </row>
    <row r="35" spans="1:15" x14ac:dyDescent="0.25">
      <c r="A35" s="101" t="str">
        <f>'Data Vlaue (Cr)'!C30</f>
        <v>BDL</v>
      </c>
      <c r="B35" s="50">
        <f>VLOOKUP($A35,'Data shares'!$C:$FB,7)</f>
        <v>1401.5</v>
      </c>
      <c r="C35" s="50">
        <f>VLOOKUP($A35,'Data shares'!$C:$FB,10)*100</f>
        <v>0.21</v>
      </c>
      <c r="D35" s="49">
        <f>VLOOKUP($A35,'Data shares'!$C:$FB,66)</f>
        <v>4702950</v>
      </c>
      <c r="E35" s="49">
        <f>VLOOKUP($A35,'Data shares'!$C:$FB,67)</f>
        <v>4366250</v>
      </c>
      <c r="F35" s="50">
        <f>VLOOKUP($A35,'Data shares'!$C:$FB,69)*100</f>
        <v>7.71</v>
      </c>
      <c r="G35" s="49">
        <f>VLOOKUP($A35,'Data shares'!$C:$FB,42)</f>
        <v>949900</v>
      </c>
      <c r="H35" s="49">
        <f>VLOOKUP($A35,'Data shares'!$C:$FB,43)</f>
        <v>694750</v>
      </c>
      <c r="I35" s="50">
        <f>VLOOKUP($A35,'Data shares'!$C:$FB,45)*100</f>
        <v>36.730000000000004</v>
      </c>
      <c r="J35" s="49">
        <f>VLOOKUP($A35,'Data shares'!$C:$FB,58)</f>
        <v>2992150</v>
      </c>
      <c r="K35" s="49">
        <f>VLOOKUP($A35,'Data shares'!$C:$FB,59)</f>
        <v>2821700</v>
      </c>
      <c r="L35" s="50">
        <f>VLOOKUP($A35,'Data shares'!$C:$FB,61)*100</f>
        <v>6.04</v>
      </c>
      <c r="M35" s="49">
        <f>VLOOKUP($A35,'Data shares'!$C:$FB,62)</f>
        <v>760900</v>
      </c>
      <c r="N35" s="49">
        <f>VLOOKUP($A35,'Data shares'!$C:$FB,63)</f>
        <v>849800</v>
      </c>
      <c r="O35" s="140">
        <f>VLOOKUP($A35,'Data shares'!$C:$FB,65)*100</f>
        <v>-10.459999999999999</v>
      </c>
    </row>
    <row r="36" spans="1:15" x14ac:dyDescent="0.25">
      <c r="A36" s="101" t="str">
        <f>'Data Vlaue (Cr)'!C31</f>
        <v>BEL</v>
      </c>
      <c r="B36" s="50">
        <f>VLOOKUP($A36,'Data shares'!$C:$FB,7)</f>
        <v>438.2</v>
      </c>
      <c r="C36" s="50">
        <f>VLOOKUP($A36,'Data shares'!$C:$FB,10)*100</f>
        <v>1.1199999999999999</v>
      </c>
      <c r="D36" s="49">
        <f>VLOOKUP($A36,'Data shares'!$C:$FB,66)</f>
        <v>68940075</v>
      </c>
      <c r="E36" s="49">
        <f>VLOOKUP($A36,'Data shares'!$C:$FB,67)</f>
        <v>55347000</v>
      </c>
      <c r="F36" s="50">
        <f>VLOOKUP($A36,'Data shares'!$C:$FB,69)*100</f>
        <v>24.560000000000002</v>
      </c>
      <c r="G36" s="49">
        <f>VLOOKUP($A36,'Data shares'!$C:$FB,42)</f>
        <v>13298100</v>
      </c>
      <c r="H36" s="49">
        <f>VLOOKUP($A36,'Data shares'!$C:$FB,43)</f>
        <v>10781550</v>
      </c>
      <c r="I36" s="50">
        <f>VLOOKUP($A36,'Data shares'!$C:$FB,45)*100</f>
        <v>23.34</v>
      </c>
      <c r="J36" s="49">
        <f>VLOOKUP($A36,'Data shares'!$C:$FB,58)</f>
        <v>38872575</v>
      </c>
      <c r="K36" s="49">
        <f>VLOOKUP($A36,'Data shares'!$C:$FB,59)</f>
        <v>33266625</v>
      </c>
      <c r="L36" s="50">
        <f>VLOOKUP($A36,'Data shares'!$C:$FB,61)*100</f>
        <v>16.850000000000001</v>
      </c>
      <c r="M36" s="49">
        <f>VLOOKUP($A36,'Data shares'!$C:$FB,62)</f>
        <v>16769400</v>
      </c>
      <c r="N36" s="49">
        <f>VLOOKUP($A36,'Data shares'!$C:$FB,63)</f>
        <v>11298825</v>
      </c>
      <c r="O36" s="140">
        <f>VLOOKUP($A36,'Data shares'!$C:$FB,65)*100</f>
        <v>48.42</v>
      </c>
    </row>
    <row r="37" spans="1:15" x14ac:dyDescent="0.25">
      <c r="A37" s="101" t="str">
        <f>'Data Vlaue (Cr)'!C32</f>
        <v>BHARATFORG</v>
      </c>
      <c r="B37" s="50">
        <f>VLOOKUP($A37,'Data shares'!$C:$FB,7)</f>
        <v>1873.8</v>
      </c>
      <c r="C37" s="50">
        <f>VLOOKUP($A37,'Data shares'!$C:$FB,10)*100</f>
        <v>0.38999999999999996</v>
      </c>
      <c r="D37" s="49">
        <f>VLOOKUP($A37,'Data shares'!$C:$FB,66)</f>
        <v>14445000</v>
      </c>
      <c r="E37" s="49">
        <f>VLOOKUP($A37,'Data shares'!$C:$FB,67)</f>
        <v>9576500</v>
      </c>
      <c r="F37" s="50">
        <f>VLOOKUP($A37,'Data shares'!$C:$FB,69)*100</f>
        <v>50.839999999999996</v>
      </c>
      <c r="G37" s="49">
        <f>VLOOKUP($A37,'Data shares'!$C:$FB,42)</f>
        <v>3542500</v>
      </c>
      <c r="H37" s="49">
        <f>VLOOKUP($A37,'Data shares'!$C:$FB,43)</f>
        <v>1994000</v>
      </c>
      <c r="I37" s="50">
        <f>VLOOKUP($A37,'Data shares'!$C:$FB,45)*100</f>
        <v>77.66</v>
      </c>
      <c r="J37" s="49">
        <f>VLOOKUP($A37,'Data shares'!$C:$FB,58)</f>
        <v>6786000</v>
      </c>
      <c r="K37" s="49">
        <f>VLOOKUP($A37,'Data shares'!$C:$FB,59)</f>
        <v>4713000</v>
      </c>
      <c r="L37" s="50">
        <f>VLOOKUP($A37,'Data shares'!$C:$FB,61)*100</f>
        <v>43.980000000000004</v>
      </c>
      <c r="M37" s="49">
        <f>VLOOKUP($A37,'Data shares'!$C:$FB,62)</f>
        <v>4116500</v>
      </c>
      <c r="N37" s="49">
        <f>VLOOKUP($A37,'Data shares'!$C:$FB,63)</f>
        <v>2869500</v>
      </c>
      <c r="O37" s="140">
        <f>VLOOKUP($A37,'Data shares'!$C:$FB,65)*100</f>
        <v>43.46</v>
      </c>
    </row>
    <row r="38" spans="1:15" x14ac:dyDescent="0.25">
      <c r="A38" s="101" t="str">
        <f>'Data Vlaue (Cr)'!C33</f>
        <v>BHARTIARTL</v>
      </c>
      <c r="B38" s="50">
        <f>VLOOKUP($A38,'Data shares'!$C:$FB,7)</f>
        <v>1833.7</v>
      </c>
      <c r="C38" s="50">
        <f>VLOOKUP($A38,'Data shares'!$C:$FB,10)*100</f>
        <v>1.53</v>
      </c>
      <c r="D38" s="49">
        <f>VLOOKUP($A38,'Data shares'!$C:$FB,66)</f>
        <v>31787950</v>
      </c>
      <c r="E38" s="49">
        <f>VLOOKUP($A38,'Data shares'!$C:$FB,67)</f>
        <v>41216700</v>
      </c>
      <c r="F38" s="50">
        <f>VLOOKUP($A38,'Data shares'!$C:$FB,69)*100</f>
        <v>-22.88</v>
      </c>
      <c r="G38" s="49">
        <f>VLOOKUP($A38,'Data shares'!$C:$FB,42)</f>
        <v>4062675</v>
      </c>
      <c r="H38" s="49">
        <f>VLOOKUP($A38,'Data shares'!$C:$FB,43)</f>
        <v>5441125</v>
      </c>
      <c r="I38" s="50">
        <f>VLOOKUP($A38,'Data shares'!$C:$FB,45)*100</f>
        <v>-25.330000000000002</v>
      </c>
      <c r="J38" s="49">
        <f>VLOOKUP($A38,'Data shares'!$C:$FB,58)</f>
        <v>18078025</v>
      </c>
      <c r="K38" s="49">
        <f>VLOOKUP($A38,'Data shares'!$C:$FB,59)</f>
        <v>25029650</v>
      </c>
      <c r="L38" s="50">
        <f>VLOOKUP($A38,'Data shares'!$C:$FB,61)*100</f>
        <v>-27.77</v>
      </c>
      <c r="M38" s="49">
        <f>VLOOKUP($A38,'Data shares'!$C:$FB,62)</f>
        <v>9647250</v>
      </c>
      <c r="N38" s="49">
        <f>VLOOKUP($A38,'Data shares'!$C:$FB,63)</f>
        <v>10745925</v>
      </c>
      <c r="O38" s="140">
        <f>VLOOKUP($A38,'Data shares'!$C:$FB,65)*100</f>
        <v>-10.220000000000001</v>
      </c>
    </row>
    <row r="39" spans="1:15" x14ac:dyDescent="0.25">
      <c r="A39" s="101" t="str">
        <f>'Data Vlaue (Cr)'!C34</f>
        <v>BHEL</v>
      </c>
      <c r="B39" s="50">
        <f>VLOOKUP($A39,'Data shares'!$C:$FB,7)</f>
        <v>385.95</v>
      </c>
      <c r="C39" s="50">
        <f>VLOOKUP($A39,'Data shares'!$C:$FB,10)*100</f>
        <v>2.93</v>
      </c>
      <c r="D39" s="49">
        <f>VLOOKUP($A39,'Data shares'!$C:$FB,66)</f>
        <v>196683375</v>
      </c>
      <c r="E39" s="49">
        <f>VLOOKUP($A39,'Data shares'!$C:$FB,67)</f>
        <v>238959000</v>
      </c>
      <c r="F39" s="50">
        <f>VLOOKUP($A39,'Data shares'!$C:$FB,69)*100</f>
        <v>-17.690000000000001</v>
      </c>
      <c r="G39" s="49">
        <f>VLOOKUP($A39,'Data shares'!$C:$FB,42)</f>
        <v>27389250</v>
      </c>
      <c r="H39" s="49">
        <f>VLOOKUP($A39,'Data shares'!$C:$FB,43)</f>
        <v>33621000</v>
      </c>
      <c r="I39" s="50">
        <f>VLOOKUP($A39,'Data shares'!$C:$FB,45)*100</f>
        <v>-18.54</v>
      </c>
      <c r="J39" s="49">
        <f>VLOOKUP($A39,'Data shares'!$C:$FB,58)</f>
        <v>104112750</v>
      </c>
      <c r="K39" s="49">
        <f>VLOOKUP($A39,'Data shares'!$C:$FB,59)</f>
        <v>130961250</v>
      </c>
      <c r="L39" s="50">
        <f>VLOOKUP($A39,'Data shares'!$C:$FB,61)*100</f>
        <v>-20.5</v>
      </c>
      <c r="M39" s="49">
        <f>VLOOKUP($A39,'Data shares'!$C:$FB,62)</f>
        <v>65181375</v>
      </c>
      <c r="N39" s="49">
        <f>VLOOKUP($A39,'Data shares'!$C:$FB,63)</f>
        <v>74376750</v>
      </c>
      <c r="O39" s="140">
        <f>VLOOKUP($A39,'Data shares'!$C:$FB,65)*100</f>
        <v>-12.36</v>
      </c>
    </row>
    <row r="40" spans="1:15" x14ac:dyDescent="0.25">
      <c r="A40" s="101" t="str">
        <f>'Data Vlaue (Cr)'!C35</f>
        <v>BIOCON</v>
      </c>
      <c r="B40" s="50">
        <f>VLOOKUP($A40,'Data shares'!$C:$FB,7)</f>
        <v>380.6</v>
      </c>
      <c r="C40" s="50">
        <f>VLOOKUP($A40,'Data shares'!$C:$FB,10)*100</f>
        <v>3.35</v>
      </c>
      <c r="D40" s="49">
        <f>VLOOKUP($A40,'Data shares'!$C:$FB,66)</f>
        <v>92277500</v>
      </c>
      <c r="E40" s="49">
        <f>VLOOKUP($A40,'Data shares'!$C:$FB,67)</f>
        <v>42407500</v>
      </c>
      <c r="F40" s="50">
        <f>VLOOKUP($A40,'Data shares'!$C:$FB,69)*100</f>
        <v>117.6</v>
      </c>
      <c r="G40" s="49">
        <f>VLOOKUP($A40,'Data shares'!$C:$FB,42)</f>
        <v>12767500</v>
      </c>
      <c r="H40" s="49">
        <f>VLOOKUP($A40,'Data shares'!$C:$FB,43)</f>
        <v>6730000</v>
      </c>
      <c r="I40" s="50">
        <f>VLOOKUP($A40,'Data shares'!$C:$FB,45)*100</f>
        <v>89.710000000000008</v>
      </c>
      <c r="J40" s="49">
        <f>VLOOKUP($A40,'Data shares'!$C:$FB,58)</f>
        <v>57317500</v>
      </c>
      <c r="K40" s="49">
        <f>VLOOKUP($A40,'Data shares'!$C:$FB,59)</f>
        <v>26037500</v>
      </c>
      <c r="L40" s="50">
        <f>VLOOKUP($A40,'Data shares'!$C:$FB,61)*100</f>
        <v>120.13000000000001</v>
      </c>
      <c r="M40" s="49">
        <f>VLOOKUP($A40,'Data shares'!$C:$FB,62)</f>
        <v>22192500</v>
      </c>
      <c r="N40" s="49">
        <f>VLOOKUP($A40,'Data shares'!$C:$FB,63)</f>
        <v>9640000</v>
      </c>
      <c r="O40" s="140">
        <f>VLOOKUP($A40,'Data shares'!$C:$FB,65)*100</f>
        <v>130.21</v>
      </c>
    </row>
    <row r="41" spans="1:15" x14ac:dyDescent="0.25">
      <c r="A41" s="101" t="str">
        <f>'Data Vlaue (Cr)'!C36</f>
        <v>BLUESTARCO</v>
      </c>
      <c r="B41" s="50">
        <f>VLOOKUP($A41,'Data shares'!$C:$FB,7)</f>
        <v>1806.6</v>
      </c>
      <c r="C41" s="50">
        <f>VLOOKUP($A41,'Data shares'!$C:$FB,10)*100</f>
        <v>0.24</v>
      </c>
      <c r="D41" s="49">
        <f>VLOOKUP($A41,'Data shares'!$C:$FB,66)</f>
        <v>5066750</v>
      </c>
      <c r="E41" s="49">
        <f>VLOOKUP($A41,'Data shares'!$C:$FB,67)</f>
        <v>1982175</v>
      </c>
      <c r="F41" s="50">
        <f>VLOOKUP($A41,'Data shares'!$C:$FB,69)*100</f>
        <v>155.62</v>
      </c>
      <c r="G41" s="49">
        <f>VLOOKUP($A41,'Data shares'!$C:$FB,42)</f>
        <v>1486550</v>
      </c>
      <c r="H41" s="49">
        <f>VLOOKUP($A41,'Data shares'!$C:$FB,43)</f>
        <v>798200</v>
      </c>
      <c r="I41" s="50">
        <f>VLOOKUP($A41,'Data shares'!$C:$FB,45)*100</f>
        <v>86.240000000000009</v>
      </c>
      <c r="J41" s="49">
        <f>VLOOKUP($A41,'Data shares'!$C:$FB,58)</f>
        <v>2673125</v>
      </c>
      <c r="K41" s="49">
        <f>VLOOKUP($A41,'Data shares'!$C:$FB,59)</f>
        <v>845650</v>
      </c>
      <c r="L41" s="50">
        <f>VLOOKUP($A41,'Data shares'!$C:$FB,61)*100</f>
        <v>216.1</v>
      </c>
      <c r="M41" s="49">
        <f>VLOOKUP($A41,'Data shares'!$C:$FB,62)</f>
        <v>907075</v>
      </c>
      <c r="N41" s="49">
        <f>VLOOKUP($A41,'Data shares'!$C:$FB,63)</f>
        <v>338325</v>
      </c>
      <c r="O41" s="140">
        <f>VLOOKUP($A41,'Data shares'!$C:$FB,65)*100</f>
        <v>168.11</v>
      </c>
    </row>
    <row r="42" spans="1:15" x14ac:dyDescent="0.25">
      <c r="A42" s="101" t="str">
        <f>'Data Vlaue (Cr)'!C37</f>
        <v>BOSCHLTD</v>
      </c>
      <c r="B42" s="50">
        <f>VLOOKUP($A42,'Data shares'!$C:$FB,7)</f>
        <v>36645</v>
      </c>
      <c r="C42" s="50">
        <f>VLOOKUP($A42,'Data shares'!$C:$FB,10)*100</f>
        <v>2.16</v>
      </c>
      <c r="D42" s="49">
        <f>VLOOKUP($A42,'Data shares'!$C:$FB,66)</f>
        <v>91375</v>
      </c>
      <c r="E42" s="49">
        <f>VLOOKUP($A42,'Data shares'!$C:$FB,67)</f>
        <v>64025</v>
      </c>
      <c r="F42" s="50">
        <f>VLOOKUP($A42,'Data shares'!$C:$FB,69)*100</f>
        <v>42.72</v>
      </c>
      <c r="G42" s="49">
        <f>VLOOKUP($A42,'Data shares'!$C:$FB,42)</f>
        <v>34975</v>
      </c>
      <c r="H42" s="49">
        <f>VLOOKUP($A42,'Data shares'!$C:$FB,43)</f>
        <v>18850</v>
      </c>
      <c r="I42" s="50">
        <f>VLOOKUP($A42,'Data shares'!$C:$FB,45)*100</f>
        <v>85.54</v>
      </c>
      <c r="J42" s="49">
        <f>VLOOKUP($A42,'Data shares'!$C:$FB,58)</f>
        <v>41425</v>
      </c>
      <c r="K42" s="49">
        <f>VLOOKUP($A42,'Data shares'!$C:$FB,59)</f>
        <v>29225</v>
      </c>
      <c r="L42" s="50">
        <f>VLOOKUP($A42,'Data shares'!$C:$FB,61)*100</f>
        <v>41.75</v>
      </c>
      <c r="M42" s="49">
        <f>VLOOKUP($A42,'Data shares'!$C:$FB,62)</f>
        <v>14975</v>
      </c>
      <c r="N42" s="49">
        <f>VLOOKUP($A42,'Data shares'!$C:$FB,63)</f>
        <v>15950</v>
      </c>
      <c r="O42" s="140">
        <f>VLOOKUP($A42,'Data shares'!$C:$FB,65)*100</f>
        <v>-6.11</v>
      </c>
    </row>
    <row r="43" spans="1:15" x14ac:dyDescent="0.25">
      <c r="A43" s="101" t="str">
        <f>'Data Vlaue (Cr)'!C38</f>
        <v>BPCL</v>
      </c>
      <c r="B43" s="50">
        <f>VLOOKUP($A43,'Data shares'!$C:$FB,7)</f>
        <v>314.05</v>
      </c>
      <c r="C43" s="50">
        <f>VLOOKUP($A43,'Data shares'!$C:$FB,10)*100</f>
        <v>5.21</v>
      </c>
      <c r="D43" s="49">
        <f>VLOOKUP($A43,'Data shares'!$C:$FB,66)</f>
        <v>91422750</v>
      </c>
      <c r="E43" s="49">
        <f>VLOOKUP($A43,'Data shares'!$C:$FB,67)</f>
        <v>43657375</v>
      </c>
      <c r="F43" s="50">
        <f>VLOOKUP($A43,'Data shares'!$C:$FB,69)*100</f>
        <v>109.41000000000001</v>
      </c>
      <c r="G43" s="49">
        <f>VLOOKUP($A43,'Data shares'!$C:$FB,42)</f>
        <v>12630125</v>
      </c>
      <c r="H43" s="49">
        <f>VLOOKUP($A43,'Data shares'!$C:$FB,43)</f>
        <v>6914475</v>
      </c>
      <c r="I43" s="50">
        <f>VLOOKUP($A43,'Data shares'!$C:$FB,45)*100</f>
        <v>82.66</v>
      </c>
      <c r="J43" s="49">
        <f>VLOOKUP($A43,'Data shares'!$C:$FB,58)</f>
        <v>55600200</v>
      </c>
      <c r="K43" s="49">
        <f>VLOOKUP($A43,'Data shares'!$C:$FB,59)</f>
        <v>19965275</v>
      </c>
      <c r="L43" s="50">
        <f>VLOOKUP($A43,'Data shares'!$C:$FB,61)*100</f>
        <v>178.48</v>
      </c>
      <c r="M43" s="49">
        <f>VLOOKUP($A43,'Data shares'!$C:$FB,62)</f>
        <v>23192425</v>
      </c>
      <c r="N43" s="49">
        <f>VLOOKUP($A43,'Data shares'!$C:$FB,63)</f>
        <v>16777625</v>
      </c>
      <c r="O43" s="140">
        <f>VLOOKUP($A43,'Data shares'!$C:$FB,65)*100</f>
        <v>38.229999999999997</v>
      </c>
    </row>
    <row r="44" spans="1:15" x14ac:dyDescent="0.25">
      <c r="A44" s="101" t="str">
        <f>'Data Vlaue (Cr)'!C39</f>
        <v>BRITANNIA</v>
      </c>
      <c r="B44" s="50">
        <f>VLOOKUP($A44,'Data shares'!$C:$FB,7)</f>
        <v>5783</v>
      </c>
      <c r="C44" s="50">
        <f>VLOOKUP($A44,'Data shares'!$C:$FB,10)*100</f>
        <v>-0.88</v>
      </c>
      <c r="D44" s="49">
        <f>VLOOKUP($A44,'Data shares'!$C:$FB,66)</f>
        <v>2683250</v>
      </c>
      <c r="E44" s="49">
        <f>VLOOKUP($A44,'Data shares'!$C:$FB,67)</f>
        <v>2567000</v>
      </c>
      <c r="F44" s="50">
        <f>VLOOKUP($A44,'Data shares'!$C:$FB,69)*100</f>
        <v>4.53</v>
      </c>
      <c r="G44" s="49">
        <f>VLOOKUP($A44,'Data shares'!$C:$FB,42)</f>
        <v>610125</v>
      </c>
      <c r="H44" s="49">
        <f>VLOOKUP($A44,'Data shares'!$C:$FB,43)</f>
        <v>722250</v>
      </c>
      <c r="I44" s="50">
        <f>VLOOKUP($A44,'Data shares'!$C:$FB,45)*100</f>
        <v>-15.52</v>
      </c>
      <c r="J44" s="49">
        <f>VLOOKUP($A44,'Data shares'!$C:$FB,58)</f>
        <v>1188000</v>
      </c>
      <c r="K44" s="49">
        <f>VLOOKUP($A44,'Data shares'!$C:$FB,59)</f>
        <v>1250750</v>
      </c>
      <c r="L44" s="50">
        <f>VLOOKUP($A44,'Data shares'!$C:$FB,61)*100</f>
        <v>-5.0200000000000005</v>
      </c>
      <c r="M44" s="49">
        <f>VLOOKUP($A44,'Data shares'!$C:$FB,62)</f>
        <v>885125</v>
      </c>
      <c r="N44" s="49">
        <f>VLOOKUP($A44,'Data shares'!$C:$FB,63)</f>
        <v>594000</v>
      </c>
      <c r="O44" s="140">
        <f>VLOOKUP($A44,'Data shares'!$C:$FB,65)*100</f>
        <v>49.01</v>
      </c>
    </row>
    <row r="45" spans="1:15" x14ac:dyDescent="0.25">
      <c r="A45" s="101" t="str">
        <f>'Data Vlaue (Cr)'!C40</f>
        <v>BSE</v>
      </c>
      <c r="B45" s="50">
        <f>VLOOKUP($A45,'Data shares'!$C:$FB,7)</f>
        <v>3852.1</v>
      </c>
      <c r="C45" s="50">
        <f>VLOOKUP($A45,'Data shares'!$C:$FB,10)*100</f>
        <v>3.38</v>
      </c>
      <c r="D45" s="49">
        <f>VLOOKUP($A45,'Data shares'!$C:$FB,66)</f>
        <v>23231250</v>
      </c>
      <c r="E45" s="49">
        <f>VLOOKUP($A45,'Data shares'!$C:$FB,67)</f>
        <v>15669750</v>
      </c>
      <c r="F45" s="50">
        <f>VLOOKUP($A45,'Data shares'!$C:$FB,69)*100</f>
        <v>48.26</v>
      </c>
      <c r="G45" s="49">
        <f>VLOOKUP($A45,'Data shares'!$C:$FB,42)</f>
        <v>2824875</v>
      </c>
      <c r="H45" s="49">
        <f>VLOOKUP($A45,'Data shares'!$C:$FB,43)</f>
        <v>1974375</v>
      </c>
      <c r="I45" s="50">
        <f>VLOOKUP($A45,'Data shares'!$C:$FB,45)*100</f>
        <v>43.08</v>
      </c>
      <c r="J45" s="49">
        <f>VLOOKUP($A45,'Data shares'!$C:$FB,58)</f>
        <v>12384375</v>
      </c>
      <c r="K45" s="49">
        <f>VLOOKUP($A45,'Data shares'!$C:$FB,59)</f>
        <v>8292375</v>
      </c>
      <c r="L45" s="50">
        <f>VLOOKUP($A45,'Data shares'!$C:$FB,61)*100</f>
        <v>49.35</v>
      </c>
      <c r="M45" s="49">
        <f>VLOOKUP($A45,'Data shares'!$C:$FB,62)</f>
        <v>8022000</v>
      </c>
      <c r="N45" s="49">
        <f>VLOOKUP($A45,'Data shares'!$C:$FB,63)</f>
        <v>5403000</v>
      </c>
      <c r="O45" s="140">
        <f>VLOOKUP($A45,'Data shares'!$C:$FB,65)*100</f>
        <v>48.47</v>
      </c>
    </row>
    <row r="46" spans="1:15" x14ac:dyDescent="0.25">
      <c r="A46" s="101" t="str">
        <f>'Data Vlaue (Cr)'!C41</f>
        <v>CAMS</v>
      </c>
      <c r="B46" s="50">
        <f>VLOOKUP($A46,'Data shares'!$C:$FB,7)</f>
        <v>815.85</v>
      </c>
      <c r="C46" s="50">
        <f>VLOOKUP($A46,'Data shares'!$C:$FB,10)*100</f>
        <v>2.31</v>
      </c>
      <c r="D46" s="49">
        <f>VLOOKUP($A46,'Data shares'!$C:$FB,66)</f>
        <v>28164750</v>
      </c>
      <c r="E46" s="49">
        <f>VLOOKUP($A46,'Data shares'!$C:$FB,67)</f>
        <v>107517750</v>
      </c>
      <c r="F46" s="50">
        <f>VLOOKUP($A46,'Data shares'!$C:$FB,69)*100</f>
        <v>-73.8</v>
      </c>
      <c r="G46" s="49">
        <f>VLOOKUP($A46,'Data shares'!$C:$FB,42)</f>
        <v>3282000</v>
      </c>
      <c r="H46" s="49">
        <f>VLOOKUP($A46,'Data shares'!$C:$FB,43)</f>
        <v>8416500</v>
      </c>
      <c r="I46" s="50">
        <f>VLOOKUP($A46,'Data shares'!$C:$FB,45)*100</f>
        <v>-61.01</v>
      </c>
      <c r="J46" s="49">
        <f>VLOOKUP($A46,'Data shares'!$C:$FB,58)</f>
        <v>15984000</v>
      </c>
      <c r="K46" s="49">
        <f>VLOOKUP($A46,'Data shares'!$C:$FB,59)</f>
        <v>72623250</v>
      </c>
      <c r="L46" s="50">
        <f>VLOOKUP($A46,'Data shares'!$C:$FB,61)*100</f>
        <v>-77.990000000000009</v>
      </c>
      <c r="M46" s="49">
        <f>VLOOKUP($A46,'Data shares'!$C:$FB,62)</f>
        <v>8898750</v>
      </c>
      <c r="N46" s="49">
        <f>VLOOKUP($A46,'Data shares'!$C:$FB,63)</f>
        <v>26478000</v>
      </c>
      <c r="O46" s="140">
        <f>VLOOKUP($A46,'Data shares'!$C:$FB,65)*100</f>
        <v>-66.39</v>
      </c>
    </row>
    <row r="47" spans="1:15" x14ac:dyDescent="0.25">
      <c r="A47" s="101" t="str">
        <f>'Data Vlaue (Cr)'!C42</f>
        <v>CANBK</v>
      </c>
      <c r="B47" s="50">
        <f>VLOOKUP($A47,'Data shares'!$C:$FB,7)</f>
        <v>138.04</v>
      </c>
      <c r="C47" s="50">
        <f>VLOOKUP($A47,'Data shares'!$C:$FB,10)*100</f>
        <v>2.78</v>
      </c>
      <c r="D47" s="49">
        <f>VLOOKUP($A47,'Data shares'!$C:$FB,66)</f>
        <v>174129750</v>
      </c>
      <c r="E47" s="49">
        <f>VLOOKUP($A47,'Data shares'!$C:$FB,67)</f>
        <v>86859000</v>
      </c>
      <c r="F47" s="50">
        <f>VLOOKUP($A47,'Data shares'!$C:$FB,69)*100</f>
        <v>100.47</v>
      </c>
      <c r="G47" s="49">
        <f>VLOOKUP($A47,'Data shares'!$C:$FB,42)</f>
        <v>39555000</v>
      </c>
      <c r="H47" s="49">
        <f>VLOOKUP($A47,'Data shares'!$C:$FB,43)</f>
        <v>20432250</v>
      </c>
      <c r="I47" s="50">
        <f>VLOOKUP($A47,'Data shares'!$C:$FB,45)*100</f>
        <v>93.589999999999989</v>
      </c>
      <c r="J47" s="49">
        <f>VLOOKUP($A47,'Data shares'!$C:$FB,58)</f>
        <v>93278250</v>
      </c>
      <c r="K47" s="49">
        <f>VLOOKUP($A47,'Data shares'!$C:$FB,59)</f>
        <v>40790250</v>
      </c>
      <c r="L47" s="50">
        <f>VLOOKUP($A47,'Data shares'!$C:$FB,61)*100</f>
        <v>128.68</v>
      </c>
      <c r="M47" s="49">
        <f>VLOOKUP($A47,'Data shares'!$C:$FB,62)</f>
        <v>41296500</v>
      </c>
      <c r="N47" s="49">
        <f>VLOOKUP($A47,'Data shares'!$C:$FB,63)</f>
        <v>25636500</v>
      </c>
      <c r="O47" s="140">
        <f>VLOOKUP($A47,'Data shares'!$C:$FB,65)*100</f>
        <v>61.08</v>
      </c>
    </row>
    <row r="48" spans="1:15" x14ac:dyDescent="0.25">
      <c r="A48" s="101" t="str">
        <f>'Data Vlaue (Cr)'!C43</f>
        <v>CDSL</v>
      </c>
      <c r="B48" s="50">
        <f>VLOOKUP($A48,'Data shares'!$C:$FB,7)</f>
        <v>1282.8</v>
      </c>
      <c r="C48" s="50">
        <f>VLOOKUP($A48,'Data shares'!$C:$FB,10)*100</f>
        <v>2.2399999999999998</v>
      </c>
      <c r="D48" s="49">
        <f>VLOOKUP($A48,'Data shares'!$C:$FB,66)</f>
        <v>26475075</v>
      </c>
      <c r="E48" s="49">
        <f>VLOOKUP($A48,'Data shares'!$C:$FB,67)</f>
        <v>17308525</v>
      </c>
      <c r="F48" s="50">
        <f>VLOOKUP($A48,'Data shares'!$C:$FB,69)*100</f>
        <v>52.959999999999994</v>
      </c>
      <c r="G48" s="49">
        <f>VLOOKUP($A48,'Data shares'!$C:$FB,42)</f>
        <v>5275350</v>
      </c>
      <c r="H48" s="49">
        <f>VLOOKUP($A48,'Data shares'!$C:$FB,43)</f>
        <v>2924575</v>
      </c>
      <c r="I48" s="50">
        <f>VLOOKUP($A48,'Data shares'!$C:$FB,45)*100</f>
        <v>80.38</v>
      </c>
      <c r="J48" s="49">
        <f>VLOOKUP($A48,'Data shares'!$C:$FB,58)</f>
        <v>15598050</v>
      </c>
      <c r="K48" s="49">
        <f>VLOOKUP($A48,'Data shares'!$C:$FB,59)</f>
        <v>10174975</v>
      </c>
      <c r="L48" s="50">
        <f>VLOOKUP($A48,'Data shares'!$C:$FB,61)*100</f>
        <v>53.300000000000004</v>
      </c>
      <c r="M48" s="49">
        <f>VLOOKUP($A48,'Data shares'!$C:$FB,62)</f>
        <v>5601675</v>
      </c>
      <c r="N48" s="49">
        <f>VLOOKUP($A48,'Data shares'!$C:$FB,63)</f>
        <v>4208975</v>
      </c>
      <c r="O48" s="140">
        <f>VLOOKUP($A48,'Data shares'!$C:$FB,65)*100</f>
        <v>33.090000000000003</v>
      </c>
    </row>
    <row r="49" spans="1:15" x14ac:dyDescent="0.25">
      <c r="A49" s="101" t="str">
        <f>'Data Vlaue (Cr)'!C44</f>
        <v>CGPOWER</v>
      </c>
      <c r="B49" s="50">
        <f>VLOOKUP($A49,'Data shares'!$C:$FB,7)</f>
        <v>828.9</v>
      </c>
      <c r="C49" s="50">
        <f>VLOOKUP($A49,'Data shares'!$C:$FB,10)*100</f>
        <v>0.24</v>
      </c>
      <c r="D49" s="49">
        <f>VLOOKUP($A49,'Data shares'!$C:$FB,66)</f>
        <v>72995450</v>
      </c>
      <c r="E49" s="49">
        <f>VLOOKUP($A49,'Data shares'!$C:$FB,67)</f>
        <v>26504700</v>
      </c>
      <c r="F49" s="50">
        <f>VLOOKUP($A49,'Data shares'!$C:$FB,69)*100</f>
        <v>175.41</v>
      </c>
      <c r="G49" s="49">
        <f>VLOOKUP($A49,'Data shares'!$C:$FB,42)</f>
        <v>13963800</v>
      </c>
      <c r="H49" s="49">
        <f>VLOOKUP($A49,'Data shares'!$C:$FB,43)</f>
        <v>5794450</v>
      </c>
      <c r="I49" s="50">
        <f>VLOOKUP($A49,'Data shares'!$C:$FB,45)*100</f>
        <v>140.98999999999998</v>
      </c>
      <c r="J49" s="49">
        <f>VLOOKUP($A49,'Data shares'!$C:$FB,58)</f>
        <v>42748200</v>
      </c>
      <c r="K49" s="49">
        <f>VLOOKUP($A49,'Data shares'!$C:$FB,59)</f>
        <v>15950250</v>
      </c>
      <c r="L49" s="50">
        <f>VLOOKUP($A49,'Data shares'!$C:$FB,61)*100</f>
        <v>168.01</v>
      </c>
      <c r="M49" s="49">
        <f>VLOOKUP($A49,'Data shares'!$C:$FB,62)</f>
        <v>16283450</v>
      </c>
      <c r="N49" s="49">
        <f>VLOOKUP($A49,'Data shares'!$C:$FB,63)</f>
        <v>4760000</v>
      </c>
      <c r="O49" s="140">
        <f>VLOOKUP($A49,'Data shares'!$C:$FB,65)*100</f>
        <v>242.09</v>
      </c>
    </row>
    <row r="50" spans="1:15" x14ac:dyDescent="0.25">
      <c r="A50" s="101" t="str">
        <f>'Data Vlaue (Cr)'!C45</f>
        <v>CHOLAFIN</v>
      </c>
      <c r="B50" s="50">
        <f>VLOOKUP($A50,'Data shares'!$C:$FB,7)</f>
        <v>1711.9</v>
      </c>
      <c r="C50" s="50">
        <f>VLOOKUP($A50,'Data shares'!$C:$FB,10)*100</f>
        <v>3.29</v>
      </c>
      <c r="D50" s="49">
        <f>VLOOKUP($A50,'Data shares'!$C:$FB,66)</f>
        <v>10986250</v>
      </c>
      <c r="E50" s="49">
        <f>VLOOKUP($A50,'Data shares'!$C:$FB,67)</f>
        <v>10246250</v>
      </c>
      <c r="F50" s="50">
        <f>VLOOKUP($A50,'Data shares'!$C:$FB,69)*100</f>
        <v>7.22</v>
      </c>
      <c r="G50" s="49">
        <f>VLOOKUP($A50,'Data shares'!$C:$FB,42)</f>
        <v>2002500</v>
      </c>
      <c r="H50" s="49">
        <f>VLOOKUP($A50,'Data shares'!$C:$FB,43)</f>
        <v>2305625</v>
      </c>
      <c r="I50" s="50">
        <f>VLOOKUP($A50,'Data shares'!$C:$FB,45)*100</f>
        <v>-13.15</v>
      </c>
      <c r="J50" s="49">
        <f>VLOOKUP($A50,'Data shares'!$C:$FB,58)</f>
        <v>5288750</v>
      </c>
      <c r="K50" s="49">
        <f>VLOOKUP($A50,'Data shares'!$C:$FB,59)</f>
        <v>4687500</v>
      </c>
      <c r="L50" s="50">
        <f>VLOOKUP($A50,'Data shares'!$C:$FB,61)*100</f>
        <v>12.83</v>
      </c>
      <c r="M50" s="49">
        <f>VLOOKUP($A50,'Data shares'!$C:$FB,62)</f>
        <v>3695000</v>
      </c>
      <c r="N50" s="49">
        <f>VLOOKUP($A50,'Data shares'!$C:$FB,63)</f>
        <v>3253125</v>
      </c>
      <c r="O50" s="140">
        <f>VLOOKUP($A50,'Data shares'!$C:$FB,65)*100</f>
        <v>13.58</v>
      </c>
    </row>
    <row r="51" spans="1:15" x14ac:dyDescent="0.25">
      <c r="A51" s="101" t="str">
        <f>'Data Vlaue (Cr)'!C46</f>
        <v>CIPLA</v>
      </c>
      <c r="B51" s="50">
        <f>VLOOKUP($A51,'Data shares'!$C:$FB,7)</f>
        <v>1364.4</v>
      </c>
      <c r="C51" s="50">
        <f>VLOOKUP($A51,'Data shares'!$C:$FB,10)*100</f>
        <v>2.2999999999999998</v>
      </c>
      <c r="D51" s="49">
        <f>VLOOKUP($A51,'Data shares'!$C:$FB,66)</f>
        <v>14708250</v>
      </c>
      <c r="E51" s="49">
        <f>VLOOKUP($A51,'Data shares'!$C:$FB,67)</f>
        <v>7026375</v>
      </c>
      <c r="F51" s="50">
        <f>VLOOKUP($A51,'Data shares'!$C:$FB,69)*100</f>
        <v>109.33</v>
      </c>
      <c r="G51" s="49">
        <f>VLOOKUP($A51,'Data shares'!$C:$FB,42)</f>
        <v>1892250</v>
      </c>
      <c r="H51" s="49">
        <f>VLOOKUP($A51,'Data shares'!$C:$FB,43)</f>
        <v>1063125</v>
      </c>
      <c r="I51" s="50">
        <f>VLOOKUP($A51,'Data shares'!$C:$FB,45)*100</f>
        <v>77.990000000000009</v>
      </c>
      <c r="J51" s="49">
        <f>VLOOKUP($A51,'Data shares'!$C:$FB,58)</f>
        <v>9480000</v>
      </c>
      <c r="K51" s="49">
        <f>VLOOKUP($A51,'Data shares'!$C:$FB,59)</f>
        <v>4023000</v>
      </c>
      <c r="L51" s="50">
        <f>VLOOKUP($A51,'Data shares'!$C:$FB,61)*100</f>
        <v>135.65</v>
      </c>
      <c r="M51" s="49">
        <f>VLOOKUP($A51,'Data shares'!$C:$FB,62)</f>
        <v>3336000</v>
      </c>
      <c r="N51" s="49">
        <f>VLOOKUP($A51,'Data shares'!$C:$FB,63)</f>
        <v>1940250</v>
      </c>
      <c r="O51" s="140">
        <f>VLOOKUP($A51,'Data shares'!$C:$FB,65)*100</f>
        <v>71.94</v>
      </c>
    </row>
    <row r="52" spans="1:15" x14ac:dyDescent="0.25">
      <c r="A52" s="101" t="str">
        <f>'Data Vlaue (Cr)'!C47</f>
        <v>COALINDIA</v>
      </c>
      <c r="B52" s="50">
        <f>VLOOKUP($A52,'Data shares'!$C:$FB,7)</f>
        <v>470.2</v>
      </c>
      <c r="C52" s="50">
        <f>VLOOKUP($A52,'Data shares'!$C:$FB,10)*100</f>
        <v>-0.51</v>
      </c>
      <c r="D52" s="49">
        <f>VLOOKUP($A52,'Data shares'!$C:$FB,66)</f>
        <v>73199700</v>
      </c>
      <c r="E52" s="49">
        <f>VLOOKUP($A52,'Data shares'!$C:$FB,67)</f>
        <v>44595900</v>
      </c>
      <c r="F52" s="50">
        <f>VLOOKUP($A52,'Data shares'!$C:$FB,69)*100</f>
        <v>64.14</v>
      </c>
      <c r="G52" s="49">
        <f>VLOOKUP($A52,'Data shares'!$C:$FB,42)</f>
        <v>9219150</v>
      </c>
      <c r="H52" s="49">
        <f>VLOOKUP($A52,'Data shares'!$C:$FB,43)</f>
        <v>4645350</v>
      </c>
      <c r="I52" s="50">
        <f>VLOOKUP($A52,'Data shares'!$C:$FB,45)*100</f>
        <v>98.460000000000008</v>
      </c>
      <c r="J52" s="49">
        <f>VLOOKUP($A52,'Data shares'!$C:$FB,58)</f>
        <v>39573900</v>
      </c>
      <c r="K52" s="49">
        <f>VLOOKUP($A52,'Data shares'!$C:$FB,59)</f>
        <v>25119450</v>
      </c>
      <c r="L52" s="50">
        <f>VLOOKUP($A52,'Data shares'!$C:$FB,61)*100</f>
        <v>57.54</v>
      </c>
      <c r="M52" s="49">
        <f>VLOOKUP($A52,'Data shares'!$C:$FB,62)</f>
        <v>24406650</v>
      </c>
      <c r="N52" s="49">
        <f>VLOOKUP($A52,'Data shares'!$C:$FB,63)</f>
        <v>14831100</v>
      </c>
      <c r="O52" s="140">
        <f>VLOOKUP($A52,'Data shares'!$C:$FB,65)*100</f>
        <v>64.56</v>
      </c>
    </row>
    <row r="53" spans="1:15" x14ac:dyDescent="0.25">
      <c r="A53" s="101" t="str">
        <f>'Data Vlaue (Cr)'!C48</f>
        <v>COCHINSHIP</v>
      </c>
      <c r="B53" s="50">
        <f>VLOOKUP($A53,'Data shares'!$C:$FB,7)</f>
        <v>1753.1</v>
      </c>
      <c r="C53" s="50">
        <f>VLOOKUP($A53,'Data shares'!$C:$FB,10)*100</f>
        <v>2.39</v>
      </c>
      <c r="D53" s="49">
        <f>VLOOKUP($A53,'Data shares'!$C:$FB,66)</f>
        <v>3762000</v>
      </c>
      <c r="E53" s="49">
        <f>VLOOKUP($A53,'Data shares'!$C:$FB,67)</f>
        <v>1476800</v>
      </c>
      <c r="F53" s="50">
        <f>VLOOKUP($A53,'Data shares'!$C:$FB,69)*100</f>
        <v>154.74</v>
      </c>
      <c r="G53" s="49">
        <f>VLOOKUP($A53,'Data shares'!$C:$FB,42)</f>
        <v>767600</v>
      </c>
      <c r="H53" s="49">
        <f>VLOOKUP($A53,'Data shares'!$C:$FB,43)</f>
        <v>517600</v>
      </c>
      <c r="I53" s="50">
        <f>VLOOKUP($A53,'Data shares'!$C:$FB,45)*100</f>
        <v>48.3</v>
      </c>
      <c r="J53" s="49">
        <f>VLOOKUP($A53,'Data shares'!$C:$FB,58)</f>
        <v>2447200</v>
      </c>
      <c r="K53" s="49">
        <f>VLOOKUP($A53,'Data shares'!$C:$FB,59)</f>
        <v>700000</v>
      </c>
      <c r="L53" s="50">
        <f>VLOOKUP($A53,'Data shares'!$C:$FB,61)*100</f>
        <v>249.6</v>
      </c>
      <c r="M53" s="49">
        <f>VLOOKUP($A53,'Data shares'!$C:$FB,62)</f>
        <v>547200</v>
      </c>
      <c r="N53" s="49">
        <f>VLOOKUP($A53,'Data shares'!$C:$FB,63)</f>
        <v>259200</v>
      </c>
      <c r="O53" s="140">
        <f>VLOOKUP($A53,'Data shares'!$C:$FB,65)*100</f>
        <v>111.11</v>
      </c>
    </row>
    <row r="54" spans="1:15" x14ac:dyDescent="0.25">
      <c r="A54" s="101" t="str">
        <f>'Data Vlaue (Cr)'!C49</f>
        <v>COFORGE</v>
      </c>
      <c r="B54" s="50">
        <f>VLOOKUP($A54,'Data shares'!$C:$FB,7)</f>
        <v>1280.4000000000001</v>
      </c>
      <c r="C54" s="50">
        <f>VLOOKUP($A54,'Data shares'!$C:$FB,10)*100</f>
        <v>9.5500000000000007</v>
      </c>
      <c r="D54" s="49">
        <f>VLOOKUP($A54,'Data shares'!$C:$FB,66)</f>
        <v>134764125</v>
      </c>
      <c r="E54" s="49">
        <f>VLOOKUP($A54,'Data shares'!$C:$FB,67)</f>
        <v>18952125</v>
      </c>
      <c r="F54" s="50">
        <f>VLOOKUP($A54,'Data shares'!$C:$FB,69)*100</f>
        <v>611.08000000000004</v>
      </c>
      <c r="G54" s="49">
        <f>VLOOKUP($A54,'Data shares'!$C:$FB,42)</f>
        <v>14543625</v>
      </c>
      <c r="H54" s="49">
        <f>VLOOKUP($A54,'Data shares'!$C:$FB,43)</f>
        <v>2612625</v>
      </c>
      <c r="I54" s="50">
        <f>VLOOKUP($A54,'Data shares'!$C:$FB,45)*100</f>
        <v>456.67</v>
      </c>
      <c r="J54" s="49">
        <f>VLOOKUP($A54,'Data shares'!$C:$FB,58)</f>
        <v>78446250</v>
      </c>
      <c r="K54" s="49">
        <f>VLOOKUP($A54,'Data shares'!$C:$FB,59)</f>
        <v>10628250</v>
      </c>
      <c r="L54" s="50">
        <f>VLOOKUP($A54,'Data shares'!$C:$FB,61)*100</f>
        <v>638.08999999999992</v>
      </c>
      <c r="M54" s="49">
        <f>VLOOKUP($A54,'Data shares'!$C:$FB,62)</f>
        <v>41774250</v>
      </c>
      <c r="N54" s="49">
        <f>VLOOKUP($A54,'Data shares'!$C:$FB,63)</f>
        <v>5711250</v>
      </c>
      <c r="O54" s="140">
        <f>VLOOKUP($A54,'Data shares'!$C:$FB,65)*100</f>
        <v>631.44000000000005</v>
      </c>
    </row>
    <row r="55" spans="1:15" x14ac:dyDescent="0.25">
      <c r="A55" s="101" t="str">
        <f>'Data Vlaue (Cr)'!C50</f>
        <v>COLPAL</v>
      </c>
      <c r="B55" s="50">
        <f>VLOOKUP($A55,'Data shares'!$C:$FB,7)</f>
        <v>2157.1</v>
      </c>
      <c r="C55" s="50">
        <f>VLOOKUP($A55,'Data shares'!$C:$FB,10)*100</f>
        <v>-1</v>
      </c>
      <c r="D55" s="49">
        <f>VLOOKUP($A55,'Data shares'!$C:$FB,66)</f>
        <v>1910025</v>
      </c>
      <c r="E55" s="49">
        <f>VLOOKUP($A55,'Data shares'!$C:$FB,67)</f>
        <v>2190825</v>
      </c>
      <c r="F55" s="50">
        <f>VLOOKUP($A55,'Data shares'!$C:$FB,69)*100</f>
        <v>-12.82</v>
      </c>
      <c r="G55" s="49">
        <f>VLOOKUP($A55,'Data shares'!$C:$FB,42)</f>
        <v>430875</v>
      </c>
      <c r="H55" s="49">
        <f>VLOOKUP($A55,'Data shares'!$C:$FB,43)</f>
        <v>534825</v>
      </c>
      <c r="I55" s="50">
        <f>VLOOKUP($A55,'Data shares'!$C:$FB,45)*100</f>
        <v>-19.439999999999998</v>
      </c>
      <c r="J55" s="49">
        <f>VLOOKUP($A55,'Data shares'!$C:$FB,58)</f>
        <v>1086075</v>
      </c>
      <c r="K55" s="49">
        <f>VLOOKUP($A55,'Data shares'!$C:$FB,59)</f>
        <v>1269900</v>
      </c>
      <c r="L55" s="50">
        <f>VLOOKUP($A55,'Data shares'!$C:$FB,61)*100</f>
        <v>-14.48</v>
      </c>
      <c r="M55" s="49">
        <f>VLOOKUP($A55,'Data shares'!$C:$FB,62)</f>
        <v>393075</v>
      </c>
      <c r="N55" s="49">
        <f>VLOOKUP($A55,'Data shares'!$C:$FB,63)</f>
        <v>386100</v>
      </c>
      <c r="O55" s="140">
        <f>VLOOKUP($A55,'Data shares'!$C:$FB,65)*100</f>
        <v>1.81</v>
      </c>
    </row>
    <row r="56" spans="1:15" x14ac:dyDescent="0.25">
      <c r="A56" s="101" t="str">
        <f>'Data Vlaue (Cr)'!C51</f>
        <v>CONCOR</v>
      </c>
      <c r="B56" s="50">
        <f>VLOOKUP($A56,'Data shares'!$C:$FB,7)</f>
        <v>524.20000000000005</v>
      </c>
      <c r="C56" s="50">
        <f>VLOOKUP($A56,'Data shares'!$C:$FB,10)*100</f>
        <v>1.1900000000000002</v>
      </c>
      <c r="D56" s="49">
        <f>VLOOKUP($A56,'Data shares'!$C:$FB,66)</f>
        <v>10140000</v>
      </c>
      <c r="E56" s="49">
        <f>VLOOKUP($A56,'Data shares'!$C:$FB,67)</f>
        <v>5158750</v>
      </c>
      <c r="F56" s="50">
        <f>VLOOKUP($A56,'Data shares'!$C:$FB,69)*100</f>
        <v>96.56</v>
      </c>
      <c r="G56" s="49">
        <f>VLOOKUP($A56,'Data shares'!$C:$FB,42)</f>
        <v>1692500</v>
      </c>
      <c r="H56" s="49">
        <f>VLOOKUP($A56,'Data shares'!$C:$FB,43)</f>
        <v>1177500</v>
      </c>
      <c r="I56" s="50">
        <f>VLOOKUP($A56,'Data shares'!$C:$FB,45)*100</f>
        <v>43.74</v>
      </c>
      <c r="J56" s="49">
        <f>VLOOKUP($A56,'Data shares'!$C:$FB,58)</f>
        <v>6432500</v>
      </c>
      <c r="K56" s="49">
        <f>VLOOKUP($A56,'Data shares'!$C:$FB,59)</f>
        <v>3285000</v>
      </c>
      <c r="L56" s="50">
        <f>VLOOKUP($A56,'Data shares'!$C:$FB,61)*100</f>
        <v>95.81</v>
      </c>
      <c r="M56" s="49">
        <f>VLOOKUP($A56,'Data shares'!$C:$FB,62)</f>
        <v>2015000</v>
      </c>
      <c r="N56" s="49">
        <f>VLOOKUP($A56,'Data shares'!$C:$FB,63)</f>
        <v>696250</v>
      </c>
      <c r="O56" s="140">
        <f>VLOOKUP($A56,'Data shares'!$C:$FB,65)*100</f>
        <v>189.41</v>
      </c>
    </row>
    <row r="57" spans="1:15" x14ac:dyDescent="0.25">
      <c r="A57" s="101" t="str">
        <f>'Data Vlaue (Cr)'!C52</f>
        <v>CROMPTON</v>
      </c>
      <c r="B57" s="50">
        <f>VLOOKUP($A57,'Data shares'!$C:$FB,7)</f>
        <v>284.05</v>
      </c>
      <c r="C57" s="50">
        <f>VLOOKUP($A57,'Data shares'!$C:$FB,10)*100</f>
        <v>3.1</v>
      </c>
      <c r="D57" s="49">
        <f>VLOOKUP($A57,'Data shares'!$C:$FB,66)</f>
        <v>57204000</v>
      </c>
      <c r="E57" s="49">
        <f>VLOOKUP($A57,'Data shares'!$C:$FB,67)</f>
        <v>21112200</v>
      </c>
      <c r="F57" s="50">
        <f>VLOOKUP($A57,'Data shares'!$C:$FB,69)*100</f>
        <v>170.95</v>
      </c>
      <c r="G57" s="49">
        <f>VLOOKUP($A57,'Data shares'!$C:$FB,42)</f>
        <v>13397400</v>
      </c>
      <c r="H57" s="49">
        <f>VLOOKUP($A57,'Data shares'!$C:$FB,43)</f>
        <v>6633000</v>
      </c>
      <c r="I57" s="50">
        <f>VLOOKUP($A57,'Data shares'!$C:$FB,45)*100</f>
        <v>101.98</v>
      </c>
      <c r="J57" s="49">
        <f>VLOOKUP($A57,'Data shares'!$C:$FB,58)</f>
        <v>34668000</v>
      </c>
      <c r="K57" s="49">
        <f>VLOOKUP($A57,'Data shares'!$C:$FB,59)</f>
        <v>10360800</v>
      </c>
      <c r="L57" s="50">
        <f>VLOOKUP($A57,'Data shares'!$C:$FB,61)*100</f>
        <v>234.60999999999999</v>
      </c>
      <c r="M57" s="49">
        <f>VLOOKUP($A57,'Data shares'!$C:$FB,62)</f>
        <v>9138600</v>
      </c>
      <c r="N57" s="49">
        <f>VLOOKUP($A57,'Data shares'!$C:$FB,63)</f>
        <v>4118400</v>
      </c>
      <c r="O57" s="140">
        <f>VLOOKUP($A57,'Data shares'!$C:$FB,65)*100</f>
        <v>121.9</v>
      </c>
    </row>
    <row r="58" spans="1:15" x14ac:dyDescent="0.25">
      <c r="A58" s="101" t="str">
        <f>'Data Vlaue (Cr)'!C53</f>
        <v>CUMMINSIND</v>
      </c>
      <c r="B58" s="50">
        <f>VLOOKUP($A58,'Data shares'!$C:$FB,7)</f>
        <v>5324.5</v>
      </c>
      <c r="C58" s="50">
        <f>VLOOKUP($A58,'Data shares'!$C:$FB,10)*100</f>
        <v>1.23</v>
      </c>
      <c r="D58" s="49">
        <f>VLOOKUP($A58,'Data shares'!$C:$FB,66)</f>
        <v>2774200</v>
      </c>
      <c r="E58" s="49">
        <f>VLOOKUP($A58,'Data shares'!$C:$FB,67)</f>
        <v>1105400</v>
      </c>
      <c r="F58" s="50">
        <f>VLOOKUP($A58,'Data shares'!$C:$FB,69)*100</f>
        <v>150.97</v>
      </c>
      <c r="G58" s="49">
        <f>VLOOKUP($A58,'Data shares'!$C:$FB,42)</f>
        <v>744200</v>
      </c>
      <c r="H58" s="49">
        <f>VLOOKUP($A58,'Data shares'!$C:$FB,43)</f>
        <v>380800</v>
      </c>
      <c r="I58" s="50">
        <f>VLOOKUP($A58,'Data shares'!$C:$FB,45)*100</f>
        <v>95.43</v>
      </c>
      <c r="J58" s="49">
        <f>VLOOKUP($A58,'Data shares'!$C:$FB,58)</f>
        <v>1323800</v>
      </c>
      <c r="K58" s="49">
        <f>VLOOKUP($A58,'Data shares'!$C:$FB,59)</f>
        <v>458400</v>
      </c>
      <c r="L58" s="50">
        <f>VLOOKUP($A58,'Data shares'!$C:$FB,61)*100</f>
        <v>188.79</v>
      </c>
      <c r="M58" s="49">
        <f>VLOOKUP($A58,'Data shares'!$C:$FB,62)</f>
        <v>706200</v>
      </c>
      <c r="N58" s="49">
        <f>VLOOKUP($A58,'Data shares'!$C:$FB,63)</f>
        <v>266200</v>
      </c>
      <c r="O58" s="140">
        <f>VLOOKUP($A58,'Data shares'!$C:$FB,65)*100</f>
        <v>165.29</v>
      </c>
    </row>
    <row r="59" spans="1:15" x14ac:dyDescent="0.25">
      <c r="A59" s="101" t="str">
        <f>'Data Vlaue (Cr)'!C54</f>
        <v>DABUR</v>
      </c>
      <c r="B59" s="50">
        <f>VLOOKUP($A59,'Data shares'!$C:$FB,7)</f>
        <v>466.25</v>
      </c>
      <c r="C59" s="50">
        <f>VLOOKUP($A59,'Data shares'!$C:$FB,10)*100</f>
        <v>1.24</v>
      </c>
      <c r="D59" s="49">
        <f>VLOOKUP($A59,'Data shares'!$C:$FB,66)</f>
        <v>30672500</v>
      </c>
      <c r="E59" s="49">
        <f>VLOOKUP($A59,'Data shares'!$C:$FB,67)</f>
        <v>30943750</v>
      </c>
      <c r="F59" s="50">
        <f>VLOOKUP($A59,'Data shares'!$C:$FB,69)*100</f>
        <v>-0.88</v>
      </c>
      <c r="G59" s="49">
        <f>VLOOKUP($A59,'Data shares'!$C:$FB,42)</f>
        <v>5061250</v>
      </c>
      <c r="H59" s="49">
        <f>VLOOKUP($A59,'Data shares'!$C:$FB,43)</f>
        <v>5200000</v>
      </c>
      <c r="I59" s="50">
        <f>VLOOKUP($A59,'Data shares'!$C:$FB,45)*100</f>
        <v>-2.67</v>
      </c>
      <c r="J59" s="49">
        <f>VLOOKUP($A59,'Data shares'!$C:$FB,58)</f>
        <v>20451250</v>
      </c>
      <c r="K59" s="49">
        <f>VLOOKUP($A59,'Data shares'!$C:$FB,59)</f>
        <v>20632500</v>
      </c>
      <c r="L59" s="50">
        <f>VLOOKUP($A59,'Data shares'!$C:$FB,61)*100</f>
        <v>-0.88</v>
      </c>
      <c r="M59" s="49">
        <f>VLOOKUP($A59,'Data shares'!$C:$FB,62)</f>
        <v>5160000</v>
      </c>
      <c r="N59" s="49">
        <f>VLOOKUP($A59,'Data shares'!$C:$FB,63)</f>
        <v>5111250</v>
      </c>
      <c r="O59" s="140">
        <f>VLOOKUP($A59,'Data shares'!$C:$FB,65)*100</f>
        <v>0.95</v>
      </c>
    </row>
    <row r="60" spans="1:15" x14ac:dyDescent="0.25">
      <c r="A60" s="101" t="str">
        <f>'Data Vlaue (Cr)'!C55</f>
        <v>DALBHARAT</v>
      </c>
      <c r="B60" s="50">
        <f>VLOOKUP($A60,'Data shares'!$C:$FB,7)</f>
        <v>1974.6</v>
      </c>
      <c r="C60" s="50">
        <f>VLOOKUP($A60,'Data shares'!$C:$FB,10)*100</f>
        <v>0.33</v>
      </c>
      <c r="D60" s="49">
        <f>VLOOKUP($A60,'Data shares'!$C:$FB,66)</f>
        <v>2241525</v>
      </c>
      <c r="E60" s="49">
        <f>VLOOKUP($A60,'Data shares'!$C:$FB,67)</f>
        <v>1677975</v>
      </c>
      <c r="F60" s="50">
        <f>VLOOKUP($A60,'Data shares'!$C:$FB,69)*100</f>
        <v>33.589999999999996</v>
      </c>
      <c r="G60" s="49">
        <f>VLOOKUP($A60,'Data shares'!$C:$FB,42)</f>
        <v>539175</v>
      </c>
      <c r="H60" s="49">
        <f>VLOOKUP($A60,'Data shares'!$C:$FB,43)</f>
        <v>611325</v>
      </c>
      <c r="I60" s="50">
        <f>VLOOKUP($A60,'Data shares'!$C:$FB,45)*100</f>
        <v>-11.799999999999999</v>
      </c>
      <c r="J60" s="49">
        <f>VLOOKUP($A60,'Data shares'!$C:$FB,58)</f>
        <v>1390350</v>
      </c>
      <c r="K60" s="49">
        <f>VLOOKUP($A60,'Data shares'!$C:$FB,59)</f>
        <v>776100</v>
      </c>
      <c r="L60" s="50">
        <f>VLOOKUP($A60,'Data shares'!$C:$FB,61)*100</f>
        <v>79.149999999999991</v>
      </c>
      <c r="M60" s="49">
        <f>VLOOKUP($A60,'Data shares'!$C:$FB,62)</f>
        <v>312000</v>
      </c>
      <c r="N60" s="49">
        <f>VLOOKUP($A60,'Data shares'!$C:$FB,63)</f>
        <v>290550</v>
      </c>
      <c r="O60" s="140">
        <f>VLOOKUP($A60,'Data shares'!$C:$FB,65)*100</f>
        <v>7.3800000000000008</v>
      </c>
    </row>
    <row r="61" spans="1:15" x14ac:dyDescent="0.25">
      <c r="A61" s="101" t="str">
        <f>'Data Vlaue (Cr)'!C56</f>
        <v>DELHIVERY</v>
      </c>
      <c r="B61" s="50">
        <f>VLOOKUP($A61,'Data shares'!$C:$FB,7)</f>
        <v>471</v>
      </c>
      <c r="C61" s="50">
        <f>VLOOKUP($A61,'Data shares'!$C:$FB,10)*100</f>
        <v>2.5</v>
      </c>
      <c r="D61" s="49">
        <f>VLOOKUP($A61,'Data shares'!$C:$FB,66)</f>
        <v>17932150</v>
      </c>
      <c r="E61" s="49">
        <f>VLOOKUP($A61,'Data shares'!$C:$FB,67)</f>
        <v>41282125</v>
      </c>
      <c r="F61" s="50">
        <f>VLOOKUP($A61,'Data shares'!$C:$FB,69)*100</f>
        <v>-56.56</v>
      </c>
      <c r="G61" s="49">
        <f>VLOOKUP($A61,'Data shares'!$C:$FB,42)</f>
        <v>5490450</v>
      </c>
      <c r="H61" s="49">
        <f>VLOOKUP($A61,'Data shares'!$C:$FB,43)</f>
        <v>10476675</v>
      </c>
      <c r="I61" s="50">
        <f>VLOOKUP($A61,'Data shares'!$C:$FB,45)*100</f>
        <v>-47.589999999999996</v>
      </c>
      <c r="J61" s="49">
        <f>VLOOKUP($A61,'Data shares'!$C:$FB,58)</f>
        <v>7970075</v>
      </c>
      <c r="K61" s="49">
        <f>VLOOKUP($A61,'Data shares'!$C:$FB,59)</f>
        <v>13286225</v>
      </c>
      <c r="L61" s="50">
        <f>VLOOKUP($A61,'Data shares'!$C:$FB,61)*100</f>
        <v>-40.01</v>
      </c>
      <c r="M61" s="49">
        <f>VLOOKUP($A61,'Data shares'!$C:$FB,62)</f>
        <v>4471625</v>
      </c>
      <c r="N61" s="49">
        <f>VLOOKUP($A61,'Data shares'!$C:$FB,63)</f>
        <v>17519225</v>
      </c>
      <c r="O61" s="140">
        <f>VLOOKUP($A61,'Data shares'!$C:$FB,65)*100</f>
        <v>-74.48</v>
      </c>
    </row>
    <row r="62" spans="1:15" x14ac:dyDescent="0.25">
      <c r="A62" s="101" t="str">
        <f>'Data Vlaue (Cr)'!C57</f>
        <v>DIVISLAB</v>
      </c>
      <c r="B62" s="50">
        <f>VLOOKUP($A62,'Data shares'!$C:$FB,7)</f>
        <v>6702</v>
      </c>
      <c r="C62" s="50">
        <f>VLOOKUP($A62,'Data shares'!$C:$FB,10)*100</f>
        <v>0.77</v>
      </c>
      <c r="D62" s="49">
        <f>VLOOKUP($A62,'Data shares'!$C:$FB,66)</f>
        <v>1936500</v>
      </c>
      <c r="E62" s="49">
        <f>VLOOKUP($A62,'Data shares'!$C:$FB,67)</f>
        <v>1332200</v>
      </c>
      <c r="F62" s="50">
        <f>VLOOKUP($A62,'Data shares'!$C:$FB,69)*100</f>
        <v>45.36</v>
      </c>
      <c r="G62" s="49">
        <f>VLOOKUP($A62,'Data shares'!$C:$FB,42)</f>
        <v>312900</v>
      </c>
      <c r="H62" s="49">
        <f>VLOOKUP($A62,'Data shares'!$C:$FB,43)</f>
        <v>159800</v>
      </c>
      <c r="I62" s="50">
        <f>VLOOKUP($A62,'Data shares'!$C:$FB,45)*100</f>
        <v>95.81</v>
      </c>
      <c r="J62" s="49">
        <f>VLOOKUP($A62,'Data shares'!$C:$FB,58)</f>
        <v>1120400</v>
      </c>
      <c r="K62" s="49">
        <f>VLOOKUP($A62,'Data shares'!$C:$FB,59)</f>
        <v>815800</v>
      </c>
      <c r="L62" s="50">
        <f>VLOOKUP($A62,'Data shares'!$C:$FB,61)*100</f>
        <v>37.340000000000003</v>
      </c>
      <c r="M62" s="49">
        <f>VLOOKUP($A62,'Data shares'!$C:$FB,62)</f>
        <v>503200</v>
      </c>
      <c r="N62" s="49">
        <f>VLOOKUP($A62,'Data shares'!$C:$FB,63)</f>
        <v>356600</v>
      </c>
      <c r="O62" s="140">
        <f>VLOOKUP($A62,'Data shares'!$C:$FB,65)*100</f>
        <v>41.11</v>
      </c>
    </row>
    <row r="63" spans="1:15" x14ac:dyDescent="0.25">
      <c r="A63" s="101" t="str">
        <f>'Data Vlaue (Cr)'!C58</f>
        <v>DIXON</v>
      </c>
      <c r="B63" s="50">
        <f>VLOOKUP($A63,'Data shares'!$C:$FB,7)</f>
        <v>11299</v>
      </c>
      <c r="C63" s="50">
        <f>VLOOKUP($A63,'Data shares'!$C:$FB,10)*100</f>
        <v>0.41000000000000003</v>
      </c>
      <c r="D63" s="49">
        <f>VLOOKUP($A63,'Data shares'!$C:$FB,66)</f>
        <v>2038300</v>
      </c>
      <c r="E63" s="49">
        <f>VLOOKUP($A63,'Data shares'!$C:$FB,67)</f>
        <v>3002950</v>
      </c>
      <c r="F63" s="50">
        <f>VLOOKUP($A63,'Data shares'!$C:$FB,69)*100</f>
        <v>-32.119999999999997</v>
      </c>
      <c r="G63" s="49">
        <f>VLOOKUP($A63,'Data shares'!$C:$FB,42)</f>
        <v>484600</v>
      </c>
      <c r="H63" s="49">
        <f>VLOOKUP($A63,'Data shares'!$C:$FB,43)</f>
        <v>721400</v>
      </c>
      <c r="I63" s="50">
        <f>VLOOKUP($A63,'Data shares'!$C:$FB,45)*100</f>
        <v>-32.83</v>
      </c>
      <c r="J63" s="49">
        <f>VLOOKUP($A63,'Data shares'!$C:$FB,58)</f>
        <v>1076250</v>
      </c>
      <c r="K63" s="49">
        <f>VLOOKUP($A63,'Data shares'!$C:$FB,59)</f>
        <v>1501000</v>
      </c>
      <c r="L63" s="50">
        <f>VLOOKUP($A63,'Data shares'!$C:$FB,61)*100</f>
        <v>-28.299999999999997</v>
      </c>
      <c r="M63" s="49">
        <f>VLOOKUP($A63,'Data shares'!$C:$FB,62)</f>
        <v>477450</v>
      </c>
      <c r="N63" s="49">
        <f>VLOOKUP($A63,'Data shares'!$C:$FB,63)</f>
        <v>780550</v>
      </c>
      <c r="O63" s="140">
        <f>VLOOKUP($A63,'Data shares'!$C:$FB,65)*100</f>
        <v>-38.83</v>
      </c>
    </row>
    <row r="64" spans="1:15" x14ac:dyDescent="0.25">
      <c r="A64" s="101" t="str">
        <f>'Data Vlaue (Cr)'!C59</f>
        <v>DLF</v>
      </c>
      <c r="B64" s="50">
        <f>VLOOKUP($A64,'Data shares'!$C:$FB,7)</f>
        <v>609.6</v>
      </c>
      <c r="C64" s="50">
        <f>VLOOKUP($A64,'Data shares'!$C:$FB,10)*100</f>
        <v>2.06</v>
      </c>
      <c r="D64" s="49">
        <f>VLOOKUP($A64,'Data shares'!$C:$FB,66)</f>
        <v>20649750</v>
      </c>
      <c r="E64" s="49">
        <f>VLOOKUP($A64,'Data shares'!$C:$FB,67)</f>
        <v>19297575</v>
      </c>
      <c r="F64" s="50">
        <f>VLOOKUP($A64,'Data shares'!$C:$FB,69)*100</f>
        <v>7.01</v>
      </c>
      <c r="G64" s="49">
        <f>VLOOKUP($A64,'Data shares'!$C:$FB,42)</f>
        <v>4624125</v>
      </c>
      <c r="H64" s="49">
        <f>VLOOKUP($A64,'Data shares'!$C:$FB,43)</f>
        <v>4134900</v>
      </c>
      <c r="I64" s="50">
        <f>VLOOKUP($A64,'Data shares'!$C:$FB,45)*100</f>
        <v>11.83</v>
      </c>
      <c r="J64" s="49">
        <f>VLOOKUP($A64,'Data shares'!$C:$FB,58)</f>
        <v>11169675</v>
      </c>
      <c r="K64" s="49">
        <f>VLOOKUP($A64,'Data shares'!$C:$FB,59)</f>
        <v>10402425</v>
      </c>
      <c r="L64" s="50">
        <f>VLOOKUP($A64,'Data shares'!$C:$FB,61)*100</f>
        <v>7.3800000000000008</v>
      </c>
      <c r="M64" s="49">
        <f>VLOOKUP($A64,'Data shares'!$C:$FB,62)</f>
        <v>4855950</v>
      </c>
      <c r="N64" s="49">
        <f>VLOOKUP($A64,'Data shares'!$C:$FB,63)</f>
        <v>4760250</v>
      </c>
      <c r="O64" s="140">
        <f>VLOOKUP($A64,'Data shares'!$C:$FB,65)*100</f>
        <v>2.0099999999999998</v>
      </c>
    </row>
    <row r="65" spans="1:15" x14ac:dyDescent="0.25">
      <c r="A65" s="101" t="str">
        <f>'Data Vlaue (Cr)'!C60</f>
        <v>DMART</v>
      </c>
      <c r="B65" s="50">
        <f>VLOOKUP($A65,'Data shares'!$C:$FB,7)</f>
        <v>4432.2</v>
      </c>
      <c r="C65" s="50">
        <f>VLOOKUP($A65,'Data shares'!$C:$FB,10)*100</f>
        <v>1.69</v>
      </c>
      <c r="D65" s="49">
        <f>VLOOKUP($A65,'Data shares'!$C:$FB,66)</f>
        <v>4987650</v>
      </c>
      <c r="E65" s="49">
        <f>VLOOKUP($A65,'Data shares'!$C:$FB,67)</f>
        <v>5492100</v>
      </c>
      <c r="F65" s="50">
        <f>VLOOKUP($A65,'Data shares'!$C:$FB,69)*100</f>
        <v>-9.19</v>
      </c>
      <c r="G65" s="49">
        <f>VLOOKUP($A65,'Data shares'!$C:$FB,42)</f>
        <v>541500</v>
      </c>
      <c r="H65" s="49">
        <f>VLOOKUP($A65,'Data shares'!$C:$FB,43)</f>
        <v>481500</v>
      </c>
      <c r="I65" s="50">
        <f>VLOOKUP($A65,'Data shares'!$C:$FB,45)*100</f>
        <v>12.46</v>
      </c>
      <c r="J65" s="49">
        <f>VLOOKUP($A65,'Data shares'!$C:$FB,58)</f>
        <v>3235650</v>
      </c>
      <c r="K65" s="49">
        <f>VLOOKUP($A65,'Data shares'!$C:$FB,59)</f>
        <v>3534750</v>
      </c>
      <c r="L65" s="50">
        <f>VLOOKUP($A65,'Data shares'!$C:$FB,61)*100</f>
        <v>-8.4599999999999991</v>
      </c>
      <c r="M65" s="49">
        <f>VLOOKUP($A65,'Data shares'!$C:$FB,62)</f>
        <v>1210500</v>
      </c>
      <c r="N65" s="49">
        <f>VLOOKUP($A65,'Data shares'!$C:$FB,63)</f>
        <v>1475850</v>
      </c>
      <c r="O65" s="140">
        <f>VLOOKUP($A65,'Data shares'!$C:$FB,65)*100</f>
        <v>-17.98</v>
      </c>
    </row>
    <row r="66" spans="1:15" x14ac:dyDescent="0.25">
      <c r="A66" s="101" t="str">
        <f>'Data Vlaue (Cr)'!C61</f>
        <v>DRREDDY</v>
      </c>
      <c r="B66" s="50">
        <f>VLOOKUP($A66,'Data shares'!$C:$FB,7)</f>
        <v>1311</v>
      </c>
      <c r="C66" s="50">
        <f>VLOOKUP($A66,'Data shares'!$C:$FB,10)*100</f>
        <v>3.1300000000000003</v>
      </c>
      <c r="D66" s="49">
        <f>VLOOKUP($A66,'Data shares'!$C:$FB,66)</f>
        <v>38280625</v>
      </c>
      <c r="E66" s="49">
        <f>VLOOKUP($A66,'Data shares'!$C:$FB,67)</f>
        <v>14960000</v>
      </c>
      <c r="F66" s="50">
        <f>VLOOKUP($A66,'Data shares'!$C:$FB,69)*100</f>
        <v>155.88999999999999</v>
      </c>
      <c r="G66" s="49">
        <f>VLOOKUP($A66,'Data shares'!$C:$FB,42)</f>
        <v>5038750</v>
      </c>
      <c r="H66" s="49">
        <f>VLOOKUP($A66,'Data shares'!$C:$FB,43)</f>
        <v>2926875</v>
      </c>
      <c r="I66" s="50">
        <f>VLOOKUP($A66,'Data shares'!$C:$FB,45)*100</f>
        <v>72.150000000000006</v>
      </c>
      <c r="J66" s="49">
        <f>VLOOKUP($A66,'Data shares'!$C:$FB,58)</f>
        <v>23827500</v>
      </c>
      <c r="K66" s="49">
        <f>VLOOKUP($A66,'Data shares'!$C:$FB,59)</f>
        <v>8281875</v>
      </c>
      <c r="L66" s="50">
        <f>VLOOKUP($A66,'Data shares'!$C:$FB,61)*100</f>
        <v>187.71</v>
      </c>
      <c r="M66" s="49">
        <f>VLOOKUP($A66,'Data shares'!$C:$FB,62)</f>
        <v>9414375</v>
      </c>
      <c r="N66" s="49">
        <f>VLOOKUP($A66,'Data shares'!$C:$FB,63)</f>
        <v>3751250</v>
      </c>
      <c r="O66" s="140">
        <f>VLOOKUP($A66,'Data shares'!$C:$FB,65)*100</f>
        <v>150.97</v>
      </c>
    </row>
    <row r="67" spans="1:15" x14ac:dyDescent="0.25">
      <c r="A67" s="101" t="str">
        <f>'Data Vlaue (Cr)'!C62</f>
        <v>EICHERMOT</v>
      </c>
      <c r="B67" s="50">
        <f>VLOOKUP($A67,'Data shares'!$C:$FB,7)</f>
        <v>7310.5</v>
      </c>
      <c r="C67" s="50">
        <f>VLOOKUP($A67,'Data shares'!$C:$FB,10)*100</f>
        <v>0.12</v>
      </c>
      <c r="D67" s="49">
        <f>VLOOKUP($A67,'Data shares'!$C:$FB,66)</f>
        <v>2771200</v>
      </c>
      <c r="E67" s="49">
        <f>VLOOKUP($A67,'Data shares'!$C:$FB,67)</f>
        <v>1992400</v>
      </c>
      <c r="F67" s="50">
        <f>VLOOKUP($A67,'Data shares'!$C:$FB,69)*100</f>
        <v>39.090000000000003</v>
      </c>
      <c r="G67" s="49">
        <f>VLOOKUP($A67,'Data shares'!$C:$FB,42)</f>
        <v>605100</v>
      </c>
      <c r="H67" s="49">
        <f>VLOOKUP($A67,'Data shares'!$C:$FB,43)</f>
        <v>440100</v>
      </c>
      <c r="I67" s="50">
        <f>VLOOKUP($A67,'Data shares'!$C:$FB,45)*100</f>
        <v>37.49</v>
      </c>
      <c r="J67" s="49">
        <f>VLOOKUP($A67,'Data shares'!$C:$FB,58)</f>
        <v>1437800</v>
      </c>
      <c r="K67" s="49">
        <f>VLOOKUP($A67,'Data shares'!$C:$FB,59)</f>
        <v>992000</v>
      </c>
      <c r="L67" s="50">
        <f>VLOOKUP($A67,'Data shares'!$C:$FB,61)*100</f>
        <v>44.940000000000005</v>
      </c>
      <c r="M67" s="49">
        <f>VLOOKUP($A67,'Data shares'!$C:$FB,62)</f>
        <v>728300</v>
      </c>
      <c r="N67" s="49">
        <f>VLOOKUP($A67,'Data shares'!$C:$FB,63)</f>
        <v>560300</v>
      </c>
      <c r="O67" s="140">
        <f>VLOOKUP($A67,'Data shares'!$C:$FB,65)*100</f>
        <v>29.98</v>
      </c>
    </row>
    <row r="68" spans="1:15" x14ac:dyDescent="0.25">
      <c r="A68" s="101" t="str">
        <f>'Data Vlaue (Cr)'!C63</f>
        <v>ETERNAL</v>
      </c>
      <c r="B68" s="50">
        <f>VLOOKUP($A68,'Data shares'!$C:$FB,7)</f>
        <v>256.05</v>
      </c>
      <c r="C68" s="50">
        <f>VLOOKUP($A68,'Data shares'!$C:$FB,10)*100</f>
        <v>3.05</v>
      </c>
      <c r="D68" s="49">
        <f>VLOOKUP($A68,'Data shares'!$C:$FB,66)</f>
        <v>169257725</v>
      </c>
      <c r="E68" s="49">
        <f>VLOOKUP($A68,'Data shares'!$C:$FB,67)</f>
        <v>115095350</v>
      </c>
      <c r="F68" s="50">
        <f>VLOOKUP($A68,'Data shares'!$C:$FB,69)*100</f>
        <v>47.06</v>
      </c>
      <c r="G68" s="49">
        <f>VLOOKUP($A68,'Data shares'!$C:$FB,42)</f>
        <v>32317975</v>
      </c>
      <c r="H68" s="49">
        <f>VLOOKUP($A68,'Data shares'!$C:$FB,43)</f>
        <v>21293925</v>
      </c>
      <c r="I68" s="50">
        <f>VLOOKUP($A68,'Data shares'!$C:$FB,45)*100</f>
        <v>51.77</v>
      </c>
      <c r="J68" s="49">
        <f>VLOOKUP($A68,'Data shares'!$C:$FB,58)</f>
        <v>86109325</v>
      </c>
      <c r="K68" s="49">
        <f>VLOOKUP($A68,'Data shares'!$C:$FB,59)</f>
        <v>59041475</v>
      </c>
      <c r="L68" s="50">
        <f>VLOOKUP($A68,'Data shares'!$C:$FB,61)*100</f>
        <v>45.85</v>
      </c>
      <c r="M68" s="49">
        <f>VLOOKUP($A68,'Data shares'!$C:$FB,62)</f>
        <v>50830425</v>
      </c>
      <c r="N68" s="49">
        <f>VLOOKUP($A68,'Data shares'!$C:$FB,63)</f>
        <v>34759950</v>
      </c>
      <c r="O68" s="140">
        <f>VLOOKUP($A68,'Data shares'!$C:$FB,65)*100</f>
        <v>46.23</v>
      </c>
    </row>
    <row r="69" spans="1:15" x14ac:dyDescent="0.25">
      <c r="A69" s="101" t="str">
        <f>'Data Vlaue (Cr)'!C64</f>
        <v>EXIDEIND</v>
      </c>
      <c r="B69" s="50">
        <f>VLOOKUP($A69,'Data shares'!$C:$FB,7)</f>
        <v>351.7</v>
      </c>
      <c r="C69" s="50">
        <f>VLOOKUP($A69,'Data shares'!$C:$FB,10)*100</f>
        <v>-2.62</v>
      </c>
      <c r="D69" s="49">
        <f>VLOOKUP($A69,'Data shares'!$C:$FB,66)</f>
        <v>96818400</v>
      </c>
      <c r="E69" s="49">
        <f>VLOOKUP($A69,'Data shares'!$C:$FB,67)</f>
        <v>46773000</v>
      </c>
      <c r="F69" s="50">
        <f>VLOOKUP($A69,'Data shares'!$C:$FB,69)*100</f>
        <v>107</v>
      </c>
      <c r="G69" s="49">
        <f>VLOOKUP($A69,'Data shares'!$C:$FB,42)</f>
        <v>16774200</v>
      </c>
      <c r="H69" s="49">
        <f>VLOOKUP($A69,'Data shares'!$C:$FB,43)</f>
        <v>6589800</v>
      </c>
      <c r="I69" s="50">
        <f>VLOOKUP($A69,'Data shares'!$C:$FB,45)*100</f>
        <v>154.55000000000001</v>
      </c>
      <c r="J69" s="49">
        <f>VLOOKUP($A69,'Data shares'!$C:$FB,58)</f>
        <v>48468600</v>
      </c>
      <c r="K69" s="49">
        <f>VLOOKUP($A69,'Data shares'!$C:$FB,59)</f>
        <v>29536200</v>
      </c>
      <c r="L69" s="50">
        <f>VLOOKUP($A69,'Data shares'!$C:$FB,61)*100</f>
        <v>64.099999999999994</v>
      </c>
      <c r="M69" s="49">
        <f>VLOOKUP($A69,'Data shares'!$C:$FB,62)</f>
        <v>31575600</v>
      </c>
      <c r="N69" s="49">
        <f>VLOOKUP($A69,'Data shares'!$C:$FB,63)</f>
        <v>10647000</v>
      </c>
      <c r="O69" s="140">
        <f>VLOOKUP($A69,'Data shares'!$C:$FB,65)*100</f>
        <v>196.57</v>
      </c>
    </row>
    <row r="70" spans="1:15" x14ac:dyDescent="0.25">
      <c r="A70" s="101" t="str">
        <f>'Data Vlaue (Cr)'!C65</f>
        <v>FEDERALBNK</v>
      </c>
      <c r="B70" s="50">
        <f>VLOOKUP($A70,'Data shares'!$C:$FB,7)</f>
        <v>293</v>
      </c>
      <c r="C70" s="50">
        <f>VLOOKUP($A70,'Data shares'!$C:$FB,10)*100</f>
        <v>0.13999999999999999</v>
      </c>
      <c r="D70" s="49">
        <f>VLOOKUP($A70,'Data shares'!$C:$FB,66)</f>
        <v>77022500</v>
      </c>
      <c r="E70" s="49">
        <f>VLOOKUP($A70,'Data shares'!$C:$FB,67)</f>
        <v>80585000</v>
      </c>
      <c r="F70" s="50">
        <f>VLOOKUP($A70,'Data shares'!$C:$FB,69)*100</f>
        <v>-4.42</v>
      </c>
      <c r="G70" s="49">
        <f>VLOOKUP($A70,'Data shares'!$C:$FB,42)</f>
        <v>15532500</v>
      </c>
      <c r="H70" s="49">
        <f>VLOOKUP($A70,'Data shares'!$C:$FB,43)</f>
        <v>12675000</v>
      </c>
      <c r="I70" s="50">
        <f>VLOOKUP($A70,'Data shares'!$C:$FB,45)*100</f>
        <v>22.54</v>
      </c>
      <c r="J70" s="49">
        <f>VLOOKUP($A70,'Data shares'!$C:$FB,58)</f>
        <v>41932500</v>
      </c>
      <c r="K70" s="49">
        <f>VLOOKUP($A70,'Data shares'!$C:$FB,59)</f>
        <v>47640000</v>
      </c>
      <c r="L70" s="50">
        <f>VLOOKUP($A70,'Data shares'!$C:$FB,61)*100</f>
        <v>-11.98</v>
      </c>
      <c r="M70" s="49">
        <f>VLOOKUP($A70,'Data shares'!$C:$FB,62)</f>
        <v>19557500</v>
      </c>
      <c r="N70" s="49">
        <f>VLOOKUP($A70,'Data shares'!$C:$FB,63)</f>
        <v>20270000</v>
      </c>
      <c r="O70" s="140">
        <f>VLOOKUP($A70,'Data shares'!$C:$FB,65)*100</f>
        <v>-3.52</v>
      </c>
    </row>
    <row r="71" spans="1:15" x14ac:dyDescent="0.25">
      <c r="A71" s="101" t="str">
        <f>'Data Vlaue (Cr)'!C66</f>
        <v>FINNIFTY</v>
      </c>
      <c r="B71" s="50">
        <f>VLOOKUP($A71,'Data shares'!$C:$FB,7)</f>
        <v>26392.75</v>
      </c>
      <c r="C71" s="50">
        <f>VLOOKUP($A71,'Data shares'!$C:$FB,10)*100</f>
        <v>2.63</v>
      </c>
      <c r="D71" s="49">
        <f>VLOOKUP($A71,'Data shares'!$C:$FB,66)</f>
        <v>695220</v>
      </c>
      <c r="E71" s="49">
        <f>VLOOKUP($A71,'Data shares'!$C:$FB,67)</f>
        <v>396240</v>
      </c>
      <c r="F71" s="50">
        <f>VLOOKUP($A71,'Data shares'!$C:$FB,69)*100</f>
        <v>75.449999999999989</v>
      </c>
      <c r="G71" s="49">
        <f>VLOOKUP($A71,'Data shares'!$C:$FB,42)</f>
        <v>15000</v>
      </c>
      <c r="H71" s="49">
        <f>VLOOKUP($A71,'Data shares'!$C:$FB,43)</f>
        <v>6060</v>
      </c>
      <c r="I71" s="50">
        <f>VLOOKUP($A71,'Data shares'!$C:$FB,45)*100</f>
        <v>147.52000000000001</v>
      </c>
      <c r="J71" s="49">
        <f>VLOOKUP($A71,'Data shares'!$C:$FB,58)</f>
        <v>371460</v>
      </c>
      <c r="K71" s="49">
        <f>VLOOKUP($A71,'Data shares'!$C:$FB,59)</f>
        <v>245340</v>
      </c>
      <c r="L71" s="50">
        <f>VLOOKUP($A71,'Data shares'!$C:$FB,61)*100</f>
        <v>51.41</v>
      </c>
      <c r="M71" s="49">
        <f>VLOOKUP($A71,'Data shares'!$C:$FB,62)</f>
        <v>308760</v>
      </c>
      <c r="N71" s="49">
        <f>VLOOKUP($A71,'Data shares'!$C:$FB,63)</f>
        <v>144840</v>
      </c>
      <c r="O71" s="140">
        <f>VLOOKUP($A71,'Data shares'!$C:$FB,65)*100</f>
        <v>113.16999999999999</v>
      </c>
    </row>
    <row r="72" spans="1:15" x14ac:dyDescent="0.25">
      <c r="A72" s="101" t="str">
        <f>'Data Vlaue (Cr)'!C67</f>
        <v>FORCEMOT</v>
      </c>
      <c r="B72" s="50">
        <f>VLOOKUP($A72,'Data shares'!$C:$FB,7)</f>
        <v>20173</v>
      </c>
      <c r="C72" s="50">
        <f>VLOOKUP($A72,'Data shares'!$C:$FB,10)*100</f>
        <v>6.38</v>
      </c>
      <c r="D72" s="49">
        <f>VLOOKUP($A72,'Data shares'!$C:$FB,66)</f>
        <v>954875</v>
      </c>
      <c r="E72" s="49">
        <f>VLOOKUP($A72,'Data shares'!$C:$FB,67)</f>
        <v>262750</v>
      </c>
      <c r="F72" s="50">
        <f>VLOOKUP($A72,'Data shares'!$C:$FB,69)*100</f>
        <v>263.41999999999996</v>
      </c>
      <c r="G72" s="49">
        <f>VLOOKUP($A72,'Data shares'!$C:$FB,42)</f>
        <v>136025</v>
      </c>
      <c r="H72" s="49">
        <f>VLOOKUP($A72,'Data shares'!$C:$FB,43)</f>
        <v>59825</v>
      </c>
      <c r="I72" s="50">
        <f>VLOOKUP($A72,'Data shares'!$C:$FB,45)*100</f>
        <v>127.37</v>
      </c>
      <c r="J72" s="49">
        <f>VLOOKUP($A72,'Data shares'!$C:$FB,58)</f>
        <v>626125</v>
      </c>
      <c r="K72" s="49">
        <f>VLOOKUP($A72,'Data shares'!$C:$FB,59)</f>
        <v>140500</v>
      </c>
      <c r="L72" s="50">
        <f>VLOOKUP($A72,'Data shares'!$C:$FB,61)*100</f>
        <v>345.64</v>
      </c>
      <c r="M72" s="49">
        <f>VLOOKUP($A72,'Data shares'!$C:$FB,62)</f>
        <v>192725</v>
      </c>
      <c r="N72" s="49">
        <f>VLOOKUP($A72,'Data shares'!$C:$FB,63)</f>
        <v>62425</v>
      </c>
      <c r="O72" s="140">
        <f>VLOOKUP($A72,'Data shares'!$C:$FB,65)*100</f>
        <v>208.73</v>
      </c>
    </row>
    <row r="73" spans="1:15" x14ac:dyDescent="0.25">
      <c r="A73" s="101" t="str">
        <f>'Data Vlaue (Cr)'!C68</f>
        <v>FORTIS</v>
      </c>
      <c r="B73" s="50">
        <f>VLOOKUP($A73,'Data shares'!$C:$FB,7)</f>
        <v>956.9</v>
      </c>
      <c r="C73" s="50">
        <f>VLOOKUP($A73,'Data shares'!$C:$FB,10)*100</f>
        <v>0.77</v>
      </c>
      <c r="D73" s="49">
        <f>VLOOKUP($A73,'Data shares'!$C:$FB,66)</f>
        <v>3003900</v>
      </c>
      <c r="E73" s="49">
        <f>VLOOKUP($A73,'Data shares'!$C:$FB,67)</f>
        <v>2311050</v>
      </c>
      <c r="F73" s="50">
        <f>VLOOKUP($A73,'Data shares'!$C:$FB,69)*100</f>
        <v>29.98</v>
      </c>
      <c r="G73" s="49">
        <f>VLOOKUP($A73,'Data shares'!$C:$FB,42)</f>
        <v>847850</v>
      </c>
      <c r="H73" s="49">
        <f>VLOOKUP($A73,'Data shares'!$C:$FB,43)</f>
        <v>638600</v>
      </c>
      <c r="I73" s="50">
        <f>VLOOKUP($A73,'Data shares'!$C:$FB,45)*100</f>
        <v>32.769999999999996</v>
      </c>
      <c r="J73" s="49">
        <f>VLOOKUP($A73,'Data shares'!$C:$FB,58)</f>
        <v>1643000</v>
      </c>
      <c r="K73" s="49">
        <f>VLOOKUP($A73,'Data shares'!$C:$FB,59)</f>
        <v>1245425</v>
      </c>
      <c r="L73" s="50">
        <f>VLOOKUP($A73,'Data shares'!$C:$FB,61)*100</f>
        <v>31.919999999999998</v>
      </c>
      <c r="M73" s="49">
        <f>VLOOKUP($A73,'Data shares'!$C:$FB,62)</f>
        <v>513050</v>
      </c>
      <c r="N73" s="49">
        <f>VLOOKUP($A73,'Data shares'!$C:$FB,63)</f>
        <v>427025</v>
      </c>
      <c r="O73" s="140">
        <f>VLOOKUP($A73,'Data shares'!$C:$FB,65)*100</f>
        <v>20.150000000000002</v>
      </c>
    </row>
    <row r="74" spans="1:15" x14ac:dyDescent="0.25">
      <c r="A74" s="101" t="str">
        <f>'Data Vlaue (Cr)'!C69</f>
        <v>GAIL</v>
      </c>
      <c r="B74" s="50">
        <f>VLOOKUP($A74,'Data shares'!$C:$FB,7)</f>
        <v>165.68</v>
      </c>
      <c r="C74" s="50">
        <f>VLOOKUP($A74,'Data shares'!$C:$FB,10)*100</f>
        <v>1.21</v>
      </c>
      <c r="D74" s="49">
        <f>VLOOKUP($A74,'Data shares'!$C:$FB,66)</f>
        <v>24428250</v>
      </c>
      <c r="E74" s="49">
        <f>VLOOKUP($A74,'Data shares'!$C:$FB,67)</f>
        <v>27527850</v>
      </c>
      <c r="F74" s="50">
        <f>VLOOKUP($A74,'Data shares'!$C:$FB,69)*100</f>
        <v>-11.26</v>
      </c>
      <c r="G74" s="49">
        <f>VLOOKUP($A74,'Data shares'!$C:$FB,42)</f>
        <v>4917150</v>
      </c>
      <c r="H74" s="49">
        <f>VLOOKUP($A74,'Data shares'!$C:$FB,43)</f>
        <v>9616950</v>
      </c>
      <c r="I74" s="50">
        <f>VLOOKUP($A74,'Data shares'!$C:$FB,45)*100</f>
        <v>-48.870000000000005</v>
      </c>
      <c r="J74" s="49">
        <f>VLOOKUP($A74,'Data shares'!$C:$FB,58)</f>
        <v>13189050</v>
      </c>
      <c r="K74" s="49">
        <f>VLOOKUP($A74,'Data shares'!$C:$FB,59)</f>
        <v>11314800</v>
      </c>
      <c r="L74" s="50">
        <f>VLOOKUP($A74,'Data shares'!$C:$FB,61)*100</f>
        <v>16.559999999999999</v>
      </c>
      <c r="M74" s="49">
        <f>VLOOKUP($A74,'Data shares'!$C:$FB,62)</f>
        <v>6322050</v>
      </c>
      <c r="N74" s="49">
        <f>VLOOKUP($A74,'Data shares'!$C:$FB,63)</f>
        <v>6596100</v>
      </c>
      <c r="O74" s="140">
        <f>VLOOKUP($A74,'Data shares'!$C:$FB,65)*100</f>
        <v>-4.1500000000000004</v>
      </c>
    </row>
    <row r="75" spans="1:15" x14ac:dyDescent="0.25">
      <c r="A75" s="101" t="str">
        <f>'Data Vlaue (Cr)'!C70</f>
        <v>GLENMARK</v>
      </c>
      <c r="B75" s="50">
        <f>VLOOKUP($A75,'Data shares'!$C:$FB,7)</f>
        <v>2377.6</v>
      </c>
      <c r="C75" s="50">
        <f>VLOOKUP($A75,'Data shares'!$C:$FB,10)*100</f>
        <v>-1.67</v>
      </c>
      <c r="D75" s="49">
        <f>VLOOKUP($A75,'Data shares'!$C:$FB,66)</f>
        <v>8385000</v>
      </c>
      <c r="E75" s="49">
        <f>VLOOKUP($A75,'Data shares'!$C:$FB,67)</f>
        <v>4078500</v>
      </c>
      <c r="F75" s="50">
        <f>VLOOKUP($A75,'Data shares'!$C:$FB,69)*100</f>
        <v>105.59</v>
      </c>
      <c r="G75" s="49">
        <f>VLOOKUP($A75,'Data shares'!$C:$FB,42)</f>
        <v>3293625</v>
      </c>
      <c r="H75" s="49">
        <f>VLOOKUP($A75,'Data shares'!$C:$FB,43)</f>
        <v>1207500</v>
      </c>
      <c r="I75" s="50">
        <f>VLOOKUP($A75,'Data shares'!$C:$FB,45)*100</f>
        <v>172.76</v>
      </c>
      <c r="J75" s="49">
        <f>VLOOKUP($A75,'Data shares'!$C:$FB,58)</f>
        <v>3506250</v>
      </c>
      <c r="K75" s="49">
        <f>VLOOKUP($A75,'Data shares'!$C:$FB,59)</f>
        <v>2071500</v>
      </c>
      <c r="L75" s="50">
        <f>VLOOKUP($A75,'Data shares'!$C:$FB,61)*100</f>
        <v>69.260000000000005</v>
      </c>
      <c r="M75" s="49">
        <f>VLOOKUP($A75,'Data shares'!$C:$FB,62)</f>
        <v>1585125</v>
      </c>
      <c r="N75" s="49">
        <f>VLOOKUP($A75,'Data shares'!$C:$FB,63)</f>
        <v>799500</v>
      </c>
      <c r="O75" s="140">
        <f>VLOOKUP($A75,'Data shares'!$C:$FB,65)*100</f>
        <v>98.26</v>
      </c>
    </row>
    <row r="76" spans="1:15" x14ac:dyDescent="0.25">
      <c r="A76" s="101" t="str">
        <f>'Data Vlaue (Cr)'!C71</f>
        <v>GMRAIRPORT</v>
      </c>
      <c r="B76" s="50">
        <f>VLOOKUP($A76,'Data shares'!$C:$FB,7)</f>
        <v>99.23</v>
      </c>
      <c r="C76" s="50">
        <f>VLOOKUP($A76,'Data shares'!$C:$FB,10)*100</f>
        <v>2.33</v>
      </c>
      <c r="D76" s="49">
        <f>VLOOKUP($A76,'Data shares'!$C:$FB,66)</f>
        <v>129211875</v>
      </c>
      <c r="E76" s="49">
        <f>VLOOKUP($A76,'Data shares'!$C:$FB,67)</f>
        <v>85918050</v>
      </c>
      <c r="F76" s="50">
        <f>VLOOKUP($A76,'Data shares'!$C:$FB,69)*100</f>
        <v>50.39</v>
      </c>
      <c r="G76" s="49">
        <f>VLOOKUP($A76,'Data shares'!$C:$FB,42)</f>
        <v>29197350</v>
      </c>
      <c r="H76" s="49">
        <f>VLOOKUP($A76,'Data shares'!$C:$FB,43)</f>
        <v>21601575</v>
      </c>
      <c r="I76" s="50">
        <f>VLOOKUP($A76,'Data shares'!$C:$FB,45)*100</f>
        <v>35.160000000000004</v>
      </c>
      <c r="J76" s="49">
        <f>VLOOKUP($A76,'Data shares'!$C:$FB,58)</f>
        <v>74883600</v>
      </c>
      <c r="K76" s="49">
        <f>VLOOKUP($A76,'Data shares'!$C:$FB,59)</f>
        <v>42568425</v>
      </c>
      <c r="L76" s="50">
        <f>VLOOKUP($A76,'Data shares'!$C:$FB,61)*100</f>
        <v>75.91</v>
      </c>
      <c r="M76" s="49">
        <f>VLOOKUP($A76,'Data shares'!$C:$FB,62)</f>
        <v>25130925</v>
      </c>
      <c r="N76" s="49">
        <f>VLOOKUP($A76,'Data shares'!$C:$FB,63)</f>
        <v>21748050</v>
      </c>
      <c r="O76" s="140">
        <f>VLOOKUP($A76,'Data shares'!$C:$FB,65)*100</f>
        <v>15.55</v>
      </c>
    </row>
    <row r="77" spans="1:15" x14ac:dyDescent="0.25">
      <c r="A77" s="101" t="str">
        <f>'Data Vlaue (Cr)'!C72</f>
        <v>GODFRYPHLP</v>
      </c>
      <c r="B77" s="50">
        <f>VLOOKUP($A77,'Data shares'!$C:$FB,7)</f>
        <v>2308</v>
      </c>
      <c r="C77" s="50">
        <f>VLOOKUP($A77,'Data shares'!$C:$FB,10)*100</f>
        <v>3.1</v>
      </c>
      <c r="D77" s="49">
        <f>VLOOKUP($A77,'Data shares'!$C:$FB,66)</f>
        <v>3007675</v>
      </c>
      <c r="E77" s="49">
        <f>VLOOKUP($A77,'Data shares'!$C:$FB,67)</f>
        <v>909700</v>
      </c>
      <c r="F77" s="50">
        <f>VLOOKUP($A77,'Data shares'!$C:$FB,69)*100</f>
        <v>230.62</v>
      </c>
      <c r="G77" s="49">
        <f>VLOOKUP($A77,'Data shares'!$C:$FB,42)</f>
        <v>1091475</v>
      </c>
      <c r="H77" s="49">
        <f>VLOOKUP($A77,'Data shares'!$C:$FB,43)</f>
        <v>357225</v>
      </c>
      <c r="I77" s="50">
        <f>VLOOKUP($A77,'Data shares'!$C:$FB,45)*100</f>
        <v>205.54000000000002</v>
      </c>
      <c r="J77" s="49">
        <f>VLOOKUP($A77,'Data shares'!$C:$FB,58)</f>
        <v>1434950</v>
      </c>
      <c r="K77" s="49">
        <f>VLOOKUP($A77,'Data shares'!$C:$FB,59)</f>
        <v>438900</v>
      </c>
      <c r="L77" s="50">
        <f>VLOOKUP($A77,'Data shares'!$C:$FB,61)*100</f>
        <v>226.94</v>
      </c>
      <c r="M77" s="49">
        <f>VLOOKUP($A77,'Data shares'!$C:$FB,62)</f>
        <v>481250</v>
      </c>
      <c r="N77" s="49">
        <f>VLOOKUP($A77,'Data shares'!$C:$FB,63)</f>
        <v>113575</v>
      </c>
      <c r="O77" s="140">
        <f>VLOOKUP($A77,'Data shares'!$C:$FB,65)*100</f>
        <v>323.72999999999996</v>
      </c>
    </row>
    <row r="78" spans="1:15" x14ac:dyDescent="0.25">
      <c r="A78" s="101" t="str">
        <f>'Data Vlaue (Cr)'!C73</f>
        <v>GODREJCP</v>
      </c>
      <c r="B78" s="50">
        <f>VLOOKUP($A78,'Data shares'!$C:$FB,7)</f>
        <v>1094.0999999999999</v>
      </c>
      <c r="C78" s="50">
        <f>VLOOKUP($A78,'Data shares'!$C:$FB,10)*100</f>
        <v>-0.67</v>
      </c>
      <c r="D78" s="49">
        <f>VLOOKUP($A78,'Data shares'!$C:$FB,66)</f>
        <v>11738500</v>
      </c>
      <c r="E78" s="49">
        <f>VLOOKUP($A78,'Data shares'!$C:$FB,67)</f>
        <v>5420500</v>
      </c>
      <c r="F78" s="50">
        <f>VLOOKUP($A78,'Data shares'!$C:$FB,69)*100</f>
        <v>116.56</v>
      </c>
      <c r="G78" s="49">
        <f>VLOOKUP($A78,'Data shares'!$C:$FB,42)</f>
        <v>1981500</v>
      </c>
      <c r="H78" s="49">
        <f>VLOOKUP($A78,'Data shares'!$C:$FB,43)</f>
        <v>1905500</v>
      </c>
      <c r="I78" s="50">
        <f>VLOOKUP($A78,'Data shares'!$C:$FB,45)*100</f>
        <v>3.9899999999999998</v>
      </c>
      <c r="J78" s="49">
        <f>VLOOKUP($A78,'Data shares'!$C:$FB,58)</f>
        <v>6980500</v>
      </c>
      <c r="K78" s="49">
        <f>VLOOKUP($A78,'Data shares'!$C:$FB,59)</f>
        <v>2456500</v>
      </c>
      <c r="L78" s="50">
        <f>VLOOKUP($A78,'Data shares'!$C:$FB,61)*100</f>
        <v>184.16</v>
      </c>
      <c r="M78" s="49">
        <f>VLOOKUP($A78,'Data shares'!$C:$FB,62)</f>
        <v>2776500</v>
      </c>
      <c r="N78" s="49">
        <f>VLOOKUP($A78,'Data shares'!$C:$FB,63)</f>
        <v>1058500</v>
      </c>
      <c r="O78" s="140">
        <f>VLOOKUP($A78,'Data shares'!$C:$FB,65)*100</f>
        <v>162.31</v>
      </c>
    </row>
    <row r="79" spans="1:15" x14ac:dyDescent="0.25">
      <c r="A79" s="101" t="str">
        <f>'Data Vlaue (Cr)'!C74</f>
        <v>GODREJPROP</v>
      </c>
      <c r="B79" s="50">
        <f>VLOOKUP($A79,'Data shares'!$C:$FB,7)</f>
        <v>1867.2</v>
      </c>
      <c r="C79" s="50">
        <f>VLOOKUP($A79,'Data shares'!$C:$FB,10)*100</f>
        <v>3.19</v>
      </c>
      <c r="D79" s="49">
        <f>VLOOKUP($A79,'Data shares'!$C:$FB,66)</f>
        <v>7759400</v>
      </c>
      <c r="E79" s="49">
        <f>VLOOKUP($A79,'Data shares'!$C:$FB,67)</f>
        <v>19368800</v>
      </c>
      <c r="F79" s="50">
        <f>VLOOKUP($A79,'Data shares'!$C:$FB,69)*100</f>
        <v>-59.940000000000005</v>
      </c>
      <c r="G79" s="49">
        <f>VLOOKUP($A79,'Data shares'!$C:$FB,42)</f>
        <v>1298275</v>
      </c>
      <c r="H79" s="49">
        <f>VLOOKUP($A79,'Data shares'!$C:$FB,43)</f>
        <v>2984575</v>
      </c>
      <c r="I79" s="50">
        <f>VLOOKUP($A79,'Data shares'!$C:$FB,45)*100</f>
        <v>-56.499999999999993</v>
      </c>
      <c r="J79" s="49">
        <f>VLOOKUP($A79,'Data shares'!$C:$FB,58)</f>
        <v>4673625</v>
      </c>
      <c r="K79" s="49">
        <f>VLOOKUP($A79,'Data shares'!$C:$FB,59)</f>
        <v>10355400</v>
      </c>
      <c r="L79" s="50">
        <f>VLOOKUP($A79,'Data shares'!$C:$FB,61)*100</f>
        <v>-54.87</v>
      </c>
      <c r="M79" s="49">
        <f>VLOOKUP($A79,'Data shares'!$C:$FB,62)</f>
        <v>1787500</v>
      </c>
      <c r="N79" s="49">
        <f>VLOOKUP($A79,'Data shares'!$C:$FB,63)</f>
        <v>6028825</v>
      </c>
      <c r="O79" s="140">
        <f>VLOOKUP($A79,'Data shares'!$C:$FB,65)*100</f>
        <v>-70.349999999999994</v>
      </c>
    </row>
    <row r="80" spans="1:15" x14ac:dyDescent="0.25">
      <c r="A80" s="101" t="str">
        <f>'Data Vlaue (Cr)'!C75</f>
        <v>GRASIM</v>
      </c>
      <c r="B80" s="50">
        <f>VLOOKUP($A80,'Data shares'!$C:$FB,7)</f>
        <v>2914.8</v>
      </c>
      <c r="C80" s="50">
        <f>VLOOKUP($A80,'Data shares'!$C:$FB,10)*100</f>
        <v>1.51</v>
      </c>
      <c r="D80" s="49">
        <f>VLOOKUP($A80,'Data shares'!$C:$FB,66)</f>
        <v>3255000</v>
      </c>
      <c r="E80" s="49">
        <f>VLOOKUP($A80,'Data shares'!$C:$FB,67)</f>
        <v>2301500</v>
      </c>
      <c r="F80" s="50">
        <f>VLOOKUP($A80,'Data shares'!$C:$FB,69)*100</f>
        <v>41.43</v>
      </c>
      <c r="G80" s="49">
        <f>VLOOKUP($A80,'Data shares'!$C:$FB,42)</f>
        <v>878750</v>
      </c>
      <c r="H80" s="49">
        <f>VLOOKUP($A80,'Data shares'!$C:$FB,43)</f>
        <v>740250</v>
      </c>
      <c r="I80" s="50">
        <f>VLOOKUP($A80,'Data shares'!$C:$FB,45)*100</f>
        <v>18.709999999999997</v>
      </c>
      <c r="J80" s="49">
        <f>VLOOKUP($A80,'Data shares'!$C:$FB,58)</f>
        <v>1240500</v>
      </c>
      <c r="K80" s="49">
        <f>VLOOKUP($A80,'Data shares'!$C:$FB,59)</f>
        <v>1089500</v>
      </c>
      <c r="L80" s="50">
        <f>VLOOKUP($A80,'Data shares'!$C:$FB,61)*100</f>
        <v>13.86</v>
      </c>
      <c r="M80" s="49">
        <f>VLOOKUP($A80,'Data shares'!$C:$FB,62)</f>
        <v>1135750</v>
      </c>
      <c r="N80" s="49">
        <f>VLOOKUP($A80,'Data shares'!$C:$FB,63)</f>
        <v>471750</v>
      </c>
      <c r="O80" s="140">
        <f>VLOOKUP($A80,'Data shares'!$C:$FB,65)*100</f>
        <v>140.75</v>
      </c>
    </row>
    <row r="81" spans="1:15" x14ac:dyDescent="0.25">
      <c r="A81" s="101" t="str">
        <f>'Data Vlaue (Cr)'!C76</f>
        <v>HAL</v>
      </c>
      <c r="B81" s="50">
        <f>VLOOKUP($A81,'Data shares'!$C:$FB,7)</f>
        <v>4626.8999999999996</v>
      </c>
      <c r="C81" s="50">
        <f>VLOOKUP($A81,'Data shares'!$C:$FB,10)*100</f>
        <v>0.36</v>
      </c>
      <c r="D81" s="49">
        <f>VLOOKUP($A81,'Data shares'!$C:$FB,66)</f>
        <v>5676150</v>
      </c>
      <c r="E81" s="49">
        <f>VLOOKUP($A81,'Data shares'!$C:$FB,67)</f>
        <v>12163350</v>
      </c>
      <c r="F81" s="50">
        <f>VLOOKUP($A81,'Data shares'!$C:$FB,69)*100</f>
        <v>-53.33</v>
      </c>
      <c r="G81" s="49">
        <f>VLOOKUP($A81,'Data shares'!$C:$FB,42)</f>
        <v>846450</v>
      </c>
      <c r="H81" s="49">
        <f>VLOOKUP($A81,'Data shares'!$C:$FB,43)</f>
        <v>1402800</v>
      </c>
      <c r="I81" s="50">
        <f>VLOOKUP($A81,'Data shares'!$C:$FB,45)*100</f>
        <v>-39.660000000000004</v>
      </c>
      <c r="J81" s="49">
        <f>VLOOKUP($A81,'Data shares'!$C:$FB,58)</f>
        <v>3125700</v>
      </c>
      <c r="K81" s="49">
        <f>VLOOKUP($A81,'Data shares'!$C:$FB,59)</f>
        <v>7720800</v>
      </c>
      <c r="L81" s="50">
        <f>VLOOKUP($A81,'Data shares'!$C:$FB,61)*100</f>
        <v>-59.519999999999996</v>
      </c>
      <c r="M81" s="49">
        <f>VLOOKUP($A81,'Data shares'!$C:$FB,62)</f>
        <v>1704000</v>
      </c>
      <c r="N81" s="49">
        <f>VLOOKUP($A81,'Data shares'!$C:$FB,63)</f>
        <v>3039750</v>
      </c>
      <c r="O81" s="140">
        <f>VLOOKUP($A81,'Data shares'!$C:$FB,65)*100</f>
        <v>-43.94</v>
      </c>
    </row>
    <row r="82" spans="1:15" x14ac:dyDescent="0.25">
      <c r="A82" s="101" t="str">
        <f>'Data Vlaue (Cr)'!C77</f>
        <v>HAVELLS</v>
      </c>
      <c r="B82" s="50">
        <f>VLOOKUP($A82,'Data shares'!$C:$FB,7)</f>
        <v>1257.3</v>
      </c>
      <c r="C82" s="50">
        <f>VLOOKUP($A82,'Data shares'!$C:$FB,10)*100</f>
        <v>1.43</v>
      </c>
      <c r="D82" s="49">
        <f>VLOOKUP($A82,'Data shares'!$C:$FB,66)</f>
        <v>6257000</v>
      </c>
      <c r="E82" s="49">
        <f>VLOOKUP($A82,'Data shares'!$C:$FB,67)</f>
        <v>7618000</v>
      </c>
      <c r="F82" s="50">
        <f>VLOOKUP($A82,'Data shares'!$C:$FB,69)*100</f>
        <v>-17.87</v>
      </c>
      <c r="G82" s="49">
        <f>VLOOKUP($A82,'Data shares'!$C:$FB,42)</f>
        <v>1563500</v>
      </c>
      <c r="H82" s="49">
        <f>VLOOKUP($A82,'Data shares'!$C:$FB,43)</f>
        <v>1215000</v>
      </c>
      <c r="I82" s="50">
        <f>VLOOKUP($A82,'Data shares'!$C:$FB,45)*100</f>
        <v>28.68</v>
      </c>
      <c r="J82" s="49">
        <f>VLOOKUP($A82,'Data shares'!$C:$FB,58)</f>
        <v>3360500</v>
      </c>
      <c r="K82" s="49">
        <f>VLOOKUP($A82,'Data shares'!$C:$FB,59)</f>
        <v>4612000</v>
      </c>
      <c r="L82" s="50">
        <f>VLOOKUP($A82,'Data shares'!$C:$FB,61)*100</f>
        <v>-27.139999999999997</v>
      </c>
      <c r="M82" s="49">
        <f>VLOOKUP($A82,'Data shares'!$C:$FB,62)</f>
        <v>1333000</v>
      </c>
      <c r="N82" s="49">
        <f>VLOOKUP($A82,'Data shares'!$C:$FB,63)</f>
        <v>1791000</v>
      </c>
      <c r="O82" s="140">
        <f>VLOOKUP($A82,'Data shares'!$C:$FB,65)*100</f>
        <v>-25.569999999999997</v>
      </c>
    </row>
    <row r="83" spans="1:15" x14ac:dyDescent="0.25">
      <c r="A83" s="101" t="str">
        <f>'Data Vlaue (Cr)'!C78</f>
        <v>HCLTECH</v>
      </c>
      <c r="B83" s="50">
        <f>VLOOKUP($A83,'Data shares'!$C:$FB,7)</f>
        <v>1189.0999999999999</v>
      </c>
      <c r="C83" s="50">
        <f>VLOOKUP($A83,'Data shares'!$C:$FB,10)*100</f>
        <v>-0.91999999999999993</v>
      </c>
      <c r="D83" s="49">
        <f>VLOOKUP($A83,'Data shares'!$C:$FB,66)</f>
        <v>28787850</v>
      </c>
      <c r="E83" s="49">
        <f>VLOOKUP($A83,'Data shares'!$C:$FB,67)</f>
        <v>14850500</v>
      </c>
      <c r="F83" s="50">
        <f>VLOOKUP($A83,'Data shares'!$C:$FB,69)*100</f>
        <v>93.85</v>
      </c>
      <c r="G83" s="49">
        <f>VLOOKUP($A83,'Data shares'!$C:$FB,42)</f>
        <v>4976300</v>
      </c>
      <c r="H83" s="49">
        <f>VLOOKUP($A83,'Data shares'!$C:$FB,43)</f>
        <v>1826300</v>
      </c>
      <c r="I83" s="50">
        <f>VLOOKUP($A83,'Data shares'!$C:$FB,45)*100</f>
        <v>172.48000000000002</v>
      </c>
      <c r="J83" s="49">
        <f>VLOOKUP($A83,'Data shares'!$C:$FB,58)</f>
        <v>16937200</v>
      </c>
      <c r="K83" s="49">
        <f>VLOOKUP($A83,'Data shares'!$C:$FB,59)</f>
        <v>8587250</v>
      </c>
      <c r="L83" s="50">
        <f>VLOOKUP($A83,'Data shares'!$C:$FB,61)*100</f>
        <v>97.240000000000009</v>
      </c>
      <c r="M83" s="49">
        <f>VLOOKUP($A83,'Data shares'!$C:$FB,62)</f>
        <v>6874350</v>
      </c>
      <c r="N83" s="49">
        <f>VLOOKUP($A83,'Data shares'!$C:$FB,63)</f>
        <v>4436950</v>
      </c>
      <c r="O83" s="140">
        <f>VLOOKUP($A83,'Data shares'!$C:$FB,65)*100</f>
        <v>54.93</v>
      </c>
    </row>
    <row r="84" spans="1:15" x14ac:dyDescent="0.25">
      <c r="A84" s="101" t="str">
        <f>'Data Vlaue (Cr)'!C79</f>
        <v>HDFCAMC</v>
      </c>
      <c r="B84" s="50">
        <f>VLOOKUP($A84,'Data shares'!$C:$FB,7)</f>
        <v>2815.9</v>
      </c>
      <c r="C84" s="50">
        <f>VLOOKUP($A84,'Data shares'!$C:$FB,10)*100</f>
        <v>0.33999999999999997</v>
      </c>
      <c r="D84" s="49">
        <f>VLOOKUP($A84,'Data shares'!$C:$FB,66)</f>
        <v>3755700</v>
      </c>
      <c r="E84" s="49">
        <f>VLOOKUP($A84,'Data shares'!$C:$FB,67)</f>
        <v>6280800</v>
      </c>
      <c r="F84" s="50">
        <f>VLOOKUP($A84,'Data shares'!$C:$FB,69)*100</f>
        <v>-40.200000000000003</v>
      </c>
      <c r="G84" s="49">
        <f>VLOOKUP($A84,'Data shares'!$C:$FB,42)</f>
        <v>987600</v>
      </c>
      <c r="H84" s="49">
        <f>VLOOKUP($A84,'Data shares'!$C:$FB,43)</f>
        <v>1157400</v>
      </c>
      <c r="I84" s="50">
        <f>VLOOKUP($A84,'Data shares'!$C:$FB,45)*100</f>
        <v>-14.67</v>
      </c>
      <c r="J84" s="49">
        <f>VLOOKUP($A84,'Data shares'!$C:$FB,58)</f>
        <v>1941900</v>
      </c>
      <c r="K84" s="49">
        <f>VLOOKUP($A84,'Data shares'!$C:$FB,59)</f>
        <v>4091100</v>
      </c>
      <c r="L84" s="50">
        <f>VLOOKUP($A84,'Data shares'!$C:$FB,61)*100</f>
        <v>-52.53</v>
      </c>
      <c r="M84" s="49">
        <f>VLOOKUP($A84,'Data shares'!$C:$FB,62)</f>
        <v>826200</v>
      </c>
      <c r="N84" s="49">
        <f>VLOOKUP($A84,'Data shares'!$C:$FB,63)</f>
        <v>1032300</v>
      </c>
      <c r="O84" s="140">
        <f>VLOOKUP($A84,'Data shares'!$C:$FB,65)*100</f>
        <v>-19.97</v>
      </c>
    </row>
    <row r="85" spans="1:15" x14ac:dyDescent="0.25">
      <c r="A85" s="101" t="str">
        <f>'Data Vlaue (Cr)'!C80</f>
        <v>HDFCBANK</v>
      </c>
      <c r="B85" s="50">
        <f>VLOOKUP($A85,'Data shares'!$C:$FB,7)</f>
        <v>796.55</v>
      </c>
      <c r="C85" s="50">
        <f>VLOOKUP($A85,'Data shares'!$C:$FB,10)*100</f>
        <v>3.1399999999999997</v>
      </c>
      <c r="D85" s="49">
        <f>VLOOKUP($A85,'Data shares'!$C:$FB,66)</f>
        <v>237721000</v>
      </c>
      <c r="E85" s="49">
        <f>VLOOKUP($A85,'Data shares'!$C:$FB,67)</f>
        <v>126233800</v>
      </c>
      <c r="F85" s="50">
        <f>VLOOKUP($A85,'Data shares'!$C:$FB,69)*100</f>
        <v>88.32</v>
      </c>
      <c r="G85" s="49">
        <f>VLOOKUP($A85,'Data shares'!$C:$FB,42)</f>
        <v>31156950</v>
      </c>
      <c r="H85" s="49">
        <f>VLOOKUP($A85,'Data shares'!$C:$FB,43)</f>
        <v>23093400</v>
      </c>
      <c r="I85" s="50">
        <f>VLOOKUP($A85,'Data shares'!$C:$FB,45)*100</f>
        <v>34.92</v>
      </c>
      <c r="J85" s="49">
        <f>VLOOKUP($A85,'Data shares'!$C:$FB,58)</f>
        <v>135298350</v>
      </c>
      <c r="K85" s="49">
        <f>VLOOKUP($A85,'Data shares'!$C:$FB,59)</f>
        <v>71738150</v>
      </c>
      <c r="L85" s="50">
        <f>VLOOKUP($A85,'Data shares'!$C:$FB,61)*100</f>
        <v>88.6</v>
      </c>
      <c r="M85" s="49">
        <f>VLOOKUP($A85,'Data shares'!$C:$FB,62)</f>
        <v>71265700</v>
      </c>
      <c r="N85" s="49">
        <f>VLOOKUP($A85,'Data shares'!$C:$FB,63)</f>
        <v>31402250</v>
      </c>
      <c r="O85" s="140">
        <f>VLOOKUP($A85,'Data shares'!$C:$FB,65)*100</f>
        <v>126.94000000000001</v>
      </c>
    </row>
    <row r="86" spans="1:15" x14ac:dyDescent="0.25">
      <c r="A86" s="101" t="str">
        <f>'Data Vlaue (Cr)'!C81</f>
        <v>HDFCLIFE</v>
      </c>
      <c r="B86" s="50">
        <f>VLOOKUP($A86,'Data shares'!$C:$FB,7)</f>
        <v>606.35</v>
      </c>
      <c r="C86" s="50">
        <f>VLOOKUP($A86,'Data shares'!$C:$FB,10)*100</f>
        <v>2.06</v>
      </c>
      <c r="D86" s="49">
        <f>VLOOKUP($A86,'Data shares'!$C:$FB,66)</f>
        <v>89230900</v>
      </c>
      <c r="E86" s="49">
        <f>VLOOKUP($A86,'Data shares'!$C:$FB,67)</f>
        <v>38805800</v>
      </c>
      <c r="F86" s="50">
        <f>VLOOKUP($A86,'Data shares'!$C:$FB,69)*100</f>
        <v>129.94</v>
      </c>
      <c r="G86" s="49">
        <f>VLOOKUP($A86,'Data shares'!$C:$FB,42)</f>
        <v>21462100</v>
      </c>
      <c r="H86" s="49">
        <f>VLOOKUP($A86,'Data shares'!$C:$FB,43)</f>
        <v>6515300</v>
      </c>
      <c r="I86" s="50">
        <f>VLOOKUP($A86,'Data shares'!$C:$FB,45)*100</f>
        <v>229.40999999999997</v>
      </c>
      <c r="J86" s="49">
        <f>VLOOKUP($A86,'Data shares'!$C:$FB,58)</f>
        <v>49823400</v>
      </c>
      <c r="K86" s="49">
        <f>VLOOKUP($A86,'Data shares'!$C:$FB,59)</f>
        <v>23069200</v>
      </c>
      <c r="L86" s="50">
        <f>VLOOKUP($A86,'Data shares'!$C:$FB,61)*100</f>
        <v>115.97</v>
      </c>
      <c r="M86" s="49">
        <f>VLOOKUP($A86,'Data shares'!$C:$FB,62)</f>
        <v>17945400</v>
      </c>
      <c r="N86" s="49">
        <f>VLOOKUP($A86,'Data shares'!$C:$FB,63)</f>
        <v>9221300</v>
      </c>
      <c r="O86" s="140">
        <f>VLOOKUP($A86,'Data shares'!$C:$FB,65)*100</f>
        <v>94.61</v>
      </c>
    </row>
    <row r="87" spans="1:15" x14ac:dyDescent="0.25">
      <c r="A87" s="101" t="str">
        <f>'Data Vlaue (Cr)'!C82</f>
        <v>HEROMOTOCO</v>
      </c>
      <c r="B87" s="50">
        <f>VLOOKUP($A87,'Data shares'!$C:$FB,7)</f>
        <v>5170</v>
      </c>
      <c r="C87" s="50">
        <f>VLOOKUP($A87,'Data shares'!$C:$FB,10)*100</f>
        <v>1.1900000000000002</v>
      </c>
      <c r="D87" s="49">
        <f>VLOOKUP($A87,'Data shares'!$C:$FB,66)</f>
        <v>39724050</v>
      </c>
      <c r="E87" s="49">
        <f>VLOOKUP($A87,'Data shares'!$C:$FB,67)</f>
        <v>5914050</v>
      </c>
      <c r="F87" s="50">
        <f>VLOOKUP($A87,'Data shares'!$C:$FB,69)*100</f>
        <v>571.68999999999994</v>
      </c>
      <c r="G87" s="49">
        <f>VLOOKUP($A87,'Data shares'!$C:$FB,42)</f>
        <v>4097550</v>
      </c>
      <c r="H87" s="49">
        <f>VLOOKUP($A87,'Data shares'!$C:$FB,43)</f>
        <v>843450</v>
      </c>
      <c r="I87" s="50">
        <f>VLOOKUP($A87,'Data shares'!$C:$FB,45)*100</f>
        <v>385.81</v>
      </c>
      <c r="J87" s="49">
        <f>VLOOKUP($A87,'Data shares'!$C:$FB,58)</f>
        <v>24257700</v>
      </c>
      <c r="K87" s="49">
        <f>VLOOKUP($A87,'Data shares'!$C:$FB,59)</f>
        <v>3769800</v>
      </c>
      <c r="L87" s="50">
        <f>VLOOKUP($A87,'Data shares'!$C:$FB,61)*100</f>
        <v>543.47</v>
      </c>
      <c r="M87" s="49">
        <f>VLOOKUP($A87,'Data shares'!$C:$FB,62)</f>
        <v>11368800</v>
      </c>
      <c r="N87" s="49">
        <f>VLOOKUP($A87,'Data shares'!$C:$FB,63)</f>
        <v>1300800</v>
      </c>
      <c r="O87" s="140">
        <f>VLOOKUP($A87,'Data shares'!$C:$FB,65)*100</f>
        <v>773.99</v>
      </c>
    </row>
    <row r="88" spans="1:15" x14ac:dyDescent="0.25">
      <c r="A88" s="101" t="str">
        <f>'Data Vlaue (Cr)'!C83</f>
        <v>HINDALCO</v>
      </c>
      <c r="B88" s="50">
        <f>VLOOKUP($A88,'Data shares'!$C:$FB,7)</f>
        <v>1045.8</v>
      </c>
      <c r="C88" s="50">
        <f>VLOOKUP($A88,'Data shares'!$C:$FB,10)*100</f>
        <v>-0.84</v>
      </c>
      <c r="D88" s="49">
        <f>VLOOKUP($A88,'Data shares'!$C:$FB,66)</f>
        <v>22053500</v>
      </c>
      <c r="E88" s="49">
        <f>VLOOKUP($A88,'Data shares'!$C:$FB,67)</f>
        <v>23233000</v>
      </c>
      <c r="F88" s="50">
        <f>VLOOKUP($A88,'Data shares'!$C:$FB,69)*100</f>
        <v>-5.08</v>
      </c>
      <c r="G88" s="49">
        <f>VLOOKUP($A88,'Data shares'!$C:$FB,42)</f>
        <v>6023500</v>
      </c>
      <c r="H88" s="49">
        <f>VLOOKUP($A88,'Data shares'!$C:$FB,43)</f>
        <v>4822300</v>
      </c>
      <c r="I88" s="50">
        <f>VLOOKUP($A88,'Data shares'!$C:$FB,45)*100</f>
        <v>24.91</v>
      </c>
      <c r="J88" s="49">
        <f>VLOOKUP($A88,'Data shares'!$C:$FB,58)</f>
        <v>10208800</v>
      </c>
      <c r="K88" s="49">
        <f>VLOOKUP($A88,'Data shares'!$C:$FB,59)</f>
        <v>11563300</v>
      </c>
      <c r="L88" s="50">
        <f>VLOOKUP($A88,'Data shares'!$C:$FB,61)*100</f>
        <v>-11.709999999999999</v>
      </c>
      <c r="M88" s="49">
        <f>VLOOKUP($A88,'Data shares'!$C:$FB,62)</f>
        <v>5821200</v>
      </c>
      <c r="N88" s="49">
        <f>VLOOKUP($A88,'Data shares'!$C:$FB,63)</f>
        <v>6847400</v>
      </c>
      <c r="O88" s="140">
        <f>VLOOKUP($A88,'Data shares'!$C:$FB,65)*100</f>
        <v>-14.99</v>
      </c>
    </row>
    <row r="89" spans="1:15" x14ac:dyDescent="0.25">
      <c r="A89" s="101" t="str">
        <f>'Data Vlaue (Cr)'!C84</f>
        <v>HINDPETRO</v>
      </c>
      <c r="B89" s="50">
        <f>VLOOKUP($A89,'Data shares'!$C:$FB,7)</f>
        <v>399.2</v>
      </c>
      <c r="C89" s="50">
        <f>VLOOKUP($A89,'Data shares'!$C:$FB,10)*100</f>
        <v>6.77</v>
      </c>
      <c r="D89" s="49">
        <f>VLOOKUP($A89,'Data shares'!$C:$FB,66)</f>
        <v>84541725</v>
      </c>
      <c r="E89" s="49">
        <f>VLOOKUP($A89,'Data shares'!$C:$FB,67)</f>
        <v>25687125</v>
      </c>
      <c r="F89" s="50">
        <f>VLOOKUP($A89,'Data shares'!$C:$FB,69)*100</f>
        <v>229.12</v>
      </c>
      <c r="G89" s="49">
        <f>VLOOKUP($A89,'Data shares'!$C:$FB,42)</f>
        <v>15147000</v>
      </c>
      <c r="H89" s="49">
        <f>VLOOKUP($A89,'Data shares'!$C:$FB,43)</f>
        <v>6463800</v>
      </c>
      <c r="I89" s="50">
        <f>VLOOKUP($A89,'Data shares'!$C:$FB,45)*100</f>
        <v>134.34</v>
      </c>
      <c r="J89" s="49">
        <f>VLOOKUP($A89,'Data shares'!$C:$FB,58)</f>
        <v>44853750</v>
      </c>
      <c r="K89" s="49">
        <f>VLOOKUP($A89,'Data shares'!$C:$FB,59)</f>
        <v>11850300</v>
      </c>
      <c r="L89" s="50">
        <f>VLOOKUP($A89,'Data shares'!$C:$FB,61)*100</f>
        <v>278.5</v>
      </c>
      <c r="M89" s="49">
        <f>VLOOKUP($A89,'Data shares'!$C:$FB,62)</f>
        <v>24540975</v>
      </c>
      <c r="N89" s="49">
        <f>VLOOKUP($A89,'Data shares'!$C:$FB,63)</f>
        <v>7373025</v>
      </c>
      <c r="O89" s="140">
        <f>VLOOKUP($A89,'Data shares'!$C:$FB,65)*100</f>
        <v>232.85</v>
      </c>
    </row>
    <row r="90" spans="1:15" x14ac:dyDescent="0.25">
      <c r="A90" s="101" t="str">
        <f>'Data Vlaue (Cr)'!C85</f>
        <v>HINDUNILVR</v>
      </c>
      <c r="B90" s="50">
        <f>VLOOKUP($A90,'Data shares'!$C:$FB,7)</f>
        <v>2317.1</v>
      </c>
      <c r="C90" s="50">
        <f>VLOOKUP($A90,'Data shares'!$C:$FB,10)*100</f>
        <v>-0.44</v>
      </c>
      <c r="D90" s="49">
        <f>VLOOKUP($A90,'Data shares'!$C:$FB,66)</f>
        <v>16941000</v>
      </c>
      <c r="E90" s="49">
        <f>VLOOKUP($A90,'Data shares'!$C:$FB,67)</f>
        <v>14694000</v>
      </c>
      <c r="F90" s="50">
        <f>VLOOKUP($A90,'Data shares'!$C:$FB,69)*100</f>
        <v>15.290000000000001</v>
      </c>
      <c r="G90" s="49">
        <f>VLOOKUP($A90,'Data shares'!$C:$FB,42)</f>
        <v>1780800</v>
      </c>
      <c r="H90" s="49">
        <f>VLOOKUP($A90,'Data shares'!$C:$FB,43)</f>
        <v>1796700</v>
      </c>
      <c r="I90" s="50">
        <f>VLOOKUP($A90,'Data shares'!$C:$FB,45)*100</f>
        <v>-0.88</v>
      </c>
      <c r="J90" s="49">
        <f>VLOOKUP($A90,'Data shares'!$C:$FB,58)</f>
        <v>9631200</v>
      </c>
      <c r="K90" s="49">
        <f>VLOOKUP($A90,'Data shares'!$C:$FB,59)</f>
        <v>8296800</v>
      </c>
      <c r="L90" s="50">
        <f>VLOOKUP($A90,'Data shares'!$C:$FB,61)*100</f>
        <v>16.079999999999998</v>
      </c>
      <c r="M90" s="49">
        <f>VLOOKUP($A90,'Data shares'!$C:$FB,62)</f>
        <v>5529000</v>
      </c>
      <c r="N90" s="49">
        <f>VLOOKUP($A90,'Data shares'!$C:$FB,63)</f>
        <v>4600500</v>
      </c>
      <c r="O90" s="140">
        <f>VLOOKUP($A90,'Data shares'!$C:$FB,65)*100</f>
        <v>20.18</v>
      </c>
    </row>
    <row r="91" spans="1:15" x14ac:dyDescent="0.25">
      <c r="A91" s="101" t="str">
        <f>'Data Vlaue (Cr)'!C86</f>
        <v>HINDZINC</v>
      </c>
      <c r="B91" s="50">
        <f>VLOOKUP($A91,'Data shares'!$C:$FB,7)</f>
        <v>634.6</v>
      </c>
      <c r="C91" s="50">
        <f>VLOOKUP($A91,'Data shares'!$C:$FB,10)*100</f>
        <v>3.82</v>
      </c>
      <c r="D91" s="49">
        <f>VLOOKUP($A91,'Data shares'!$C:$FB,66)</f>
        <v>88663050</v>
      </c>
      <c r="E91" s="49">
        <f>VLOOKUP($A91,'Data shares'!$C:$FB,67)</f>
        <v>30236675</v>
      </c>
      <c r="F91" s="50">
        <f>VLOOKUP($A91,'Data shares'!$C:$FB,69)*100</f>
        <v>193.23</v>
      </c>
      <c r="G91" s="49">
        <f>VLOOKUP($A91,'Data shares'!$C:$FB,42)</f>
        <v>10269175</v>
      </c>
      <c r="H91" s="49">
        <f>VLOOKUP($A91,'Data shares'!$C:$FB,43)</f>
        <v>3841600</v>
      </c>
      <c r="I91" s="50">
        <f>VLOOKUP($A91,'Data shares'!$C:$FB,45)*100</f>
        <v>167.32</v>
      </c>
      <c r="J91" s="49">
        <f>VLOOKUP($A91,'Data shares'!$C:$FB,58)</f>
        <v>52871000</v>
      </c>
      <c r="K91" s="49">
        <f>VLOOKUP($A91,'Data shares'!$C:$FB,59)</f>
        <v>15637125</v>
      </c>
      <c r="L91" s="50">
        <f>VLOOKUP($A91,'Data shares'!$C:$FB,61)*100</f>
        <v>238.11</v>
      </c>
      <c r="M91" s="49">
        <f>VLOOKUP($A91,'Data shares'!$C:$FB,62)</f>
        <v>25522875</v>
      </c>
      <c r="N91" s="49">
        <f>VLOOKUP($A91,'Data shares'!$C:$FB,63)</f>
        <v>10757950</v>
      </c>
      <c r="O91" s="140">
        <f>VLOOKUP($A91,'Data shares'!$C:$FB,65)*100</f>
        <v>137.25</v>
      </c>
    </row>
    <row r="92" spans="1:15" x14ac:dyDescent="0.25">
      <c r="A92" s="101" t="str">
        <f>'Data Vlaue (Cr)'!C87</f>
        <v>HYUNDAI</v>
      </c>
      <c r="B92" s="50">
        <f>VLOOKUP($A92,'Data shares'!$C:$FB,7)</f>
        <v>1839.9</v>
      </c>
      <c r="C92" s="50">
        <f>VLOOKUP($A92,'Data shares'!$C:$FB,10)*100</f>
        <v>0.95</v>
      </c>
      <c r="D92" s="49">
        <f>VLOOKUP($A92,'Data shares'!$C:$FB,66)</f>
        <v>3699025</v>
      </c>
      <c r="E92" s="49">
        <f>VLOOKUP($A92,'Data shares'!$C:$FB,67)</f>
        <v>4958525</v>
      </c>
      <c r="F92" s="50">
        <f>VLOOKUP($A92,'Data shares'!$C:$FB,69)*100</f>
        <v>-25.4</v>
      </c>
      <c r="G92" s="49">
        <f>VLOOKUP($A92,'Data shares'!$C:$FB,42)</f>
        <v>1804550</v>
      </c>
      <c r="H92" s="49">
        <f>VLOOKUP($A92,'Data shares'!$C:$FB,43)</f>
        <v>2515975</v>
      </c>
      <c r="I92" s="50">
        <f>VLOOKUP($A92,'Data shares'!$C:$FB,45)*100</f>
        <v>-28.28</v>
      </c>
      <c r="J92" s="49">
        <f>VLOOKUP($A92,'Data shares'!$C:$FB,58)</f>
        <v>1378850</v>
      </c>
      <c r="K92" s="49">
        <f>VLOOKUP($A92,'Data shares'!$C:$FB,59)</f>
        <v>1788050</v>
      </c>
      <c r="L92" s="50">
        <f>VLOOKUP($A92,'Data shares'!$C:$FB,61)*100</f>
        <v>-22.89</v>
      </c>
      <c r="M92" s="49">
        <f>VLOOKUP($A92,'Data shares'!$C:$FB,62)</f>
        <v>515625</v>
      </c>
      <c r="N92" s="49">
        <f>VLOOKUP($A92,'Data shares'!$C:$FB,63)</f>
        <v>654500</v>
      </c>
      <c r="O92" s="140">
        <f>VLOOKUP($A92,'Data shares'!$C:$FB,65)*100</f>
        <v>-21.22</v>
      </c>
    </row>
    <row r="93" spans="1:15" x14ac:dyDescent="0.25">
      <c r="A93" s="101" t="str">
        <f>'Data Vlaue (Cr)'!C88</f>
        <v>ICICIBANK</v>
      </c>
      <c r="B93" s="50">
        <f>VLOOKUP($A93,'Data shares'!$C:$FB,7)</f>
        <v>1279.5</v>
      </c>
      <c r="C93" s="50">
        <f>VLOOKUP($A93,'Data shares'!$C:$FB,10)*100</f>
        <v>2.25</v>
      </c>
      <c r="D93" s="49">
        <f>VLOOKUP($A93,'Data shares'!$C:$FB,66)</f>
        <v>103857600</v>
      </c>
      <c r="E93" s="49">
        <f>VLOOKUP($A93,'Data shares'!$C:$FB,67)</f>
        <v>70694400</v>
      </c>
      <c r="F93" s="50">
        <f>VLOOKUP($A93,'Data shares'!$C:$FB,69)*100</f>
        <v>46.910000000000004</v>
      </c>
      <c r="G93" s="49">
        <f>VLOOKUP($A93,'Data shares'!$C:$FB,42)</f>
        <v>22584100</v>
      </c>
      <c r="H93" s="49">
        <f>VLOOKUP($A93,'Data shares'!$C:$FB,43)</f>
        <v>15509200</v>
      </c>
      <c r="I93" s="50">
        <f>VLOOKUP($A93,'Data shares'!$C:$FB,45)*100</f>
        <v>45.62</v>
      </c>
      <c r="J93" s="49">
        <f>VLOOKUP($A93,'Data shares'!$C:$FB,58)</f>
        <v>51116100</v>
      </c>
      <c r="K93" s="49">
        <f>VLOOKUP($A93,'Data shares'!$C:$FB,59)</f>
        <v>35635600</v>
      </c>
      <c r="L93" s="50">
        <f>VLOOKUP($A93,'Data shares'!$C:$FB,61)*100</f>
        <v>43.44</v>
      </c>
      <c r="M93" s="49">
        <f>VLOOKUP($A93,'Data shares'!$C:$FB,62)</f>
        <v>30157400</v>
      </c>
      <c r="N93" s="49">
        <f>VLOOKUP($A93,'Data shares'!$C:$FB,63)</f>
        <v>19549600</v>
      </c>
      <c r="O93" s="140">
        <f>VLOOKUP($A93,'Data shares'!$C:$FB,65)*100</f>
        <v>54.26</v>
      </c>
    </row>
    <row r="94" spans="1:15" x14ac:dyDescent="0.25">
      <c r="A94" s="101" t="str">
        <f>'Data Vlaue (Cr)'!C89</f>
        <v>ICICIGI</v>
      </c>
      <c r="B94" s="50">
        <f>VLOOKUP($A94,'Data shares'!$C:$FB,7)</f>
        <v>1809.9</v>
      </c>
      <c r="C94" s="50">
        <f>VLOOKUP($A94,'Data shares'!$C:$FB,10)*100</f>
        <v>1.8599999999999999</v>
      </c>
      <c r="D94" s="49">
        <f>VLOOKUP($A94,'Data shares'!$C:$FB,66)</f>
        <v>2764450</v>
      </c>
      <c r="E94" s="49">
        <f>VLOOKUP($A94,'Data shares'!$C:$FB,67)</f>
        <v>1418950</v>
      </c>
      <c r="F94" s="50">
        <f>VLOOKUP($A94,'Data shares'!$C:$FB,69)*100</f>
        <v>94.820000000000007</v>
      </c>
      <c r="G94" s="49">
        <f>VLOOKUP($A94,'Data shares'!$C:$FB,42)</f>
        <v>577850</v>
      </c>
      <c r="H94" s="49">
        <f>VLOOKUP($A94,'Data shares'!$C:$FB,43)</f>
        <v>306150</v>
      </c>
      <c r="I94" s="50">
        <f>VLOOKUP($A94,'Data shares'!$C:$FB,45)*100</f>
        <v>88.75</v>
      </c>
      <c r="J94" s="49">
        <f>VLOOKUP($A94,'Data shares'!$C:$FB,58)</f>
        <v>1617850</v>
      </c>
      <c r="K94" s="49">
        <f>VLOOKUP($A94,'Data shares'!$C:$FB,59)</f>
        <v>845325</v>
      </c>
      <c r="L94" s="50">
        <f>VLOOKUP($A94,'Data shares'!$C:$FB,61)*100</f>
        <v>91.39</v>
      </c>
      <c r="M94" s="49">
        <f>VLOOKUP($A94,'Data shares'!$C:$FB,62)</f>
        <v>568750</v>
      </c>
      <c r="N94" s="49">
        <f>VLOOKUP($A94,'Data shares'!$C:$FB,63)</f>
        <v>267475</v>
      </c>
      <c r="O94" s="140">
        <f>VLOOKUP($A94,'Data shares'!$C:$FB,65)*100</f>
        <v>112.64</v>
      </c>
    </row>
    <row r="95" spans="1:15" x14ac:dyDescent="0.25">
      <c r="A95" s="101" t="str">
        <f>'Data Vlaue (Cr)'!C90</f>
        <v>ICICIPRULI</v>
      </c>
      <c r="B95" s="50">
        <f>VLOOKUP($A95,'Data shares'!$C:$FB,7)</f>
        <v>550.1</v>
      </c>
      <c r="C95" s="50">
        <f>VLOOKUP($A95,'Data shares'!$C:$FB,10)*100</f>
        <v>2.37</v>
      </c>
      <c r="D95" s="49">
        <f>VLOOKUP($A95,'Data shares'!$C:$FB,66)</f>
        <v>11148100</v>
      </c>
      <c r="E95" s="49">
        <f>VLOOKUP($A95,'Data shares'!$C:$FB,67)</f>
        <v>10406250</v>
      </c>
      <c r="F95" s="50">
        <f>VLOOKUP($A95,'Data shares'!$C:$FB,69)*100</f>
        <v>7.13</v>
      </c>
      <c r="G95" s="49">
        <f>VLOOKUP($A95,'Data shares'!$C:$FB,42)</f>
        <v>2827725</v>
      </c>
      <c r="H95" s="49">
        <f>VLOOKUP($A95,'Data shares'!$C:$FB,43)</f>
        <v>1601175</v>
      </c>
      <c r="I95" s="50">
        <f>VLOOKUP($A95,'Data shares'!$C:$FB,45)*100</f>
        <v>76.599999999999994</v>
      </c>
      <c r="J95" s="49">
        <f>VLOOKUP($A95,'Data shares'!$C:$FB,58)</f>
        <v>4995000</v>
      </c>
      <c r="K95" s="49">
        <f>VLOOKUP($A95,'Data shares'!$C:$FB,59)</f>
        <v>5351125</v>
      </c>
      <c r="L95" s="50">
        <f>VLOOKUP($A95,'Data shares'!$C:$FB,61)*100</f>
        <v>-6.660000000000001</v>
      </c>
      <c r="M95" s="49">
        <f>VLOOKUP($A95,'Data shares'!$C:$FB,62)</f>
        <v>3325375</v>
      </c>
      <c r="N95" s="49">
        <f>VLOOKUP($A95,'Data shares'!$C:$FB,63)</f>
        <v>3453950</v>
      </c>
      <c r="O95" s="140">
        <f>VLOOKUP($A95,'Data shares'!$C:$FB,65)*100</f>
        <v>-3.7199999999999998</v>
      </c>
    </row>
    <row r="96" spans="1:15" x14ac:dyDescent="0.25">
      <c r="A96" s="101" t="str">
        <f>'Data Vlaue (Cr)'!C91</f>
        <v>IDEA</v>
      </c>
      <c r="B96" s="50">
        <f>VLOOKUP($A96,'Data shares'!$C:$FB,7)</f>
        <v>11.3</v>
      </c>
      <c r="C96" s="50">
        <f>VLOOKUP($A96,'Data shares'!$C:$FB,10)*100</f>
        <v>4.63</v>
      </c>
      <c r="D96" s="49">
        <f>VLOOKUP($A96,'Data shares'!$C:$FB,66)</f>
        <v>4381203075</v>
      </c>
      <c r="E96" s="49">
        <f>VLOOKUP($A96,'Data shares'!$C:$FB,67)</f>
        <v>4721924400</v>
      </c>
      <c r="F96" s="50">
        <f>VLOOKUP($A96,'Data shares'!$C:$FB,69)*100</f>
        <v>-7.22</v>
      </c>
      <c r="G96" s="49">
        <f>VLOOKUP($A96,'Data shares'!$C:$FB,42)</f>
        <v>1045107450</v>
      </c>
      <c r="H96" s="49">
        <f>VLOOKUP($A96,'Data shares'!$C:$FB,43)</f>
        <v>1034886525</v>
      </c>
      <c r="I96" s="50">
        <f>VLOOKUP($A96,'Data shares'!$C:$FB,45)*100</f>
        <v>0.9900000000000001</v>
      </c>
      <c r="J96" s="49">
        <f>VLOOKUP($A96,'Data shares'!$C:$FB,58)</f>
        <v>2442944025</v>
      </c>
      <c r="K96" s="49">
        <f>VLOOKUP($A96,'Data shares'!$C:$FB,59)</f>
        <v>2840059125</v>
      </c>
      <c r="L96" s="50">
        <f>VLOOKUP($A96,'Data shares'!$C:$FB,61)*100</f>
        <v>-13.98</v>
      </c>
      <c r="M96" s="49">
        <f>VLOOKUP($A96,'Data shares'!$C:$FB,62)</f>
        <v>893151600</v>
      </c>
      <c r="N96" s="49">
        <f>VLOOKUP($A96,'Data shares'!$C:$FB,63)</f>
        <v>846978750</v>
      </c>
      <c r="O96" s="140">
        <f>VLOOKUP($A96,'Data shares'!$C:$FB,65)*100</f>
        <v>5.45</v>
      </c>
    </row>
    <row r="97" spans="1:15" x14ac:dyDescent="0.25">
      <c r="A97" s="101" t="str">
        <f>'Data Vlaue (Cr)'!C92</f>
        <v>IDFCFIRSTB</v>
      </c>
      <c r="B97" s="50">
        <f>VLOOKUP($A97,'Data shares'!$C:$FB,7)</f>
        <v>69.59</v>
      </c>
      <c r="C97" s="50">
        <f>VLOOKUP($A97,'Data shares'!$C:$FB,10)*100</f>
        <v>1.22</v>
      </c>
      <c r="D97" s="49">
        <f>VLOOKUP($A97,'Data shares'!$C:$FB,66)</f>
        <v>257000975</v>
      </c>
      <c r="E97" s="49">
        <f>VLOOKUP($A97,'Data shares'!$C:$FB,67)</f>
        <v>148390725</v>
      </c>
      <c r="F97" s="50">
        <f>VLOOKUP($A97,'Data shares'!$C:$FB,69)*100</f>
        <v>73.19</v>
      </c>
      <c r="G97" s="49">
        <f>VLOOKUP($A97,'Data shares'!$C:$FB,42)</f>
        <v>52839675</v>
      </c>
      <c r="H97" s="49">
        <f>VLOOKUP($A97,'Data shares'!$C:$FB,43)</f>
        <v>25988550</v>
      </c>
      <c r="I97" s="50">
        <f>VLOOKUP($A97,'Data shares'!$C:$FB,45)*100</f>
        <v>103.32</v>
      </c>
      <c r="J97" s="49">
        <f>VLOOKUP($A97,'Data shares'!$C:$FB,58)</f>
        <v>126019425</v>
      </c>
      <c r="K97" s="49">
        <f>VLOOKUP($A97,'Data shares'!$C:$FB,59)</f>
        <v>75099675</v>
      </c>
      <c r="L97" s="50">
        <f>VLOOKUP($A97,'Data shares'!$C:$FB,61)*100</f>
        <v>67.800000000000011</v>
      </c>
      <c r="M97" s="49">
        <f>VLOOKUP($A97,'Data shares'!$C:$FB,62)</f>
        <v>78141875</v>
      </c>
      <c r="N97" s="49">
        <f>VLOOKUP($A97,'Data shares'!$C:$FB,63)</f>
        <v>47302500</v>
      </c>
      <c r="O97" s="140">
        <f>VLOOKUP($A97,'Data shares'!$C:$FB,65)*100</f>
        <v>65.2</v>
      </c>
    </row>
    <row r="98" spans="1:15" x14ac:dyDescent="0.25">
      <c r="A98" s="101" t="str">
        <f>'Data Vlaue (Cr)'!C93</f>
        <v>IEX</v>
      </c>
      <c r="B98" s="50">
        <f>VLOOKUP($A98,'Data shares'!$C:$FB,7)</f>
        <v>129.80000000000001</v>
      </c>
      <c r="C98" s="50">
        <f>VLOOKUP($A98,'Data shares'!$C:$FB,10)*100</f>
        <v>1.71</v>
      </c>
      <c r="D98" s="49">
        <f>VLOOKUP($A98,'Data shares'!$C:$FB,66)</f>
        <v>59722500</v>
      </c>
      <c r="E98" s="49">
        <f>VLOOKUP($A98,'Data shares'!$C:$FB,67)</f>
        <v>43751250</v>
      </c>
      <c r="F98" s="50">
        <f>VLOOKUP($A98,'Data shares'!$C:$FB,69)*100</f>
        <v>36.5</v>
      </c>
      <c r="G98" s="49">
        <f>VLOOKUP($A98,'Data shares'!$C:$FB,42)</f>
        <v>8100000</v>
      </c>
      <c r="H98" s="49">
        <f>VLOOKUP($A98,'Data shares'!$C:$FB,43)</f>
        <v>6502500</v>
      </c>
      <c r="I98" s="50">
        <f>VLOOKUP($A98,'Data shares'!$C:$FB,45)*100</f>
        <v>24.57</v>
      </c>
      <c r="J98" s="49">
        <f>VLOOKUP($A98,'Data shares'!$C:$FB,58)</f>
        <v>34406250</v>
      </c>
      <c r="K98" s="49">
        <f>VLOOKUP($A98,'Data shares'!$C:$FB,59)</f>
        <v>28788750</v>
      </c>
      <c r="L98" s="50">
        <f>VLOOKUP($A98,'Data shares'!$C:$FB,61)*100</f>
        <v>19.509999999999998</v>
      </c>
      <c r="M98" s="49">
        <f>VLOOKUP($A98,'Data shares'!$C:$FB,62)</f>
        <v>17216250</v>
      </c>
      <c r="N98" s="49">
        <f>VLOOKUP($A98,'Data shares'!$C:$FB,63)</f>
        <v>8460000</v>
      </c>
      <c r="O98" s="140">
        <f>VLOOKUP($A98,'Data shares'!$C:$FB,65)*100</f>
        <v>103.49999999999999</v>
      </c>
    </row>
    <row r="99" spans="1:15" x14ac:dyDescent="0.25">
      <c r="A99" s="101" t="str">
        <f>'Data Vlaue (Cr)'!C94</f>
        <v>INDHOTEL</v>
      </c>
      <c r="B99" s="50">
        <f>VLOOKUP($A99,'Data shares'!$C:$FB,7)</f>
        <v>666.15</v>
      </c>
      <c r="C99" s="50">
        <f>VLOOKUP($A99,'Data shares'!$C:$FB,10)*100</f>
        <v>2.83</v>
      </c>
      <c r="D99" s="49">
        <f>VLOOKUP($A99,'Data shares'!$C:$FB,66)</f>
        <v>23177000</v>
      </c>
      <c r="E99" s="49">
        <f>VLOOKUP($A99,'Data shares'!$C:$FB,67)</f>
        <v>9283000</v>
      </c>
      <c r="F99" s="50">
        <f>VLOOKUP($A99,'Data shares'!$C:$FB,69)*100</f>
        <v>149.66999999999999</v>
      </c>
      <c r="G99" s="49">
        <f>VLOOKUP($A99,'Data shares'!$C:$FB,42)</f>
        <v>4780000</v>
      </c>
      <c r="H99" s="49">
        <f>VLOOKUP($A99,'Data shares'!$C:$FB,43)</f>
        <v>2452000</v>
      </c>
      <c r="I99" s="50">
        <f>VLOOKUP($A99,'Data shares'!$C:$FB,45)*100</f>
        <v>94.94</v>
      </c>
      <c r="J99" s="49">
        <f>VLOOKUP($A99,'Data shares'!$C:$FB,58)</f>
        <v>12240000</v>
      </c>
      <c r="K99" s="49">
        <f>VLOOKUP($A99,'Data shares'!$C:$FB,59)</f>
        <v>4301000</v>
      </c>
      <c r="L99" s="50">
        <f>VLOOKUP($A99,'Data shares'!$C:$FB,61)*100</f>
        <v>184.58</v>
      </c>
      <c r="M99" s="49">
        <f>VLOOKUP($A99,'Data shares'!$C:$FB,62)</f>
        <v>6157000</v>
      </c>
      <c r="N99" s="49">
        <f>VLOOKUP($A99,'Data shares'!$C:$FB,63)</f>
        <v>2530000</v>
      </c>
      <c r="O99" s="140">
        <f>VLOOKUP($A99,'Data shares'!$C:$FB,65)*100</f>
        <v>143.35999999999999</v>
      </c>
    </row>
    <row r="100" spans="1:15" x14ac:dyDescent="0.25">
      <c r="A100" s="101" t="str">
        <f>'Data Vlaue (Cr)'!C95</f>
        <v>INDIANB</v>
      </c>
      <c r="B100" s="50">
        <f>VLOOKUP($A100,'Data shares'!$C:$FB,7)</f>
        <v>866.85</v>
      </c>
      <c r="C100" s="50">
        <f>VLOOKUP($A100,'Data shares'!$C:$FB,10)*100</f>
        <v>2.13</v>
      </c>
      <c r="D100" s="49">
        <f>VLOOKUP($A100,'Data shares'!$C:$FB,66)</f>
        <v>28377000</v>
      </c>
      <c r="E100" s="49">
        <f>VLOOKUP($A100,'Data shares'!$C:$FB,67)</f>
        <v>23127000</v>
      </c>
      <c r="F100" s="50">
        <f>VLOOKUP($A100,'Data shares'!$C:$FB,69)*100</f>
        <v>22.7</v>
      </c>
      <c r="G100" s="49">
        <f>VLOOKUP($A100,'Data shares'!$C:$FB,42)</f>
        <v>4030000</v>
      </c>
      <c r="H100" s="49">
        <f>VLOOKUP($A100,'Data shares'!$C:$FB,43)</f>
        <v>4408000</v>
      </c>
      <c r="I100" s="50">
        <f>VLOOKUP($A100,'Data shares'!$C:$FB,45)*100</f>
        <v>-8.58</v>
      </c>
      <c r="J100" s="49">
        <f>VLOOKUP($A100,'Data shares'!$C:$FB,58)</f>
        <v>16518000</v>
      </c>
      <c r="K100" s="49">
        <f>VLOOKUP($A100,'Data shares'!$C:$FB,59)</f>
        <v>12893000</v>
      </c>
      <c r="L100" s="50">
        <f>VLOOKUP($A100,'Data shares'!$C:$FB,61)*100</f>
        <v>28.12</v>
      </c>
      <c r="M100" s="49">
        <f>VLOOKUP($A100,'Data shares'!$C:$FB,62)</f>
        <v>7829000</v>
      </c>
      <c r="N100" s="49">
        <f>VLOOKUP($A100,'Data shares'!$C:$FB,63)</f>
        <v>5826000</v>
      </c>
      <c r="O100" s="140">
        <f>VLOOKUP($A100,'Data shares'!$C:$FB,65)*100</f>
        <v>34.380000000000003</v>
      </c>
    </row>
    <row r="101" spans="1:15" x14ac:dyDescent="0.25">
      <c r="A101" s="101" t="str">
        <f>'Data Vlaue (Cr)'!C96</f>
        <v>INDIAVIX</v>
      </c>
      <c r="B101" s="50">
        <f>VLOOKUP($A101,'Data shares'!$C:$FB,7)</f>
        <v>16.68</v>
      </c>
      <c r="C101" s="50">
        <f>VLOOKUP($A101,'Data shares'!$C:$FB,10)*100</f>
        <v>-6.88</v>
      </c>
      <c r="D101" s="49">
        <f>VLOOKUP($A101,'Data shares'!$C:$FB,66)</f>
        <v>0</v>
      </c>
      <c r="E101" s="49">
        <f>VLOOKUP($A101,'Data shares'!$C:$FB,67)</f>
        <v>0</v>
      </c>
      <c r="F101" s="50">
        <f>VLOOKUP($A101,'Data shares'!$C:$FB,69)*100</f>
        <v>0</v>
      </c>
      <c r="G101" s="49">
        <f>VLOOKUP($A101,'Data shares'!$C:$FB,42)</f>
        <v>0</v>
      </c>
      <c r="H101" s="49">
        <f>VLOOKUP($A101,'Data shares'!$C:$FB,43)</f>
        <v>0</v>
      </c>
      <c r="I101" s="50">
        <f>VLOOKUP($A101,'Data shares'!$C:$FB,45)*100</f>
        <v>0</v>
      </c>
      <c r="J101" s="49">
        <f>VLOOKUP($A101,'Data shares'!$C:$FB,58)</f>
        <v>0</v>
      </c>
      <c r="K101" s="49">
        <f>VLOOKUP($A101,'Data shares'!$C:$FB,59)</f>
        <v>0</v>
      </c>
      <c r="L101" s="50">
        <f>VLOOKUP($A101,'Data shares'!$C:$FB,61)*100</f>
        <v>0</v>
      </c>
      <c r="M101" s="49">
        <f>VLOOKUP($A101,'Data shares'!$C:$FB,62)</f>
        <v>0</v>
      </c>
      <c r="N101" s="49">
        <f>VLOOKUP($A101,'Data shares'!$C:$FB,63)</f>
        <v>0</v>
      </c>
      <c r="O101" s="140">
        <f>VLOOKUP($A101,'Data shares'!$C:$FB,65)*100</f>
        <v>0</v>
      </c>
    </row>
    <row r="102" spans="1:15" x14ac:dyDescent="0.25">
      <c r="A102" s="101" t="str">
        <f>'Data Vlaue (Cr)'!C97</f>
        <v>INDIGO</v>
      </c>
      <c r="B102" s="50">
        <f>VLOOKUP($A102,'Data shares'!$C:$FB,7)</f>
        <v>4520.2</v>
      </c>
      <c r="C102" s="50">
        <f>VLOOKUP($A102,'Data shares'!$C:$FB,10)*100</f>
        <v>6.65</v>
      </c>
      <c r="D102" s="49">
        <f>VLOOKUP($A102,'Data shares'!$C:$FB,66)</f>
        <v>23247450</v>
      </c>
      <c r="E102" s="49">
        <f>VLOOKUP($A102,'Data shares'!$C:$FB,67)</f>
        <v>8166150</v>
      </c>
      <c r="F102" s="50">
        <f>VLOOKUP($A102,'Data shares'!$C:$FB,69)*100</f>
        <v>184.68</v>
      </c>
      <c r="G102" s="49">
        <f>VLOOKUP($A102,'Data shares'!$C:$FB,42)</f>
        <v>3063000</v>
      </c>
      <c r="H102" s="49">
        <f>VLOOKUP($A102,'Data shares'!$C:$FB,43)</f>
        <v>1105650</v>
      </c>
      <c r="I102" s="50">
        <f>VLOOKUP($A102,'Data shares'!$C:$FB,45)*100</f>
        <v>177.03</v>
      </c>
      <c r="J102" s="49">
        <f>VLOOKUP($A102,'Data shares'!$C:$FB,58)</f>
        <v>14049750</v>
      </c>
      <c r="K102" s="49">
        <f>VLOOKUP($A102,'Data shares'!$C:$FB,59)</f>
        <v>4173600</v>
      </c>
      <c r="L102" s="50">
        <f>VLOOKUP($A102,'Data shares'!$C:$FB,61)*100</f>
        <v>236.63</v>
      </c>
      <c r="M102" s="49">
        <f>VLOOKUP($A102,'Data shares'!$C:$FB,62)</f>
        <v>6134700</v>
      </c>
      <c r="N102" s="49">
        <f>VLOOKUP($A102,'Data shares'!$C:$FB,63)</f>
        <v>2886900</v>
      </c>
      <c r="O102" s="140">
        <f>VLOOKUP($A102,'Data shares'!$C:$FB,65)*100</f>
        <v>112.5</v>
      </c>
    </row>
    <row r="103" spans="1:15" x14ac:dyDescent="0.25">
      <c r="A103" s="101" t="str">
        <f>'Data Vlaue (Cr)'!C98</f>
        <v>INDUSINDBK</v>
      </c>
      <c r="B103" s="50">
        <f>VLOOKUP($A103,'Data shares'!$C:$FB,7)</f>
        <v>946.75</v>
      </c>
      <c r="C103" s="50">
        <f>VLOOKUP($A103,'Data shares'!$C:$FB,10)*100</f>
        <v>3.9600000000000004</v>
      </c>
      <c r="D103" s="49">
        <f>VLOOKUP($A103,'Data shares'!$C:$FB,66)</f>
        <v>22284500</v>
      </c>
      <c r="E103" s="49">
        <f>VLOOKUP($A103,'Data shares'!$C:$FB,67)</f>
        <v>14585200</v>
      </c>
      <c r="F103" s="50">
        <f>VLOOKUP($A103,'Data shares'!$C:$FB,69)*100</f>
        <v>52.790000000000006</v>
      </c>
      <c r="G103" s="49">
        <f>VLOOKUP($A103,'Data shares'!$C:$FB,42)</f>
        <v>4651500</v>
      </c>
      <c r="H103" s="49">
        <f>VLOOKUP($A103,'Data shares'!$C:$FB,43)</f>
        <v>2903600</v>
      </c>
      <c r="I103" s="50">
        <f>VLOOKUP($A103,'Data shares'!$C:$FB,45)*100</f>
        <v>60.199999999999996</v>
      </c>
      <c r="J103" s="49">
        <f>VLOOKUP($A103,'Data shares'!$C:$FB,58)</f>
        <v>9739100</v>
      </c>
      <c r="K103" s="49">
        <f>VLOOKUP($A103,'Data shares'!$C:$FB,59)</f>
        <v>6982500</v>
      </c>
      <c r="L103" s="50">
        <f>VLOOKUP($A103,'Data shares'!$C:$FB,61)*100</f>
        <v>39.479999999999997</v>
      </c>
      <c r="M103" s="49">
        <f>VLOOKUP($A103,'Data shares'!$C:$FB,62)</f>
        <v>7893900</v>
      </c>
      <c r="N103" s="49">
        <f>VLOOKUP($A103,'Data shares'!$C:$FB,63)</f>
        <v>4699100</v>
      </c>
      <c r="O103" s="140">
        <f>VLOOKUP($A103,'Data shares'!$C:$FB,65)*100</f>
        <v>67.989999999999995</v>
      </c>
    </row>
    <row r="104" spans="1:15" x14ac:dyDescent="0.25">
      <c r="A104" s="101" t="str">
        <f>'Data Vlaue (Cr)'!C99</f>
        <v>INDUSTOWER</v>
      </c>
      <c r="B104" s="50">
        <f>VLOOKUP($A104,'Data shares'!$C:$FB,7)</f>
        <v>408.3</v>
      </c>
      <c r="C104" s="50">
        <f>VLOOKUP($A104,'Data shares'!$C:$FB,10)*100</f>
        <v>1.39</v>
      </c>
      <c r="D104" s="49">
        <f>VLOOKUP($A104,'Data shares'!$C:$FB,66)</f>
        <v>55047700</v>
      </c>
      <c r="E104" s="49">
        <f>VLOOKUP($A104,'Data shares'!$C:$FB,67)</f>
        <v>57436200</v>
      </c>
      <c r="F104" s="50">
        <f>VLOOKUP($A104,'Data shares'!$C:$FB,69)*100</f>
        <v>-4.16</v>
      </c>
      <c r="G104" s="49">
        <f>VLOOKUP($A104,'Data shares'!$C:$FB,42)</f>
        <v>11439300</v>
      </c>
      <c r="H104" s="49">
        <f>VLOOKUP($A104,'Data shares'!$C:$FB,43)</f>
        <v>9270100</v>
      </c>
      <c r="I104" s="50">
        <f>VLOOKUP($A104,'Data shares'!$C:$FB,45)*100</f>
        <v>23.400000000000002</v>
      </c>
      <c r="J104" s="49">
        <f>VLOOKUP($A104,'Data shares'!$C:$FB,58)</f>
        <v>32607700</v>
      </c>
      <c r="K104" s="49">
        <f>VLOOKUP($A104,'Data shares'!$C:$FB,59)</f>
        <v>36157300</v>
      </c>
      <c r="L104" s="50">
        <f>VLOOKUP($A104,'Data shares'!$C:$FB,61)*100</f>
        <v>-9.82</v>
      </c>
      <c r="M104" s="49">
        <f>VLOOKUP($A104,'Data shares'!$C:$FB,62)</f>
        <v>11000700</v>
      </c>
      <c r="N104" s="49">
        <f>VLOOKUP($A104,'Data shares'!$C:$FB,63)</f>
        <v>12008800</v>
      </c>
      <c r="O104" s="140">
        <f>VLOOKUP($A104,'Data shares'!$C:$FB,65)*100</f>
        <v>-8.39</v>
      </c>
    </row>
    <row r="105" spans="1:15" x14ac:dyDescent="0.25">
      <c r="A105" s="101" t="str">
        <f>'Data Vlaue (Cr)'!C100</f>
        <v>INFY</v>
      </c>
      <c r="B105" s="50">
        <f>VLOOKUP($A105,'Data shares'!$C:$FB,7)</f>
        <v>1167.2</v>
      </c>
      <c r="C105" s="50">
        <f>VLOOKUP($A105,'Data shares'!$C:$FB,10)*100</f>
        <v>-0.92999999999999994</v>
      </c>
      <c r="D105" s="49">
        <f>VLOOKUP($A105,'Data shares'!$C:$FB,66)</f>
        <v>59049600</v>
      </c>
      <c r="E105" s="49">
        <f>VLOOKUP($A105,'Data shares'!$C:$FB,67)</f>
        <v>33260000</v>
      </c>
      <c r="F105" s="50">
        <f>VLOOKUP($A105,'Data shares'!$C:$FB,69)*100</f>
        <v>77.539999999999992</v>
      </c>
      <c r="G105" s="49">
        <f>VLOOKUP($A105,'Data shares'!$C:$FB,42)</f>
        <v>10949600</v>
      </c>
      <c r="H105" s="49">
        <f>VLOOKUP($A105,'Data shares'!$C:$FB,43)</f>
        <v>5986800</v>
      </c>
      <c r="I105" s="50">
        <f>VLOOKUP($A105,'Data shares'!$C:$FB,45)*100</f>
        <v>82.899999999999991</v>
      </c>
      <c r="J105" s="49">
        <f>VLOOKUP($A105,'Data shares'!$C:$FB,58)</f>
        <v>31862800</v>
      </c>
      <c r="K105" s="49">
        <f>VLOOKUP($A105,'Data shares'!$C:$FB,59)</f>
        <v>18187600</v>
      </c>
      <c r="L105" s="50">
        <f>VLOOKUP($A105,'Data shares'!$C:$FB,61)*100</f>
        <v>75.19</v>
      </c>
      <c r="M105" s="49">
        <f>VLOOKUP($A105,'Data shares'!$C:$FB,62)</f>
        <v>16237200</v>
      </c>
      <c r="N105" s="49">
        <f>VLOOKUP($A105,'Data shares'!$C:$FB,63)</f>
        <v>9085600</v>
      </c>
      <c r="O105" s="140">
        <f>VLOOKUP($A105,'Data shares'!$C:$FB,65)*100</f>
        <v>78.710000000000008</v>
      </c>
    </row>
    <row r="106" spans="1:15" x14ac:dyDescent="0.25">
      <c r="A106" s="101" t="str">
        <f>'Data Vlaue (Cr)'!C101</f>
        <v>INOXWIND</v>
      </c>
      <c r="B106" s="50">
        <f>VLOOKUP($A106,'Data shares'!$C:$FB,7)</f>
        <v>107.11</v>
      </c>
      <c r="C106" s="50">
        <f>VLOOKUP($A106,'Data shares'!$C:$FB,10)*100</f>
        <v>2.5299999999999998</v>
      </c>
      <c r="D106" s="49">
        <f>VLOOKUP($A106,'Data shares'!$C:$FB,66)</f>
        <v>66312675</v>
      </c>
      <c r="E106" s="49">
        <f>VLOOKUP($A106,'Data shares'!$C:$FB,67)</f>
        <v>85413900</v>
      </c>
      <c r="F106" s="50">
        <f>VLOOKUP($A106,'Data shares'!$C:$FB,69)*100</f>
        <v>-22.36</v>
      </c>
      <c r="G106" s="49">
        <f>VLOOKUP($A106,'Data shares'!$C:$FB,42)</f>
        <v>17017000</v>
      </c>
      <c r="H106" s="49">
        <f>VLOOKUP($A106,'Data shares'!$C:$FB,43)</f>
        <v>22508200</v>
      </c>
      <c r="I106" s="50">
        <f>VLOOKUP($A106,'Data shares'!$C:$FB,45)*100</f>
        <v>-24.4</v>
      </c>
      <c r="J106" s="49">
        <f>VLOOKUP($A106,'Data shares'!$C:$FB,58)</f>
        <v>40329575</v>
      </c>
      <c r="K106" s="49">
        <f>VLOOKUP($A106,'Data shares'!$C:$FB,59)</f>
        <v>50350300</v>
      </c>
      <c r="L106" s="50">
        <f>VLOOKUP($A106,'Data shares'!$C:$FB,61)*100</f>
        <v>-19.900000000000002</v>
      </c>
      <c r="M106" s="49">
        <f>VLOOKUP($A106,'Data shares'!$C:$FB,62)</f>
        <v>8966100</v>
      </c>
      <c r="N106" s="49">
        <f>VLOOKUP($A106,'Data shares'!$C:$FB,63)</f>
        <v>12555400</v>
      </c>
      <c r="O106" s="140">
        <f>VLOOKUP($A106,'Data shares'!$C:$FB,65)*100</f>
        <v>-28.59</v>
      </c>
    </row>
    <row r="107" spans="1:15" x14ac:dyDescent="0.25">
      <c r="A107" s="101" t="str">
        <f>'Data Vlaue (Cr)'!C102</f>
        <v>IOC</v>
      </c>
      <c r="B107" s="50">
        <f>VLOOKUP($A107,'Data shares'!$C:$FB,7)</f>
        <v>148.21</v>
      </c>
      <c r="C107" s="50">
        <f>VLOOKUP($A107,'Data shares'!$C:$FB,10)*100</f>
        <v>4.2700000000000005</v>
      </c>
      <c r="D107" s="49">
        <f>VLOOKUP($A107,'Data shares'!$C:$FB,66)</f>
        <v>191563125</v>
      </c>
      <c r="E107" s="49">
        <f>VLOOKUP($A107,'Data shares'!$C:$FB,67)</f>
        <v>45274125</v>
      </c>
      <c r="F107" s="50">
        <f>VLOOKUP($A107,'Data shares'!$C:$FB,69)*100</f>
        <v>323.12</v>
      </c>
      <c r="G107" s="49">
        <f>VLOOKUP($A107,'Data shares'!$C:$FB,42)</f>
        <v>29630250</v>
      </c>
      <c r="H107" s="49">
        <f>VLOOKUP($A107,'Data shares'!$C:$FB,43)</f>
        <v>6649500</v>
      </c>
      <c r="I107" s="50">
        <f>VLOOKUP($A107,'Data shares'!$C:$FB,45)*100</f>
        <v>345.6</v>
      </c>
      <c r="J107" s="49">
        <f>VLOOKUP($A107,'Data shares'!$C:$FB,58)</f>
        <v>116346750</v>
      </c>
      <c r="K107" s="49">
        <f>VLOOKUP($A107,'Data shares'!$C:$FB,59)</f>
        <v>24145875</v>
      </c>
      <c r="L107" s="50">
        <f>VLOOKUP($A107,'Data shares'!$C:$FB,61)*100</f>
        <v>381.84999999999997</v>
      </c>
      <c r="M107" s="49">
        <f>VLOOKUP($A107,'Data shares'!$C:$FB,62)</f>
        <v>45586125</v>
      </c>
      <c r="N107" s="49">
        <f>VLOOKUP($A107,'Data shares'!$C:$FB,63)</f>
        <v>14478750</v>
      </c>
      <c r="O107" s="140">
        <f>VLOOKUP($A107,'Data shares'!$C:$FB,65)*100</f>
        <v>214.85</v>
      </c>
    </row>
    <row r="108" spans="1:15" x14ac:dyDescent="0.25">
      <c r="A108" s="101" t="str">
        <f>'Data Vlaue (Cr)'!C103</f>
        <v>IREDA</v>
      </c>
      <c r="B108" s="50">
        <f>VLOOKUP($A108,'Data shares'!$C:$FB,7)</f>
        <v>136.41</v>
      </c>
      <c r="C108" s="50">
        <f>VLOOKUP($A108,'Data shares'!$C:$FB,10)*100</f>
        <v>0.84</v>
      </c>
      <c r="D108" s="49">
        <f>VLOOKUP($A108,'Data shares'!$C:$FB,66)</f>
        <v>18509250</v>
      </c>
      <c r="E108" s="49">
        <f>VLOOKUP($A108,'Data shares'!$C:$FB,67)</f>
        <v>14327850</v>
      </c>
      <c r="F108" s="50">
        <f>VLOOKUP($A108,'Data shares'!$C:$FB,69)*100</f>
        <v>29.18</v>
      </c>
      <c r="G108" s="49">
        <f>VLOOKUP($A108,'Data shares'!$C:$FB,42)</f>
        <v>6351450</v>
      </c>
      <c r="H108" s="49">
        <f>VLOOKUP($A108,'Data shares'!$C:$FB,43)</f>
        <v>3988200</v>
      </c>
      <c r="I108" s="50">
        <f>VLOOKUP($A108,'Data shares'!$C:$FB,45)*100</f>
        <v>59.260000000000005</v>
      </c>
      <c r="J108" s="49">
        <f>VLOOKUP($A108,'Data shares'!$C:$FB,58)</f>
        <v>8711250</v>
      </c>
      <c r="K108" s="49">
        <f>VLOOKUP($A108,'Data shares'!$C:$FB,59)</f>
        <v>7386450</v>
      </c>
      <c r="L108" s="50">
        <f>VLOOKUP($A108,'Data shares'!$C:$FB,61)*100</f>
        <v>17.940000000000001</v>
      </c>
      <c r="M108" s="49">
        <f>VLOOKUP($A108,'Data shares'!$C:$FB,62)</f>
        <v>3446550</v>
      </c>
      <c r="N108" s="49">
        <f>VLOOKUP($A108,'Data shares'!$C:$FB,63)</f>
        <v>2953200</v>
      </c>
      <c r="O108" s="140">
        <f>VLOOKUP($A108,'Data shares'!$C:$FB,65)*100</f>
        <v>16.71</v>
      </c>
    </row>
    <row r="109" spans="1:15" x14ac:dyDescent="0.25">
      <c r="A109" s="101" t="str">
        <f>'Data Vlaue (Cr)'!C104</f>
        <v>IRFC</v>
      </c>
      <c r="B109" s="50">
        <f>VLOOKUP($A109,'Data shares'!$C:$FB,7)</f>
        <v>106.74</v>
      </c>
      <c r="C109" s="50">
        <f>VLOOKUP($A109,'Data shares'!$C:$FB,10)*100</f>
        <v>0.86999999999999988</v>
      </c>
      <c r="D109" s="49">
        <f>VLOOKUP($A109,'Data shares'!$C:$FB,66)</f>
        <v>56916000</v>
      </c>
      <c r="E109" s="49">
        <f>VLOOKUP($A109,'Data shares'!$C:$FB,67)</f>
        <v>100529500</v>
      </c>
      <c r="F109" s="50">
        <f>VLOOKUP($A109,'Data shares'!$C:$FB,69)*100</f>
        <v>-43.38</v>
      </c>
      <c r="G109" s="49">
        <f>VLOOKUP($A109,'Data shares'!$C:$FB,42)</f>
        <v>7917750</v>
      </c>
      <c r="H109" s="49">
        <f>VLOOKUP($A109,'Data shares'!$C:$FB,43)</f>
        <v>14241750</v>
      </c>
      <c r="I109" s="50">
        <f>VLOOKUP($A109,'Data shares'!$C:$FB,45)*100</f>
        <v>-44.4</v>
      </c>
      <c r="J109" s="49">
        <f>VLOOKUP($A109,'Data shares'!$C:$FB,58)</f>
        <v>37021750</v>
      </c>
      <c r="K109" s="49">
        <f>VLOOKUP($A109,'Data shares'!$C:$FB,59)</f>
        <v>70647750</v>
      </c>
      <c r="L109" s="50">
        <f>VLOOKUP($A109,'Data shares'!$C:$FB,61)*100</f>
        <v>-47.599999999999994</v>
      </c>
      <c r="M109" s="49">
        <f>VLOOKUP($A109,'Data shares'!$C:$FB,62)</f>
        <v>11976500</v>
      </c>
      <c r="N109" s="49">
        <f>VLOOKUP($A109,'Data shares'!$C:$FB,63)</f>
        <v>15640000</v>
      </c>
      <c r="O109" s="140">
        <f>VLOOKUP($A109,'Data shares'!$C:$FB,65)*100</f>
        <v>-23.419999999999998</v>
      </c>
    </row>
    <row r="110" spans="1:15" x14ac:dyDescent="0.25">
      <c r="A110" s="101" t="str">
        <f>'Data Vlaue (Cr)'!C105</f>
        <v>ITC</v>
      </c>
      <c r="B110" s="50">
        <f>VLOOKUP($A110,'Data shares'!$C:$FB,7)</f>
        <v>310.7</v>
      </c>
      <c r="C110" s="50">
        <f>VLOOKUP($A110,'Data shares'!$C:$FB,10)*100</f>
        <v>-0.24</v>
      </c>
      <c r="D110" s="49">
        <f>VLOOKUP($A110,'Data shares'!$C:$FB,66)</f>
        <v>137014400</v>
      </c>
      <c r="E110" s="49">
        <f>VLOOKUP($A110,'Data shares'!$C:$FB,67)</f>
        <v>158748800</v>
      </c>
      <c r="F110" s="50">
        <f>VLOOKUP($A110,'Data shares'!$C:$FB,69)*100</f>
        <v>-13.69</v>
      </c>
      <c r="G110" s="49">
        <f>VLOOKUP($A110,'Data shares'!$C:$FB,42)</f>
        <v>14294400</v>
      </c>
      <c r="H110" s="49">
        <f>VLOOKUP($A110,'Data shares'!$C:$FB,43)</f>
        <v>13651200</v>
      </c>
      <c r="I110" s="50">
        <f>VLOOKUP($A110,'Data shares'!$C:$FB,45)*100</f>
        <v>4.71</v>
      </c>
      <c r="J110" s="49">
        <f>VLOOKUP($A110,'Data shares'!$C:$FB,58)</f>
        <v>93803200</v>
      </c>
      <c r="K110" s="49">
        <f>VLOOKUP($A110,'Data shares'!$C:$FB,59)</f>
        <v>109184000</v>
      </c>
      <c r="L110" s="50">
        <f>VLOOKUP($A110,'Data shares'!$C:$FB,61)*100</f>
        <v>-14.09</v>
      </c>
      <c r="M110" s="49">
        <f>VLOOKUP($A110,'Data shares'!$C:$FB,62)</f>
        <v>28916800</v>
      </c>
      <c r="N110" s="49">
        <f>VLOOKUP($A110,'Data shares'!$C:$FB,63)</f>
        <v>35913600</v>
      </c>
      <c r="O110" s="140">
        <f>VLOOKUP($A110,'Data shares'!$C:$FB,65)*100</f>
        <v>-19.48</v>
      </c>
    </row>
    <row r="111" spans="1:15" x14ac:dyDescent="0.25">
      <c r="A111" s="101" t="str">
        <f>'Data Vlaue (Cr)'!C106</f>
        <v>JINDALSTEL</v>
      </c>
      <c r="B111" s="50">
        <f>VLOOKUP($A111,'Data shares'!$C:$FB,7)</f>
        <v>1264.3</v>
      </c>
      <c r="C111" s="50">
        <f>VLOOKUP($A111,'Data shares'!$C:$FB,10)*100</f>
        <v>0.25</v>
      </c>
      <c r="D111" s="49">
        <f>VLOOKUP($A111,'Data shares'!$C:$FB,66)</f>
        <v>10355000</v>
      </c>
      <c r="E111" s="49">
        <f>VLOOKUP($A111,'Data shares'!$C:$FB,67)</f>
        <v>19796875</v>
      </c>
      <c r="F111" s="50">
        <f>VLOOKUP($A111,'Data shares'!$C:$FB,69)*100</f>
        <v>-47.69</v>
      </c>
      <c r="G111" s="49">
        <f>VLOOKUP($A111,'Data shares'!$C:$FB,42)</f>
        <v>1800000</v>
      </c>
      <c r="H111" s="49">
        <f>VLOOKUP($A111,'Data shares'!$C:$FB,43)</f>
        <v>2366250</v>
      </c>
      <c r="I111" s="50">
        <f>VLOOKUP($A111,'Data shares'!$C:$FB,45)*100</f>
        <v>-23.93</v>
      </c>
      <c r="J111" s="49">
        <f>VLOOKUP($A111,'Data shares'!$C:$FB,58)</f>
        <v>5563750</v>
      </c>
      <c r="K111" s="49">
        <f>VLOOKUP($A111,'Data shares'!$C:$FB,59)</f>
        <v>12453125</v>
      </c>
      <c r="L111" s="50">
        <f>VLOOKUP($A111,'Data shares'!$C:$FB,61)*100</f>
        <v>-55.32</v>
      </c>
      <c r="M111" s="49">
        <f>VLOOKUP($A111,'Data shares'!$C:$FB,62)</f>
        <v>2991250</v>
      </c>
      <c r="N111" s="49">
        <f>VLOOKUP($A111,'Data shares'!$C:$FB,63)</f>
        <v>4977500</v>
      </c>
      <c r="O111" s="140">
        <f>VLOOKUP($A111,'Data shares'!$C:$FB,65)*100</f>
        <v>-39.900000000000006</v>
      </c>
    </row>
    <row r="112" spans="1:15" x14ac:dyDescent="0.25">
      <c r="A112" s="101" t="str">
        <f>'Data Vlaue (Cr)'!C107</f>
        <v>JIOFIN</v>
      </c>
      <c r="B112" s="50">
        <f>VLOOKUP($A112,'Data shares'!$C:$FB,7)</f>
        <v>252.44</v>
      </c>
      <c r="C112" s="50">
        <f>VLOOKUP($A112,'Data shares'!$C:$FB,10)*100</f>
        <v>1.6099999999999999</v>
      </c>
      <c r="D112" s="49">
        <f>VLOOKUP($A112,'Data shares'!$C:$FB,66)</f>
        <v>100135850</v>
      </c>
      <c r="E112" s="49">
        <f>VLOOKUP($A112,'Data shares'!$C:$FB,67)</f>
        <v>80849400</v>
      </c>
      <c r="F112" s="50">
        <f>VLOOKUP($A112,'Data shares'!$C:$FB,69)*100</f>
        <v>23.849999999999998</v>
      </c>
      <c r="G112" s="49">
        <f>VLOOKUP($A112,'Data shares'!$C:$FB,42)</f>
        <v>21873800</v>
      </c>
      <c r="H112" s="49">
        <f>VLOOKUP($A112,'Data shares'!$C:$FB,43)</f>
        <v>18698950</v>
      </c>
      <c r="I112" s="50">
        <f>VLOOKUP($A112,'Data shares'!$C:$FB,45)*100</f>
        <v>16.98</v>
      </c>
      <c r="J112" s="49">
        <f>VLOOKUP($A112,'Data shares'!$C:$FB,58)</f>
        <v>54031200</v>
      </c>
      <c r="K112" s="49">
        <f>VLOOKUP($A112,'Data shares'!$C:$FB,59)</f>
        <v>43672400</v>
      </c>
      <c r="L112" s="50">
        <f>VLOOKUP($A112,'Data shares'!$C:$FB,61)*100</f>
        <v>23.72</v>
      </c>
      <c r="M112" s="49">
        <f>VLOOKUP($A112,'Data shares'!$C:$FB,62)</f>
        <v>24230850</v>
      </c>
      <c r="N112" s="49">
        <f>VLOOKUP($A112,'Data shares'!$C:$FB,63)</f>
        <v>18478050</v>
      </c>
      <c r="O112" s="140">
        <f>VLOOKUP($A112,'Data shares'!$C:$FB,65)*100</f>
        <v>31.130000000000003</v>
      </c>
    </row>
    <row r="113" spans="1:15" x14ac:dyDescent="0.25">
      <c r="A113" s="101" t="str">
        <f>'Data Vlaue (Cr)'!C108</f>
        <v>JSWENERGY</v>
      </c>
      <c r="B113" s="50">
        <f>VLOOKUP($A113,'Data shares'!$C:$FB,7)</f>
        <v>567.9</v>
      </c>
      <c r="C113" s="50">
        <f>VLOOKUP($A113,'Data shares'!$C:$FB,10)*100</f>
        <v>1.06</v>
      </c>
      <c r="D113" s="49">
        <f>VLOOKUP($A113,'Data shares'!$C:$FB,66)</f>
        <v>8856000</v>
      </c>
      <c r="E113" s="49">
        <f>VLOOKUP($A113,'Data shares'!$C:$FB,67)</f>
        <v>6816000</v>
      </c>
      <c r="F113" s="50">
        <f>VLOOKUP($A113,'Data shares'!$C:$FB,69)*100</f>
        <v>29.93</v>
      </c>
      <c r="G113" s="49">
        <f>VLOOKUP($A113,'Data shares'!$C:$FB,42)</f>
        <v>2733000</v>
      </c>
      <c r="H113" s="49">
        <f>VLOOKUP($A113,'Data shares'!$C:$FB,43)</f>
        <v>1875000</v>
      </c>
      <c r="I113" s="50">
        <f>VLOOKUP($A113,'Data shares'!$C:$FB,45)*100</f>
        <v>45.76</v>
      </c>
      <c r="J113" s="49">
        <f>VLOOKUP($A113,'Data shares'!$C:$FB,58)</f>
        <v>4321000</v>
      </c>
      <c r="K113" s="49">
        <f>VLOOKUP($A113,'Data shares'!$C:$FB,59)</f>
        <v>3758000</v>
      </c>
      <c r="L113" s="50">
        <f>VLOOKUP($A113,'Data shares'!$C:$FB,61)*100</f>
        <v>14.979999999999999</v>
      </c>
      <c r="M113" s="49">
        <f>VLOOKUP($A113,'Data shares'!$C:$FB,62)</f>
        <v>1802000</v>
      </c>
      <c r="N113" s="49">
        <f>VLOOKUP($A113,'Data shares'!$C:$FB,63)</f>
        <v>1183000</v>
      </c>
      <c r="O113" s="140">
        <f>VLOOKUP($A113,'Data shares'!$C:$FB,65)*100</f>
        <v>52.32</v>
      </c>
    </row>
    <row r="114" spans="1:15" x14ac:dyDescent="0.25">
      <c r="A114" s="101" t="str">
        <f>'Data Vlaue (Cr)'!C109</f>
        <v>JSWSTEEL</v>
      </c>
      <c r="B114" s="50">
        <f>VLOOKUP($A114,'Data shares'!$C:$FB,7)</f>
        <v>1273.3</v>
      </c>
      <c r="C114" s="50">
        <f>VLOOKUP($A114,'Data shares'!$C:$FB,10)*100</f>
        <v>1.67</v>
      </c>
      <c r="D114" s="49">
        <f>VLOOKUP($A114,'Data shares'!$C:$FB,66)</f>
        <v>7776000</v>
      </c>
      <c r="E114" s="49">
        <f>VLOOKUP($A114,'Data shares'!$C:$FB,67)</f>
        <v>7682175</v>
      </c>
      <c r="F114" s="50">
        <f>VLOOKUP($A114,'Data shares'!$C:$FB,69)*100</f>
        <v>1.22</v>
      </c>
      <c r="G114" s="49">
        <f>VLOOKUP($A114,'Data shares'!$C:$FB,42)</f>
        <v>1944675</v>
      </c>
      <c r="H114" s="49">
        <f>VLOOKUP($A114,'Data shares'!$C:$FB,43)</f>
        <v>1689525</v>
      </c>
      <c r="I114" s="50">
        <f>VLOOKUP($A114,'Data shares'!$C:$FB,45)*100</f>
        <v>15.1</v>
      </c>
      <c r="J114" s="49">
        <f>VLOOKUP($A114,'Data shares'!$C:$FB,58)</f>
        <v>3725325</v>
      </c>
      <c r="K114" s="49">
        <f>VLOOKUP($A114,'Data shares'!$C:$FB,59)</f>
        <v>3203550</v>
      </c>
      <c r="L114" s="50">
        <f>VLOOKUP($A114,'Data shares'!$C:$FB,61)*100</f>
        <v>16.29</v>
      </c>
      <c r="M114" s="49">
        <f>VLOOKUP($A114,'Data shares'!$C:$FB,62)</f>
        <v>2106000</v>
      </c>
      <c r="N114" s="49">
        <f>VLOOKUP($A114,'Data shares'!$C:$FB,63)</f>
        <v>2789100</v>
      </c>
      <c r="O114" s="140">
        <f>VLOOKUP($A114,'Data shares'!$C:$FB,65)*100</f>
        <v>-24.490000000000002</v>
      </c>
    </row>
    <row r="115" spans="1:15" x14ac:dyDescent="0.25">
      <c r="A115" s="101" t="str">
        <f>'Data Vlaue (Cr)'!C110</f>
        <v>JUBLFOOD</v>
      </c>
      <c r="B115" s="50">
        <f>VLOOKUP($A115,'Data shares'!$C:$FB,7)</f>
        <v>471.25</v>
      </c>
      <c r="C115" s="50">
        <f>VLOOKUP($A115,'Data shares'!$C:$FB,10)*100</f>
        <v>1.27</v>
      </c>
      <c r="D115" s="49">
        <f>VLOOKUP($A115,'Data shares'!$C:$FB,66)</f>
        <v>14785000</v>
      </c>
      <c r="E115" s="49">
        <f>VLOOKUP($A115,'Data shares'!$C:$FB,67)</f>
        <v>8015000</v>
      </c>
      <c r="F115" s="50">
        <f>VLOOKUP($A115,'Data shares'!$C:$FB,69)*100</f>
        <v>84.47</v>
      </c>
      <c r="G115" s="49">
        <f>VLOOKUP($A115,'Data shares'!$C:$FB,42)</f>
        <v>4925000</v>
      </c>
      <c r="H115" s="49">
        <f>VLOOKUP($A115,'Data shares'!$C:$FB,43)</f>
        <v>2000000</v>
      </c>
      <c r="I115" s="50">
        <f>VLOOKUP($A115,'Data shares'!$C:$FB,45)*100</f>
        <v>146.25</v>
      </c>
      <c r="J115" s="49">
        <f>VLOOKUP($A115,'Data shares'!$C:$FB,58)</f>
        <v>7658750</v>
      </c>
      <c r="K115" s="49">
        <f>VLOOKUP($A115,'Data shares'!$C:$FB,59)</f>
        <v>4445000</v>
      </c>
      <c r="L115" s="50">
        <f>VLOOKUP($A115,'Data shares'!$C:$FB,61)*100</f>
        <v>72.3</v>
      </c>
      <c r="M115" s="49">
        <f>VLOOKUP($A115,'Data shares'!$C:$FB,62)</f>
        <v>2201250</v>
      </c>
      <c r="N115" s="49">
        <f>VLOOKUP($A115,'Data shares'!$C:$FB,63)</f>
        <v>1570000</v>
      </c>
      <c r="O115" s="140">
        <f>VLOOKUP($A115,'Data shares'!$C:$FB,65)*100</f>
        <v>40.21</v>
      </c>
    </row>
    <row r="116" spans="1:15" x14ac:dyDescent="0.25">
      <c r="A116" s="101" t="str">
        <f>'Data Vlaue (Cr)'!C111</f>
        <v>KALYANKJIL</v>
      </c>
      <c r="B116" s="50">
        <f>VLOOKUP($A116,'Data shares'!$C:$FB,7)</f>
        <v>415.65</v>
      </c>
      <c r="C116" s="50">
        <f>VLOOKUP($A116,'Data shares'!$C:$FB,10)*100</f>
        <v>2.23</v>
      </c>
      <c r="D116" s="49">
        <f>VLOOKUP($A116,'Data shares'!$C:$FB,66)</f>
        <v>14586450</v>
      </c>
      <c r="E116" s="49">
        <f>VLOOKUP($A116,'Data shares'!$C:$FB,67)</f>
        <v>8293150</v>
      </c>
      <c r="F116" s="50">
        <f>VLOOKUP($A116,'Data shares'!$C:$FB,69)*100</f>
        <v>75.89</v>
      </c>
      <c r="G116" s="49">
        <f>VLOOKUP($A116,'Data shares'!$C:$FB,42)</f>
        <v>2563850</v>
      </c>
      <c r="H116" s="49">
        <f>VLOOKUP($A116,'Data shares'!$C:$FB,43)</f>
        <v>1786000</v>
      </c>
      <c r="I116" s="50">
        <f>VLOOKUP($A116,'Data shares'!$C:$FB,45)*100</f>
        <v>43.55</v>
      </c>
      <c r="J116" s="49">
        <f>VLOOKUP($A116,'Data shares'!$C:$FB,58)</f>
        <v>8991100</v>
      </c>
      <c r="K116" s="49">
        <f>VLOOKUP($A116,'Data shares'!$C:$FB,59)</f>
        <v>4489675</v>
      </c>
      <c r="L116" s="50">
        <f>VLOOKUP($A116,'Data shares'!$C:$FB,61)*100</f>
        <v>100.25999999999999</v>
      </c>
      <c r="M116" s="49">
        <f>VLOOKUP($A116,'Data shares'!$C:$FB,62)</f>
        <v>3031500</v>
      </c>
      <c r="N116" s="49">
        <f>VLOOKUP($A116,'Data shares'!$C:$FB,63)</f>
        <v>2017475</v>
      </c>
      <c r="O116" s="140">
        <f>VLOOKUP($A116,'Data shares'!$C:$FB,65)*100</f>
        <v>50.260000000000005</v>
      </c>
    </row>
    <row r="117" spans="1:15" x14ac:dyDescent="0.25">
      <c r="A117" s="101" t="str">
        <f>'Data Vlaue (Cr)'!C112</f>
        <v>KAYNES</v>
      </c>
      <c r="B117" s="50">
        <f>VLOOKUP($A117,'Data shares'!$C:$FB,7)</f>
        <v>4305.5</v>
      </c>
      <c r="C117" s="50">
        <f>VLOOKUP($A117,'Data shares'!$C:$FB,10)*100</f>
        <v>3.2300000000000004</v>
      </c>
      <c r="D117" s="49">
        <f>VLOOKUP($A117,'Data shares'!$C:$FB,66)</f>
        <v>3209500</v>
      </c>
      <c r="E117" s="49">
        <f>VLOOKUP($A117,'Data shares'!$C:$FB,67)</f>
        <v>2916200</v>
      </c>
      <c r="F117" s="50">
        <f>VLOOKUP($A117,'Data shares'!$C:$FB,69)*100</f>
        <v>10.059999999999999</v>
      </c>
      <c r="G117" s="49">
        <f>VLOOKUP($A117,'Data shares'!$C:$FB,42)</f>
        <v>720000</v>
      </c>
      <c r="H117" s="49">
        <f>VLOOKUP($A117,'Data shares'!$C:$FB,43)</f>
        <v>585800</v>
      </c>
      <c r="I117" s="50">
        <f>VLOOKUP($A117,'Data shares'!$C:$FB,45)*100</f>
        <v>22.91</v>
      </c>
      <c r="J117" s="49">
        <f>VLOOKUP($A117,'Data shares'!$C:$FB,58)</f>
        <v>1798500</v>
      </c>
      <c r="K117" s="49">
        <f>VLOOKUP($A117,'Data shares'!$C:$FB,59)</f>
        <v>1731900</v>
      </c>
      <c r="L117" s="50">
        <f>VLOOKUP($A117,'Data shares'!$C:$FB,61)*100</f>
        <v>3.85</v>
      </c>
      <c r="M117" s="49">
        <f>VLOOKUP($A117,'Data shares'!$C:$FB,62)</f>
        <v>691000</v>
      </c>
      <c r="N117" s="49">
        <f>VLOOKUP($A117,'Data shares'!$C:$FB,63)</f>
        <v>598500</v>
      </c>
      <c r="O117" s="140">
        <f>VLOOKUP($A117,'Data shares'!$C:$FB,65)*100</f>
        <v>15.459999999999999</v>
      </c>
    </row>
    <row r="118" spans="1:15" x14ac:dyDescent="0.25">
      <c r="A118" s="101" t="str">
        <f>'Data Vlaue (Cr)'!C113</f>
        <v>KEI</v>
      </c>
      <c r="B118" s="50">
        <f>VLOOKUP($A118,'Data shares'!$C:$FB,7)</f>
        <v>5148.6000000000004</v>
      </c>
      <c r="C118" s="50">
        <f>VLOOKUP($A118,'Data shares'!$C:$FB,10)*100</f>
        <v>2.6</v>
      </c>
      <c r="D118" s="49">
        <f>VLOOKUP($A118,'Data shares'!$C:$FB,66)</f>
        <v>4993100</v>
      </c>
      <c r="E118" s="49">
        <f>VLOOKUP($A118,'Data shares'!$C:$FB,67)</f>
        <v>13749925</v>
      </c>
      <c r="F118" s="50">
        <f>VLOOKUP($A118,'Data shares'!$C:$FB,69)*100</f>
        <v>-63.690000000000005</v>
      </c>
      <c r="G118" s="49">
        <f>VLOOKUP($A118,'Data shares'!$C:$FB,42)</f>
        <v>689675</v>
      </c>
      <c r="H118" s="49">
        <f>VLOOKUP($A118,'Data shares'!$C:$FB,43)</f>
        <v>1878975</v>
      </c>
      <c r="I118" s="50">
        <f>VLOOKUP($A118,'Data shares'!$C:$FB,45)*100</f>
        <v>-63.3</v>
      </c>
      <c r="J118" s="49">
        <f>VLOOKUP($A118,'Data shares'!$C:$FB,58)</f>
        <v>2972025</v>
      </c>
      <c r="K118" s="49">
        <f>VLOOKUP($A118,'Data shares'!$C:$FB,59)</f>
        <v>7159075</v>
      </c>
      <c r="L118" s="50">
        <f>VLOOKUP($A118,'Data shares'!$C:$FB,61)*100</f>
        <v>-58.489999999999995</v>
      </c>
      <c r="M118" s="49">
        <f>VLOOKUP($A118,'Data shares'!$C:$FB,62)</f>
        <v>1331400</v>
      </c>
      <c r="N118" s="49">
        <f>VLOOKUP($A118,'Data shares'!$C:$FB,63)</f>
        <v>4711875</v>
      </c>
      <c r="O118" s="140">
        <f>VLOOKUP($A118,'Data shares'!$C:$FB,65)*100</f>
        <v>-71.740000000000009</v>
      </c>
    </row>
    <row r="119" spans="1:15" x14ac:dyDescent="0.25">
      <c r="A119" s="101" t="str">
        <f>'Data Vlaue (Cr)'!C114</f>
        <v>KFINTECH</v>
      </c>
      <c r="B119" s="50">
        <f>VLOOKUP($A119,'Data shares'!$C:$FB,7)</f>
        <v>912.5</v>
      </c>
      <c r="C119" s="50">
        <f>VLOOKUP($A119,'Data shares'!$C:$FB,10)*100</f>
        <v>1.7999999999999998</v>
      </c>
      <c r="D119" s="49">
        <f>VLOOKUP($A119,'Data shares'!$C:$FB,66)</f>
        <v>7600000</v>
      </c>
      <c r="E119" s="49">
        <f>VLOOKUP($A119,'Data shares'!$C:$FB,67)</f>
        <v>20093500</v>
      </c>
      <c r="F119" s="50">
        <f>VLOOKUP($A119,'Data shares'!$C:$FB,69)*100</f>
        <v>-62.18</v>
      </c>
      <c r="G119" s="49">
        <f>VLOOKUP($A119,'Data shares'!$C:$FB,42)</f>
        <v>1618000</v>
      </c>
      <c r="H119" s="49">
        <f>VLOOKUP($A119,'Data shares'!$C:$FB,43)</f>
        <v>3231000</v>
      </c>
      <c r="I119" s="50">
        <f>VLOOKUP($A119,'Data shares'!$C:$FB,45)*100</f>
        <v>-49.919999999999995</v>
      </c>
      <c r="J119" s="49">
        <f>VLOOKUP($A119,'Data shares'!$C:$FB,58)</f>
        <v>4191500</v>
      </c>
      <c r="K119" s="49">
        <f>VLOOKUP($A119,'Data shares'!$C:$FB,59)</f>
        <v>11422500</v>
      </c>
      <c r="L119" s="50">
        <f>VLOOKUP($A119,'Data shares'!$C:$FB,61)*100</f>
        <v>-63.3</v>
      </c>
      <c r="M119" s="49">
        <f>VLOOKUP($A119,'Data shares'!$C:$FB,62)</f>
        <v>1790500</v>
      </c>
      <c r="N119" s="49">
        <f>VLOOKUP($A119,'Data shares'!$C:$FB,63)</f>
        <v>5440000</v>
      </c>
      <c r="O119" s="140">
        <f>VLOOKUP($A119,'Data shares'!$C:$FB,65)*100</f>
        <v>-67.09</v>
      </c>
    </row>
    <row r="120" spans="1:15" x14ac:dyDescent="0.25">
      <c r="A120" s="101" t="str">
        <f>'Data Vlaue (Cr)'!C115</f>
        <v>KOTAKBANK</v>
      </c>
      <c r="B120" s="50">
        <f>VLOOKUP($A120,'Data shares'!$C:$FB,7)</f>
        <v>376.6</v>
      </c>
      <c r="C120" s="50">
        <f>VLOOKUP($A120,'Data shares'!$C:$FB,10)*100</f>
        <v>1.41</v>
      </c>
      <c r="D120" s="49">
        <f>VLOOKUP($A120,'Data shares'!$C:$FB,66)</f>
        <v>164668000</v>
      </c>
      <c r="E120" s="49">
        <f>VLOOKUP($A120,'Data shares'!$C:$FB,67)</f>
        <v>97966000</v>
      </c>
      <c r="F120" s="50">
        <f>VLOOKUP($A120,'Data shares'!$C:$FB,69)*100</f>
        <v>68.089999999999989</v>
      </c>
      <c r="G120" s="49">
        <f>VLOOKUP($A120,'Data shares'!$C:$FB,42)</f>
        <v>38036000</v>
      </c>
      <c r="H120" s="49">
        <f>VLOOKUP($A120,'Data shares'!$C:$FB,43)</f>
        <v>20736000</v>
      </c>
      <c r="I120" s="50">
        <f>VLOOKUP($A120,'Data shares'!$C:$FB,45)*100</f>
        <v>83.43</v>
      </c>
      <c r="J120" s="49">
        <f>VLOOKUP($A120,'Data shares'!$C:$FB,58)</f>
        <v>85508000</v>
      </c>
      <c r="K120" s="49">
        <f>VLOOKUP($A120,'Data shares'!$C:$FB,59)</f>
        <v>51900000</v>
      </c>
      <c r="L120" s="50">
        <f>VLOOKUP($A120,'Data shares'!$C:$FB,61)*100</f>
        <v>64.759999999999991</v>
      </c>
      <c r="M120" s="49">
        <f>VLOOKUP($A120,'Data shares'!$C:$FB,62)</f>
        <v>41124000</v>
      </c>
      <c r="N120" s="49">
        <f>VLOOKUP($A120,'Data shares'!$C:$FB,63)</f>
        <v>25330000</v>
      </c>
      <c r="O120" s="140">
        <f>VLOOKUP($A120,'Data shares'!$C:$FB,65)*100</f>
        <v>62.350000000000009</v>
      </c>
    </row>
    <row r="121" spans="1:15" x14ac:dyDescent="0.25">
      <c r="A121" s="101" t="str">
        <f>'Data Vlaue (Cr)'!C116</f>
        <v>KPITTECH</v>
      </c>
      <c r="B121" s="50">
        <f>VLOOKUP($A121,'Data shares'!$C:$FB,7)</f>
        <v>748.6</v>
      </c>
      <c r="C121" s="50">
        <f>VLOOKUP($A121,'Data shares'!$C:$FB,10)*100</f>
        <v>-3.09</v>
      </c>
      <c r="D121" s="49">
        <f>VLOOKUP($A121,'Data shares'!$C:$FB,66)</f>
        <v>107675025</v>
      </c>
      <c r="E121" s="49">
        <f>VLOOKUP($A121,'Data shares'!$C:$FB,67)</f>
        <v>5173950</v>
      </c>
      <c r="F121" s="50">
        <f>VLOOKUP($A121,'Data shares'!$C:$FB,69)*100</f>
        <v>1981.1</v>
      </c>
      <c r="G121" s="49">
        <f>VLOOKUP($A121,'Data shares'!$C:$FB,42)</f>
        <v>14061550</v>
      </c>
      <c r="H121" s="49">
        <f>VLOOKUP($A121,'Data shares'!$C:$FB,43)</f>
        <v>1096500</v>
      </c>
      <c r="I121" s="50">
        <f>VLOOKUP($A121,'Data shares'!$C:$FB,45)*100</f>
        <v>1182.4000000000001</v>
      </c>
      <c r="J121" s="49">
        <f>VLOOKUP($A121,'Data shares'!$C:$FB,58)</f>
        <v>60233125</v>
      </c>
      <c r="K121" s="49">
        <f>VLOOKUP($A121,'Data shares'!$C:$FB,59)</f>
        <v>2929525</v>
      </c>
      <c r="L121" s="50">
        <f>VLOOKUP($A121,'Data shares'!$C:$FB,61)*100</f>
        <v>1956.0700000000002</v>
      </c>
      <c r="M121" s="49">
        <f>VLOOKUP($A121,'Data shares'!$C:$FB,62)</f>
        <v>33380350</v>
      </c>
      <c r="N121" s="49">
        <f>VLOOKUP($A121,'Data shares'!$C:$FB,63)</f>
        <v>1147925</v>
      </c>
      <c r="O121" s="140">
        <f>VLOOKUP($A121,'Data shares'!$C:$FB,65)*100</f>
        <v>2807.89</v>
      </c>
    </row>
    <row r="122" spans="1:15" x14ac:dyDescent="0.25">
      <c r="A122" s="101" t="str">
        <f>'Data Vlaue (Cr)'!C117</f>
        <v>LAURUSLABS</v>
      </c>
      <c r="B122" s="50">
        <f>VLOOKUP($A122,'Data shares'!$C:$FB,7)</f>
        <v>1177.5999999999999</v>
      </c>
      <c r="C122" s="50">
        <f>VLOOKUP($A122,'Data shares'!$C:$FB,10)*100</f>
        <v>1.1599999999999999</v>
      </c>
      <c r="D122" s="49">
        <f>VLOOKUP($A122,'Data shares'!$C:$FB,66)</f>
        <v>29962500</v>
      </c>
      <c r="E122" s="49">
        <f>VLOOKUP($A122,'Data shares'!$C:$FB,67)</f>
        <v>19116500</v>
      </c>
      <c r="F122" s="50">
        <f>VLOOKUP($A122,'Data shares'!$C:$FB,69)*100</f>
        <v>56.74</v>
      </c>
      <c r="G122" s="49">
        <f>VLOOKUP($A122,'Data shares'!$C:$FB,42)</f>
        <v>5536900</v>
      </c>
      <c r="H122" s="49">
        <f>VLOOKUP($A122,'Data shares'!$C:$FB,43)</f>
        <v>4680950</v>
      </c>
      <c r="I122" s="50">
        <f>VLOOKUP($A122,'Data shares'!$C:$FB,45)*100</f>
        <v>18.29</v>
      </c>
      <c r="J122" s="49">
        <f>VLOOKUP($A122,'Data shares'!$C:$FB,58)</f>
        <v>15985100</v>
      </c>
      <c r="K122" s="49">
        <f>VLOOKUP($A122,'Data shares'!$C:$FB,59)</f>
        <v>9078850</v>
      </c>
      <c r="L122" s="50">
        <f>VLOOKUP($A122,'Data shares'!$C:$FB,61)*100</f>
        <v>76.070000000000007</v>
      </c>
      <c r="M122" s="49">
        <f>VLOOKUP($A122,'Data shares'!$C:$FB,62)</f>
        <v>8440500</v>
      </c>
      <c r="N122" s="49">
        <f>VLOOKUP($A122,'Data shares'!$C:$FB,63)</f>
        <v>5356700</v>
      </c>
      <c r="O122" s="140">
        <f>VLOOKUP($A122,'Data shares'!$C:$FB,65)*100</f>
        <v>57.57</v>
      </c>
    </row>
    <row r="123" spans="1:15" x14ac:dyDescent="0.25">
      <c r="A123" s="101" t="str">
        <f>'Data Vlaue (Cr)'!C118</f>
        <v>LICHSGFIN</v>
      </c>
      <c r="B123" s="50">
        <f>VLOOKUP($A123,'Data shares'!$C:$FB,7)</f>
        <v>582.15</v>
      </c>
      <c r="C123" s="50">
        <f>VLOOKUP($A123,'Data shares'!$C:$FB,10)*100</f>
        <v>4.3</v>
      </c>
      <c r="D123" s="49">
        <f>VLOOKUP($A123,'Data shares'!$C:$FB,66)</f>
        <v>45844000</v>
      </c>
      <c r="E123" s="49">
        <f>VLOOKUP($A123,'Data shares'!$C:$FB,67)</f>
        <v>5642000</v>
      </c>
      <c r="F123" s="50">
        <f>VLOOKUP($A123,'Data shares'!$C:$FB,69)*100</f>
        <v>712.55</v>
      </c>
      <c r="G123" s="49">
        <f>VLOOKUP($A123,'Data shares'!$C:$FB,42)</f>
        <v>7254000</v>
      </c>
      <c r="H123" s="49">
        <f>VLOOKUP($A123,'Data shares'!$C:$FB,43)</f>
        <v>1458000</v>
      </c>
      <c r="I123" s="50">
        <f>VLOOKUP($A123,'Data shares'!$C:$FB,45)*100</f>
        <v>397.53</v>
      </c>
      <c r="J123" s="49">
        <f>VLOOKUP($A123,'Data shares'!$C:$FB,58)</f>
        <v>29432000</v>
      </c>
      <c r="K123" s="49">
        <f>VLOOKUP($A123,'Data shares'!$C:$FB,59)</f>
        <v>3027000</v>
      </c>
      <c r="L123" s="50">
        <f>VLOOKUP($A123,'Data shares'!$C:$FB,61)*100</f>
        <v>872.32</v>
      </c>
      <c r="M123" s="49">
        <f>VLOOKUP($A123,'Data shares'!$C:$FB,62)</f>
        <v>9158000</v>
      </c>
      <c r="N123" s="49">
        <f>VLOOKUP($A123,'Data shares'!$C:$FB,63)</f>
        <v>1157000</v>
      </c>
      <c r="O123" s="140">
        <f>VLOOKUP($A123,'Data shares'!$C:$FB,65)*100</f>
        <v>691.53</v>
      </c>
    </row>
    <row r="124" spans="1:15" x14ac:dyDescent="0.25">
      <c r="A124" s="101" t="str">
        <f>'Data Vlaue (Cr)'!C119</f>
        <v>LICI</v>
      </c>
      <c r="B124" s="50">
        <f>VLOOKUP($A124,'Data shares'!$C:$FB,7)</f>
        <v>807.25</v>
      </c>
      <c r="C124" s="50">
        <f>VLOOKUP($A124,'Data shares'!$C:$FB,10)*100</f>
        <v>1</v>
      </c>
      <c r="D124" s="49">
        <f>VLOOKUP($A124,'Data shares'!$C:$FB,66)</f>
        <v>6948900</v>
      </c>
      <c r="E124" s="49">
        <f>VLOOKUP($A124,'Data shares'!$C:$FB,67)</f>
        <v>3021200</v>
      </c>
      <c r="F124" s="50">
        <f>VLOOKUP($A124,'Data shares'!$C:$FB,69)*100</f>
        <v>130</v>
      </c>
      <c r="G124" s="49">
        <f>VLOOKUP($A124,'Data shares'!$C:$FB,42)</f>
        <v>1770300</v>
      </c>
      <c r="H124" s="49">
        <f>VLOOKUP($A124,'Data shares'!$C:$FB,43)</f>
        <v>599900</v>
      </c>
      <c r="I124" s="50">
        <f>VLOOKUP($A124,'Data shares'!$C:$FB,45)*100</f>
        <v>195.1</v>
      </c>
      <c r="J124" s="49">
        <f>VLOOKUP($A124,'Data shares'!$C:$FB,58)</f>
        <v>3531500</v>
      </c>
      <c r="K124" s="49">
        <f>VLOOKUP($A124,'Data shares'!$C:$FB,59)</f>
        <v>1960000</v>
      </c>
      <c r="L124" s="50">
        <f>VLOOKUP($A124,'Data shares'!$C:$FB,61)*100</f>
        <v>80.179999999999993</v>
      </c>
      <c r="M124" s="49">
        <f>VLOOKUP($A124,'Data shares'!$C:$FB,62)</f>
        <v>1647100</v>
      </c>
      <c r="N124" s="49">
        <f>VLOOKUP($A124,'Data shares'!$C:$FB,63)</f>
        <v>461300</v>
      </c>
      <c r="O124" s="140">
        <f>VLOOKUP($A124,'Data shares'!$C:$FB,65)*100</f>
        <v>257.06</v>
      </c>
    </row>
    <row r="125" spans="1:15" x14ac:dyDescent="0.25">
      <c r="A125" s="101" t="str">
        <f>'Data Vlaue (Cr)'!C120</f>
        <v>LODHA</v>
      </c>
      <c r="B125" s="50">
        <f>VLOOKUP($A125,'Data shares'!$C:$FB,7)</f>
        <v>949.15</v>
      </c>
      <c r="C125" s="50">
        <f>VLOOKUP($A125,'Data shares'!$C:$FB,10)*100</f>
        <v>4.55</v>
      </c>
      <c r="D125" s="49">
        <f>VLOOKUP($A125,'Data shares'!$C:$FB,66)</f>
        <v>8902350</v>
      </c>
      <c r="E125" s="49">
        <f>VLOOKUP($A125,'Data shares'!$C:$FB,67)</f>
        <v>5832450</v>
      </c>
      <c r="F125" s="50">
        <f>VLOOKUP($A125,'Data shares'!$C:$FB,69)*100</f>
        <v>52.629999999999995</v>
      </c>
      <c r="G125" s="49">
        <f>VLOOKUP($A125,'Data shares'!$C:$FB,42)</f>
        <v>1629450</v>
      </c>
      <c r="H125" s="49">
        <f>VLOOKUP($A125,'Data shares'!$C:$FB,43)</f>
        <v>1318050</v>
      </c>
      <c r="I125" s="50">
        <f>VLOOKUP($A125,'Data shares'!$C:$FB,45)*100</f>
        <v>23.630000000000003</v>
      </c>
      <c r="J125" s="49">
        <f>VLOOKUP($A125,'Data shares'!$C:$FB,58)</f>
        <v>5428350</v>
      </c>
      <c r="K125" s="49">
        <f>VLOOKUP($A125,'Data shares'!$C:$FB,59)</f>
        <v>2812050</v>
      </c>
      <c r="L125" s="50">
        <f>VLOOKUP($A125,'Data shares'!$C:$FB,61)*100</f>
        <v>93.04</v>
      </c>
      <c r="M125" s="49">
        <f>VLOOKUP($A125,'Data shares'!$C:$FB,62)</f>
        <v>1844550</v>
      </c>
      <c r="N125" s="49">
        <f>VLOOKUP($A125,'Data shares'!$C:$FB,63)</f>
        <v>1702350</v>
      </c>
      <c r="O125" s="140">
        <f>VLOOKUP($A125,'Data shares'!$C:$FB,65)*100</f>
        <v>8.35</v>
      </c>
    </row>
    <row r="126" spans="1:15" x14ac:dyDescent="0.25">
      <c r="A126" s="101" t="str">
        <f>'Data Vlaue (Cr)'!C121</f>
        <v>LT</v>
      </c>
      <c r="B126" s="50">
        <f>VLOOKUP($A126,'Data shares'!$C:$FB,7)</f>
        <v>4008.5</v>
      </c>
      <c r="C126" s="50">
        <f>VLOOKUP($A126,'Data shares'!$C:$FB,10)*100</f>
        <v>-1.1299999999999999</v>
      </c>
      <c r="D126" s="49">
        <f>VLOOKUP($A126,'Data shares'!$C:$FB,66)</f>
        <v>61375125</v>
      </c>
      <c r="E126" s="49">
        <f>VLOOKUP($A126,'Data shares'!$C:$FB,67)</f>
        <v>16248750</v>
      </c>
      <c r="F126" s="50">
        <f>VLOOKUP($A126,'Data shares'!$C:$FB,69)*100</f>
        <v>277.72000000000003</v>
      </c>
      <c r="G126" s="49">
        <f>VLOOKUP($A126,'Data shares'!$C:$FB,42)</f>
        <v>8420300</v>
      </c>
      <c r="H126" s="49">
        <f>VLOOKUP($A126,'Data shares'!$C:$FB,43)</f>
        <v>3169075</v>
      </c>
      <c r="I126" s="50">
        <f>VLOOKUP($A126,'Data shares'!$C:$FB,45)*100</f>
        <v>165.7</v>
      </c>
      <c r="J126" s="49">
        <f>VLOOKUP($A126,'Data shares'!$C:$FB,58)</f>
        <v>37152850</v>
      </c>
      <c r="K126" s="49">
        <f>VLOOKUP($A126,'Data shares'!$C:$FB,59)</f>
        <v>7978950</v>
      </c>
      <c r="L126" s="50">
        <f>VLOOKUP($A126,'Data shares'!$C:$FB,61)*100</f>
        <v>365.64</v>
      </c>
      <c r="M126" s="49">
        <f>VLOOKUP($A126,'Data shares'!$C:$FB,62)</f>
        <v>15801975</v>
      </c>
      <c r="N126" s="49">
        <f>VLOOKUP($A126,'Data shares'!$C:$FB,63)</f>
        <v>5100725</v>
      </c>
      <c r="O126" s="140">
        <f>VLOOKUP($A126,'Data shares'!$C:$FB,65)*100</f>
        <v>209.79999999999998</v>
      </c>
    </row>
    <row r="127" spans="1:15" x14ac:dyDescent="0.25">
      <c r="A127" s="101" t="str">
        <f>'Data Vlaue (Cr)'!C122</f>
        <v>LTF</v>
      </c>
      <c r="B127" s="50">
        <f>VLOOKUP($A127,'Data shares'!$C:$FB,7)</f>
        <v>300.3</v>
      </c>
      <c r="C127" s="50">
        <f>VLOOKUP($A127,'Data shares'!$C:$FB,10)*100</f>
        <v>3.39</v>
      </c>
      <c r="D127" s="49">
        <f>VLOOKUP($A127,'Data shares'!$C:$FB,66)</f>
        <v>60401250</v>
      </c>
      <c r="E127" s="49">
        <f>VLOOKUP($A127,'Data shares'!$C:$FB,67)</f>
        <v>22527000</v>
      </c>
      <c r="F127" s="50">
        <f>VLOOKUP($A127,'Data shares'!$C:$FB,69)*100</f>
        <v>168.13</v>
      </c>
      <c r="G127" s="49">
        <f>VLOOKUP($A127,'Data shares'!$C:$FB,42)</f>
        <v>13551750</v>
      </c>
      <c r="H127" s="49">
        <f>VLOOKUP($A127,'Data shares'!$C:$FB,43)</f>
        <v>7443000</v>
      </c>
      <c r="I127" s="50">
        <f>VLOOKUP($A127,'Data shares'!$C:$FB,45)*100</f>
        <v>82.07</v>
      </c>
      <c r="J127" s="49">
        <f>VLOOKUP($A127,'Data shares'!$C:$FB,58)</f>
        <v>34890750</v>
      </c>
      <c r="K127" s="49">
        <f>VLOOKUP($A127,'Data shares'!$C:$FB,59)</f>
        <v>11108250</v>
      </c>
      <c r="L127" s="50">
        <f>VLOOKUP($A127,'Data shares'!$C:$FB,61)*100</f>
        <v>214.1</v>
      </c>
      <c r="M127" s="49">
        <f>VLOOKUP($A127,'Data shares'!$C:$FB,62)</f>
        <v>11958750</v>
      </c>
      <c r="N127" s="49">
        <f>VLOOKUP($A127,'Data shares'!$C:$FB,63)</f>
        <v>3975750</v>
      </c>
      <c r="O127" s="140">
        <f>VLOOKUP($A127,'Data shares'!$C:$FB,65)*100</f>
        <v>200.79</v>
      </c>
    </row>
    <row r="128" spans="1:15" x14ac:dyDescent="0.25">
      <c r="A128" s="101" t="str">
        <f>'Data Vlaue (Cr)'!C123</f>
        <v>LTM</v>
      </c>
      <c r="B128" s="50">
        <f>VLOOKUP($A128,'Data shares'!$C:$FB,7)</f>
        <v>4316</v>
      </c>
      <c r="C128" s="50">
        <f>VLOOKUP($A128,'Data shares'!$C:$FB,10)*100</f>
        <v>0.4</v>
      </c>
      <c r="D128" s="49">
        <f>VLOOKUP($A128,'Data shares'!$C:$FB,66)</f>
        <v>2821050</v>
      </c>
      <c r="E128" s="49">
        <f>VLOOKUP($A128,'Data shares'!$C:$FB,67)</f>
        <v>2881200</v>
      </c>
      <c r="F128" s="50">
        <f>VLOOKUP($A128,'Data shares'!$C:$FB,69)*100</f>
        <v>-2.09</v>
      </c>
      <c r="G128" s="49">
        <f>VLOOKUP($A128,'Data shares'!$C:$FB,42)</f>
        <v>646500</v>
      </c>
      <c r="H128" s="49">
        <f>VLOOKUP($A128,'Data shares'!$C:$FB,43)</f>
        <v>718350</v>
      </c>
      <c r="I128" s="50">
        <f>VLOOKUP($A128,'Data shares'!$C:$FB,45)*100</f>
        <v>-10</v>
      </c>
      <c r="J128" s="49">
        <f>VLOOKUP($A128,'Data shares'!$C:$FB,58)</f>
        <v>1630050</v>
      </c>
      <c r="K128" s="49">
        <f>VLOOKUP($A128,'Data shares'!$C:$FB,59)</f>
        <v>1412700</v>
      </c>
      <c r="L128" s="50">
        <f>VLOOKUP($A128,'Data shares'!$C:$FB,61)*100</f>
        <v>15.39</v>
      </c>
      <c r="M128" s="49">
        <f>VLOOKUP($A128,'Data shares'!$C:$FB,62)</f>
        <v>544500</v>
      </c>
      <c r="N128" s="49">
        <f>VLOOKUP($A128,'Data shares'!$C:$FB,63)</f>
        <v>750150</v>
      </c>
      <c r="O128" s="140">
        <f>VLOOKUP($A128,'Data shares'!$C:$FB,65)*100</f>
        <v>-27.41</v>
      </c>
    </row>
    <row r="129" spans="1:15" x14ac:dyDescent="0.25">
      <c r="A129" s="101" t="str">
        <f>'Data Vlaue (Cr)'!C124</f>
        <v>LUPIN</v>
      </c>
      <c r="B129" s="50">
        <f>VLOOKUP($A129,'Data shares'!$C:$FB,7)</f>
        <v>2442.9</v>
      </c>
      <c r="C129" s="50">
        <f>VLOOKUP($A129,'Data shares'!$C:$FB,10)*100</f>
        <v>4.25</v>
      </c>
      <c r="D129" s="49">
        <f>VLOOKUP($A129,'Data shares'!$C:$FB,66)</f>
        <v>28873650</v>
      </c>
      <c r="E129" s="49">
        <f>VLOOKUP($A129,'Data shares'!$C:$FB,67)</f>
        <v>6186725</v>
      </c>
      <c r="F129" s="50">
        <f>VLOOKUP($A129,'Data shares'!$C:$FB,69)*100</f>
        <v>366.7</v>
      </c>
      <c r="G129" s="49">
        <f>VLOOKUP($A129,'Data shares'!$C:$FB,42)</f>
        <v>3765500</v>
      </c>
      <c r="H129" s="49">
        <f>VLOOKUP($A129,'Data shares'!$C:$FB,43)</f>
        <v>1075675</v>
      </c>
      <c r="I129" s="50">
        <f>VLOOKUP($A129,'Data shares'!$C:$FB,45)*100</f>
        <v>250.06</v>
      </c>
      <c r="J129" s="49">
        <f>VLOOKUP($A129,'Data shares'!$C:$FB,58)</f>
        <v>18401650</v>
      </c>
      <c r="K129" s="49">
        <f>VLOOKUP($A129,'Data shares'!$C:$FB,59)</f>
        <v>3885350</v>
      </c>
      <c r="L129" s="50">
        <f>VLOOKUP($A129,'Data shares'!$C:$FB,61)*100</f>
        <v>373.62</v>
      </c>
      <c r="M129" s="49">
        <f>VLOOKUP($A129,'Data shares'!$C:$FB,62)</f>
        <v>6706500</v>
      </c>
      <c r="N129" s="49">
        <f>VLOOKUP($A129,'Data shares'!$C:$FB,63)</f>
        <v>1225700</v>
      </c>
      <c r="O129" s="140">
        <f>VLOOKUP($A129,'Data shares'!$C:$FB,65)*100</f>
        <v>447.15999999999997</v>
      </c>
    </row>
    <row r="130" spans="1:15" x14ac:dyDescent="0.25">
      <c r="A130" s="101" t="str">
        <f>'Data Vlaue (Cr)'!C125</f>
        <v>M&amp;M</v>
      </c>
      <c r="B130" s="50">
        <f>VLOOKUP($A130,'Data shares'!$C:$FB,7)</f>
        <v>3300.8</v>
      </c>
      <c r="C130" s="50">
        <f>VLOOKUP($A130,'Data shares'!$C:$FB,10)*100</f>
        <v>2.8000000000000003</v>
      </c>
      <c r="D130" s="49">
        <f>VLOOKUP($A130,'Data shares'!$C:$FB,66)</f>
        <v>43244400</v>
      </c>
      <c r="E130" s="49">
        <f>VLOOKUP($A130,'Data shares'!$C:$FB,67)</f>
        <v>53853000</v>
      </c>
      <c r="F130" s="50">
        <f>VLOOKUP($A130,'Data shares'!$C:$FB,69)*100</f>
        <v>-19.7</v>
      </c>
      <c r="G130" s="49">
        <f>VLOOKUP($A130,'Data shares'!$C:$FB,42)</f>
        <v>5789400</v>
      </c>
      <c r="H130" s="49">
        <f>VLOOKUP($A130,'Data shares'!$C:$FB,43)</f>
        <v>8118400</v>
      </c>
      <c r="I130" s="50">
        <f>VLOOKUP($A130,'Data shares'!$C:$FB,45)*100</f>
        <v>-28.689999999999998</v>
      </c>
      <c r="J130" s="49">
        <f>VLOOKUP($A130,'Data shares'!$C:$FB,58)</f>
        <v>24890400</v>
      </c>
      <c r="K130" s="49">
        <f>VLOOKUP($A130,'Data shares'!$C:$FB,59)</f>
        <v>31959600</v>
      </c>
      <c r="L130" s="50">
        <f>VLOOKUP($A130,'Data shares'!$C:$FB,61)*100</f>
        <v>-22.12</v>
      </c>
      <c r="M130" s="49">
        <f>VLOOKUP($A130,'Data shares'!$C:$FB,62)</f>
        <v>12564600</v>
      </c>
      <c r="N130" s="49">
        <f>VLOOKUP($A130,'Data shares'!$C:$FB,63)</f>
        <v>13775000</v>
      </c>
      <c r="O130" s="140">
        <f>VLOOKUP($A130,'Data shares'!$C:$FB,65)*100</f>
        <v>-8.7900000000000009</v>
      </c>
    </row>
    <row r="131" spans="1:15" x14ac:dyDescent="0.25">
      <c r="A131" s="101" t="str">
        <f>'Data Vlaue (Cr)'!C126</f>
        <v>MANAPPURAM</v>
      </c>
      <c r="B131" s="50">
        <f>VLOOKUP($A131,'Data shares'!$C:$FB,7)</f>
        <v>309.95</v>
      </c>
      <c r="C131" s="50">
        <f>VLOOKUP($A131,'Data shares'!$C:$FB,10)*100</f>
        <v>0.88</v>
      </c>
      <c r="D131" s="49">
        <f>VLOOKUP($A131,'Data shares'!$C:$FB,66)</f>
        <v>37398000</v>
      </c>
      <c r="E131" s="49">
        <f>VLOOKUP($A131,'Data shares'!$C:$FB,67)</f>
        <v>118494000</v>
      </c>
      <c r="F131" s="50">
        <f>VLOOKUP($A131,'Data shares'!$C:$FB,69)*100</f>
        <v>-68.44</v>
      </c>
      <c r="G131" s="49">
        <f>VLOOKUP($A131,'Data shares'!$C:$FB,42)</f>
        <v>9156000</v>
      </c>
      <c r="H131" s="49">
        <f>VLOOKUP($A131,'Data shares'!$C:$FB,43)</f>
        <v>28479000</v>
      </c>
      <c r="I131" s="50">
        <f>VLOOKUP($A131,'Data shares'!$C:$FB,45)*100</f>
        <v>-67.849999999999994</v>
      </c>
      <c r="J131" s="49">
        <f>VLOOKUP($A131,'Data shares'!$C:$FB,58)</f>
        <v>17922000</v>
      </c>
      <c r="K131" s="49">
        <f>VLOOKUP($A131,'Data shares'!$C:$FB,59)</f>
        <v>57192000</v>
      </c>
      <c r="L131" s="50">
        <f>VLOOKUP($A131,'Data shares'!$C:$FB,61)*100</f>
        <v>-68.66</v>
      </c>
      <c r="M131" s="49">
        <f>VLOOKUP($A131,'Data shares'!$C:$FB,62)</f>
        <v>10320000</v>
      </c>
      <c r="N131" s="49">
        <f>VLOOKUP($A131,'Data shares'!$C:$FB,63)</f>
        <v>32823000</v>
      </c>
      <c r="O131" s="140">
        <f>VLOOKUP($A131,'Data shares'!$C:$FB,65)*100</f>
        <v>-68.56</v>
      </c>
    </row>
    <row r="132" spans="1:15" x14ac:dyDescent="0.25">
      <c r="A132" s="101" t="str">
        <f>'Data Vlaue (Cr)'!C127</f>
        <v>MANKIND</v>
      </c>
      <c r="B132" s="50">
        <f>VLOOKUP($A132,'Data shares'!$C:$FB,7)</f>
        <v>2361</v>
      </c>
      <c r="C132" s="50">
        <f>VLOOKUP($A132,'Data shares'!$C:$FB,10)*100</f>
        <v>1.79</v>
      </c>
      <c r="D132" s="49">
        <f>VLOOKUP($A132,'Data shares'!$C:$FB,66)</f>
        <v>6430050</v>
      </c>
      <c r="E132" s="49">
        <f>VLOOKUP($A132,'Data shares'!$C:$FB,67)</f>
        <v>4988700</v>
      </c>
      <c r="F132" s="50">
        <f>VLOOKUP($A132,'Data shares'!$C:$FB,69)*100</f>
        <v>28.89</v>
      </c>
      <c r="G132" s="49">
        <f>VLOOKUP($A132,'Data shares'!$C:$FB,42)</f>
        <v>1041750</v>
      </c>
      <c r="H132" s="49">
        <f>VLOOKUP($A132,'Data shares'!$C:$FB,43)</f>
        <v>639675</v>
      </c>
      <c r="I132" s="50">
        <f>VLOOKUP($A132,'Data shares'!$C:$FB,45)*100</f>
        <v>62.860000000000007</v>
      </c>
      <c r="J132" s="49">
        <f>VLOOKUP($A132,'Data shares'!$C:$FB,58)</f>
        <v>4721400</v>
      </c>
      <c r="K132" s="49">
        <f>VLOOKUP($A132,'Data shares'!$C:$FB,59)</f>
        <v>3620250</v>
      </c>
      <c r="L132" s="50">
        <f>VLOOKUP($A132,'Data shares'!$C:$FB,61)*100</f>
        <v>30.42</v>
      </c>
      <c r="M132" s="49">
        <f>VLOOKUP($A132,'Data shares'!$C:$FB,62)</f>
        <v>666900</v>
      </c>
      <c r="N132" s="49">
        <f>VLOOKUP($A132,'Data shares'!$C:$FB,63)</f>
        <v>728775</v>
      </c>
      <c r="O132" s="140">
        <f>VLOOKUP($A132,'Data shares'!$C:$FB,65)*100</f>
        <v>-8.49</v>
      </c>
    </row>
    <row r="133" spans="1:15" x14ac:dyDescent="0.25">
      <c r="A133" s="101" t="str">
        <f>'Data Vlaue (Cr)'!C128</f>
        <v>MARICO</v>
      </c>
      <c r="B133" s="50">
        <f>VLOOKUP($A133,'Data shares'!$C:$FB,7)</f>
        <v>814.8</v>
      </c>
      <c r="C133" s="50">
        <f>VLOOKUP($A133,'Data shares'!$C:$FB,10)*100</f>
        <v>0.94000000000000006</v>
      </c>
      <c r="D133" s="49">
        <f>VLOOKUP($A133,'Data shares'!$C:$FB,66)</f>
        <v>73628400</v>
      </c>
      <c r="E133" s="49">
        <f>VLOOKUP($A133,'Data shares'!$C:$FB,67)</f>
        <v>112729200</v>
      </c>
      <c r="F133" s="50">
        <f>VLOOKUP($A133,'Data shares'!$C:$FB,69)*100</f>
        <v>-34.69</v>
      </c>
      <c r="G133" s="49">
        <f>VLOOKUP($A133,'Data shares'!$C:$FB,42)</f>
        <v>8184000</v>
      </c>
      <c r="H133" s="49">
        <f>VLOOKUP($A133,'Data shares'!$C:$FB,43)</f>
        <v>14389200</v>
      </c>
      <c r="I133" s="50">
        <f>VLOOKUP($A133,'Data shares'!$C:$FB,45)*100</f>
        <v>-43.120000000000005</v>
      </c>
      <c r="J133" s="49">
        <f>VLOOKUP($A133,'Data shares'!$C:$FB,58)</f>
        <v>39798000</v>
      </c>
      <c r="K133" s="49">
        <f>VLOOKUP($A133,'Data shares'!$C:$FB,59)</f>
        <v>70370400</v>
      </c>
      <c r="L133" s="50">
        <f>VLOOKUP($A133,'Data shares'!$C:$FB,61)*100</f>
        <v>-43.44</v>
      </c>
      <c r="M133" s="49">
        <f>VLOOKUP($A133,'Data shares'!$C:$FB,62)</f>
        <v>25646400</v>
      </c>
      <c r="N133" s="49">
        <f>VLOOKUP($A133,'Data shares'!$C:$FB,63)</f>
        <v>27969600</v>
      </c>
      <c r="O133" s="140">
        <f>VLOOKUP($A133,'Data shares'!$C:$FB,65)*100</f>
        <v>-8.3099999999999987</v>
      </c>
    </row>
    <row r="134" spans="1:15" x14ac:dyDescent="0.25">
      <c r="A134" s="101" t="str">
        <f>'Data Vlaue (Cr)'!C129</f>
        <v>MARUTI</v>
      </c>
      <c r="B134" s="50">
        <f>VLOOKUP($A134,'Data shares'!$C:$FB,7)</f>
        <v>13722</v>
      </c>
      <c r="C134" s="50">
        <f>VLOOKUP($A134,'Data shares'!$C:$FB,10)*100</f>
        <v>2.1999999999999997</v>
      </c>
      <c r="D134" s="49">
        <f>VLOOKUP($A134,'Data shares'!$C:$FB,66)</f>
        <v>5776800</v>
      </c>
      <c r="E134" s="49">
        <f>VLOOKUP($A134,'Data shares'!$C:$FB,67)</f>
        <v>4417800</v>
      </c>
      <c r="F134" s="50">
        <f>VLOOKUP($A134,'Data shares'!$C:$FB,69)*100</f>
        <v>30.759999999999998</v>
      </c>
      <c r="G134" s="49">
        <f>VLOOKUP($A134,'Data shares'!$C:$FB,42)</f>
        <v>464850</v>
      </c>
      <c r="H134" s="49">
        <f>VLOOKUP($A134,'Data shares'!$C:$FB,43)</f>
        <v>435950</v>
      </c>
      <c r="I134" s="50">
        <f>VLOOKUP($A134,'Data shares'!$C:$FB,45)*100</f>
        <v>6.63</v>
      </c>
      <c r="J134" s="49">
        <f>VLOOKUP($A134,'Data shares'!$C:$FB,58)</f>
        <v>3639800</v>
      </c>
      <c r="K134" s="49">
        <f>VLOOKUP($A134,'Data shares'!$C:$FB,59)</f>
        <v>2599300</v>
      </c>
      <c r="L134" s="50">
        <f>VLOOKUP($A134,'Data shares'!$C:$FB,61)*100</f>
        <v>40.03</v>
      </c>
      <c r="M134" s="49">
        <f>VLOOKUP($A134,'Data shares'!$C:$FB,62)</f>
        <v>1672150</v>
      </c>
      <c r="N134" s="49">
        <f>VLOOKUP($A134,'Data shares'!$C:$FB,63)</f>
        <v>1382550</v>
      </c>
      <c r="O134" s="140">
        <f>VLOOKUP($A134,'Data shares'!$C:$FB,65)*100</f>
        <v>20.95</v>
      </c>
    </row>
    <row r="135" spans="1:15" x14ac:dyDescent="0.25">
      <c r="A135" s="101" t="str">
        <f>'Data Vlaue (Cr)'!C130</f>
        <v>MAXHEALTH</v>
      </c>
      <c r="B135" s="50">
        <f>VLOOKUP($A135,'Data shares'!$C:$FB,7)</f>
        <v>1015.9</v>
      </c>
      <c r="C135" s="50">
        <f>VLOOKUP($A135,'Data shares'!$C:$FB,10)*100</f>
        <v>1.54</v>
      </c>
      <c r="D135" s="49">
        <f>VLOOKUP($A135,'Data shares'!$C:$FB,66)</f>
        <v>4020450</v>
      </c>
      <c r="E135" s="49">
        <f>VLOOKUP($A135,'Data shares'!$C:$FB,67)</f>
        <v>2945250</v>
      </c>
      <c r="F135" s="50">
        <f>VLOOKUP($A135,'Data shares'!$C:$FB,69)*100</f>
        <v>36.51</v>
      </c>
      <c r="G135" s="49">
        <f>VLOOKUP($A135,'Data shares'!$C:$FB,42)</f>
        <v>1121400</v>
      </c>
      <c r="H135" s="49">
        <f>VLOOKUP($A135,'Data shares'!$C:$FB,43)</f>
        <v>1036875</v>
      </c>
      <c r="I135" s="50">
        <f>VLOOKUP($A135,'Data shares'!$C:$FB,45)*100</f>
        <v>8.15</v>
      </c>
      <c r="J135" s="49">
        <f>VLOOKUP($A135,'Data shares'!$C:$FB,58)</f>
        <v>2004975</v>
      </c>
      <c r="K135" s="49">
        <f>VLOOKUP($A135,'Data shares'!$C:$FB,59)</f>
        <v>1106700</v>
      </c>
      <c r="L135" s="50">
        <f>VLOOKUP($A135,'Data shares'!$C:$FB,61)*100</f>
        <v>81.17</v>
      </c>
      <c r="M135" s="49">
        <f>VLOOKUP($A135,'Data shares'!$C:$FB,62)</f>
        <v>894075</v>
      </c>
      <c r="N135" s="49">
        <f>VLOOKUP($A135,'Data shares'!$C:$FB,63)</f>
        <v>801675</v>
      </c>
      <c r="O135" s="140">
        <f>VLOOKUP($A135,'Data shares'!$C:$FB,65)*100</f>
        <v>11.53</v>
      </c>
    </row>
    <row r="136" spans="1:15" x14ac:dyDescent="0.25">
      <c r="A136" s="101" t="str">
        <f>'Data Vlaue (Cr)'!C131</f>
        <v>MAZDOCK</v>
      </c>
      <c r="B136" s="50">
        <f>VLOOKUP($A136,'Data shares'!$C:$FB,7)</f>
        <v>2644.5</v>
      </c>
      <c r="C136" s="50">
        <f>VLOOKUP($A136,'Data shares'!$C:$FB,10)*100</f>
        <v>0.42</v>
      </c>
      <c r="D136" s="49">
        <f>VLOOKUP($A136,'Data shares'!$C:$FB,66)</f>
        <v>4769800</v>
      </c>
      <c r="E136" s="49">
        <f>VLOOKUP($A136,'Data shares'!$C:$FB,67)</f>
        <v>5800800</v>
      </c>
      <c r="F136" s="50">
        <f>VLOOKUP($A136,'Data shares'!$C:$FB,69)*100</f>
        <v>-17.77</v>
      </c>
      <c r="G136" s="49">
        <f>VLOOKUP($A136,'Data shares'!$C:$FB,42)</f>
        <v>724000</v>
      </c>
      <c r="H136" s="49">
        <f>VLOOKUP($A136,'Data shares'!$C:$FB,43)</f>
        <v>1012800</v>
      </c>
      <c r="I136" s="50">
        <f>VLOOKUP($A136,'Data shares'!$C:$FB,45)*100</f>
        <v>-28.52</v>
      </c>
      <c r="J136" s="49">
        <f>VLOOKUP($A136,'Data shares'!$C:$FB,58)</f>
        <v>3126400</v>
      </c>
      <c r="K136" s="49">
        <f>VLOOKUP($A136,'Data shares'!$C:$FB,59)</f>
        <v>3658000</v>
      </c>
      <c r="L136" s="50">
        <f>VLOOKUP($A136,'Data shares'!$C:$FB,61)*100</f>
        <v>-14.530000000000001</v>
      </c>
      <c r="M136" s="49">
        <f>VLOOKUP($A136,'Data shares'!$C:$FB,62)</f>
        <v>919400</v>
      </c>
      <c r="N136" s="49">
        <f>VLOOKUP($A136,'Data shares'!$C:$FB,63)</f>
        <v>1130000</v>
      </c>
      <c r="O136" s="140">
        <f>VLOOKUP($A136,'Data shares'!$C:$FB,65)*100</f>
        <v>-18.64</v>
      </c>
    </row>
    <row r="137" spans="1:15" x14ac:dyDescent="0.25">
      <c r="A137" s="101" t="str">
        <f>'Data Vlaue (Cr)'!C132</f>
        <v>MCX</v>
      </c>
      <c r="B137" s="50">
        <f>VLOOKUP($A137,'Data shares'!$C:$FB,7)</f>
        <v>2973.2</v>
      </c>
      <c r="C137" s="50">
        <f>VLOOKUP($A137,'Data shares'!$C:$FB,10)*100</f>
        <v>2.44</v>
      </c>
      <c r="D137" s="49">
        <f>VLOOKUP($A137,'Data shares'!$C:$FB,66)</f>
        <v>15392500</v>
      </c>
      <c r="E137" s="49">
        <f>VLOOKUP($A137,'Data shares'!$C:$FB,67)</f>
        <v>12175625</v>
      </c>
      <c r="F137" s="50">
        <f>VLOOKUP($A137,'Data shares'!$C:$FB,69)*100</f>
        <v>26.419999999999998</v>
      </c>
      <c r="G137" s="49">
        <f>VLOOKUP($A137,'Data shares'!$C:$FB,42)</f>
        <v>2816875</v>
      </c>
      <c r="H137" s="49">
        <f>VLOOKUP($A137,'Data shares'!$C:$FB,43)</f>
        <v>2166875</v>
      </c>
      <c r="I137" s="50">
        <f>VLOOKUP($A137,'Data shares'!$C:$FB,45)*100</f>
        <v>30</v>
      </c>
      <c r="J137" s="49">
        <f>VLOOKUP($A137,'Data shares'!$C:$FB,58)</f>
        <v>7715000</v>
      </c>
      <c r="K137" s="49">
        <f>VLOOKUP($A137,'Data shares'!$C:$FB,59)</f>
        <v>6115625</v>
      </c>
      <c r="L137" s="50">
        <f>VLOOKUP($A137,'Data shares'!$C:$FB,61)*100</f>
        <v>26.150000000000002</v>
      </c>
      <c r="M137" s="49">
        <f>VLOOKUP($A137,'Data shares'!$C:$FB,62)</f>
        <v>4860625</v>
      </c>
      <c r="N137" s="49">
        <f>VLOOKUP($A137,'Data shares'!$C:$FB,63)</f>
        <v>3893125</v>
      </c>
      <c r="O137" s="140">
        <f>VLOOKUP($A137,'Data shares'!$C:$FB,65)*100</f>
        <v>24.85</v>
      </c>
    </row>
    <row r="138" spans="1:15" x14ac:dyDescent="0.25">
      <c r="A138" s="101" t="str">
        <f>'Data Vlaue (Cr)'!C133</f>
        <v>MFSL</v>
      </c>
      <c r="B138" s="50">
        <f>VLOOKUP($A138,'Data shares'!$C:$FB,7)</f>
        <v>1652.8</v>
      </c>
      <c r="C138" s="50">
        <f>VLOOKUP($A138,'Data shares'!$C:$FB,10)*100</f>
        <v>3.55</v>
      </c>
      <c r="D138" s="49">
        <f>VLOOKUP($A138,'Data shares'!$C:$FB,66)</f>
        <v>2489600</v>
      </c>
      <c r="E138" s="49">
        <f>VLOOKUP($A138,'Data shares'!$C:$FB,67)</f>
        <v>1154000</v>
      </c>
      <c r="F138" s="50">
        <f>VLOOKUP($A138,'Data shares'!$C:$FB,69)*100</f>
        <v>115.74</v>
      </c>
      <c r="G138" s="49">
        <f>VLOOKUP($A138,'Data shares'!$C:$FB,42)</f>
        <v>834400</v>
      </c>
      <c r="H138" s="49">
        <f>VLOOKUP($A138,'Data shares'!$C:$FB,43)</f>
        <v>592400</v>
      </c>
      <c r="I138" s="50">
        <f>VLOOKUP($A138,'Data shares'!$C:$FB,45)*100</f>
        <v>40.849999999999994</v>
      </c>
      <c r="J138" s="49">
        <f>VLOOKUP($A138,'Data shares'!$C:$FB,58)</f>
        <v>1326800</v>
      </c>
      <c r="K138" s="49">
        <f>VLOOKUP($A138,'Data shares'!$C:$FB,59)</f>
        <v>412800</v>
      </c>
      <c r="L138" s="50">
        <f>VLOOKUP($A138,'Data shares'!$C:$FB,61)*100</f>
        <v>221.41000000000003</v>
      </c>
      <c r="M138" s="49">
        <f>VLOOKUP($A138,'Data shares'!$C:$FB,62)</f>
        <v>328400</v>
      </c>
      <c r="N138" s="49">
        <f>VLOOKUP($A138,'Data shares'!$C:$FB,63)</f>
        <v>148800</v>
      </c>
      <c r="O138" s="140">
        <f>VLOOKUP($A138,'Data shares'!$C:$FB,65)*100</f>
        <v>120.7</v>
      </c>
    </row>
    <row r="139" spans="1:15" x14ac:dyDescent="0.25">
      <c r="A139" s="101" t="str">
        <f>'Data Vlaue (Cr)'!C134</f>
        <v>MIDCPNIFTY</v>
      </c>
      <c r="B139" s="50">
        <f>VLOOKUP($A139,'Data shares'!$C:$FB,7)</f>
        <v>14312.9</v>
      </c>
      <c r="C139" s="50">
        <f>VLOOKUP($A139,'Data shares'!$C:$FB,10)*100</f>
        <v>2.6</v>
      </c>
      <c r="D139" s="49">
        <f>VLOOKUP($A139,'Data shares'!$C:$FB,66)</f>
        <v>26676600</v>
      </c>
      <c r="E139" s="49">
        <f>VLOOKUP($A139,'Data shares'!$C:$FB,67)</f>
        <v>11416080</v>
      </c>
      <c r="F139" s="50">
        <f>VLOOKUP($A139,'Data shares'!$C:$FB,69)*100</f>
        <v>133.68</v>
      </c>
      <c r="G139" s="49">
        <f>VLOOKUP($A139,'Data shares'!$C:$FB,42)</f>
        <v>850080</v>
      </c>
      <c r="H139" s="49">
        <f>VLOOKUP($A139,'Data shares'!$C:$FB,43)</f>
        <v>289320</v>
      </c>
      <c r="I139" s="50">
        <f>VLOOKUP($A139,'Data shares'!$C:$FB,45)*100</f>
        <v>193.82</v>
      </c>
      <c r="J139" s="49">
        <f>VLOOKUP($A139,'Data shares'!$C:$FB,58)</f>
        <v>11003280</v>
      </c>
      <c r="K139" s="49">
        <f>VLOOKUP($A139,'Data shares'!$C:$FB,59)</f>
        <v>5757240</v>
      </c>
      <c r="L139" s="50">
        <f>VLOOKUP($A139,'Data shares'!$C:$FB,61)*100</f>
        <v>91.12</v>
      </c>
      <c r="M139" s="49">
        <f>VLOOKUP($A139,'Data shares'!$C:$FB,62)</f>
        <v>14823240</v>
      </c>
      <c r="N139" s="49">
        <f>VLOOKUP($A139,'Data shares'!$C:$FB,63)</f>
        <v>5369520</v>
      </c>
      <c r="O139" s="140">
        <f>VLOOKUP($A139,'Data shares'!$C:$FB,65)*100</f>
        <v>176.06</v>
      </c>
    </row>
    <row r="140" spans="1:15" x14ac:dyDescent="0.25">
      <c r="A140" s="101" t="str">
        <f>'Data Vlaue (Cr)'!C135</f>
        <v>MOTHERSON</v>
      </c>
      <c r="B140" s="50">
        <f>VLOOKUP($A140,'Data shares'!$C:$FB,7)</f>
        <v>127.41</v>
      </c>
      <c r="C140" s="50">
        <f>VLOOKUP($A140,'Data shares'!$C:$FB,10)*100</f>
        <v>5.96</v>
      </c>
      <c r="D140" s="49">
        <f>VLOOKUP($A140,'Data shares'!$C:$FB,66)</f>
        <v>109925100</v>
      </c>
      <c r="E140" s="49">
        <f>VLOOKUP($A140,'Data shares'!$C:$FB,67)</f>
        <v>36537150</v>
      </c>
      <c r="F140" s="50">
        <f>VLOOKUP($A140,'Data shares'!$C:$FB,69)*100</f>
        <v>200.85999999999999</v>
      </c>
      <c r="G140" s="49">
        <f>VLOOKUP($A140,'Data shares'!$C:$FB,42)</f>
        <v>40270200</v>
      </c>
      <c r="H140" s="49">
        <f>VLOOKUP($A140,'Data shares'!$C:$FB,43)</f>
        <v>13277850</v>
      </c>
      <c r="I140" s="50">
        <f>VLOOKUP($A140,'Data shares'!$C:$FB,45)*100</f>
        <v>203.29000000000002</v>
      </c>
      <c r="J140" s="49">
        <f>VLOOKUP($A140,'Data shares'!$C:$FB,58)</f>
        <v>51875250</v>
      </c>
      <c r="K140" s="49">
        <f>VLOOKUP($A140,'Data shares'!$C:$FB,59)</f>
        <v>14981400</v>
      </c>
      <c r="L140" s="50">
        <f>VLOOKUP($A140,'Data shares'!$C:$FB,61)*100</f>
        <v>246.26000000000002</v>
      </c>
      <c r="M140" s="49">
        <f>VLOOKUP($A140,'Data shares'!$C:$FB,62)</f>
        <v>17779650</v>
      </c>
      <c r="N140" s="49">
        <f>VLOOKUP($A140,'Data shares'!$C:$FB,63)</f>
        <v>8277900</v>
      </c>
      <c r="O140" s="140">
        <f>VLOOKUP($A140,'Data shares'!$C:$FB,65)*100</f>
        <v>114.77999999999999</v>
      </c>
    </row>
    <row r="141" spans="1:15" x14ac:dyDescent="0.25">
      <c r="A141" s="101" t="str">
        <f>'Data Vlaue (Cr)'!C136</f>
        <v>MOTILALOFS</v>
      </c>
      <c r="B141" s="50">
        <f>VLOOKUP($A141,'Data shares'!$C:$FB,7)</f>
        <v>881.7</v>
      </c>
      <c r="C141" s="50">
        <f>VLOOKUP($A141,'Data shares'!$C:$FB,10)*100</f>
        <v>4.5</v>
      </c>
      <c r="D141" s="49">
        <f>VLOOKUP($A141,'Data shares'!$C:$FB,66)</f>
        <v>5883800</v>
      </c>
      <c r="E141" s="49">
        <f>VLOOKUP($A141,'Data shares'!$C:$FB,67)</f>
        <v>4619000</v>
      </c>
      <c r="F141" s="50">
        <f>VLOOKUP($A141,'Data shares'!$C:$FB,69)*100</f>
        <v>27.38</v>
      </c>
      <c r="G141" s="49">
        <f>VLOOKUP($A141,'Data shares'!$C:$FB,42)</f>
        <v>1399650</v>
      </c>
      <c r="H141" s="49">
        <f>VLOOKUP($A141,'Data shares'!$C:$FB,43)</f>
        <v>1022225</v>
      </c>
      <c r="I141" s="50">
        <f>VLOOKUP($A141,'Data shares'!$C:$FB,45)*100</f>
        <v>36.919999999999995</v>
      </c>
      <c r="J141" s="49">
        <f>VLOOKUP($A141,'Data shares'!$C:$FB,58)</f>
        <v>2986850</v>
      </c>
      <c r="K141" s="49">
        <f>VLOOKUP($A141,'Data shares'!$C:$FB,59)</f>
        <v>2795425</v>
      </c>
      <c r="L141" s="50">
        <f>VLOOKUP($A141,'Data shares'!$C:$FB,61)*100</f>
        <v>6.8500000000000005</v>
      </c>
      <c r="M141" s="49">
        <f>VLOOKUP($A141,'Data shares'!$C:$FB,62)</f>
        <v>1497300</v>
      </c>
      <c r="N141" s="49">
        <f>VLOOKUP($A141,'Data shares'!$C:$FB,63)</f>
        <v>801350</v>
      </c>
      <c r="O141" s="140">
        <f>VLOOKUP($A141,'Data shares'!$C:$FB,65)*100</f>
        <v>86.850000000000009</v>
      </c>
    </row>
    <row r="142" spans="1:15" x14ac:dyDescent="0.25">
      <c r="A142" s="101" t="str">
        <f>'Data Vlaue (Cr)'!C137</f>
        <v>MPHASIS</v>
      </c>
      <c r="B142" s="50">
        <f>VLOOKUP($A142,'Data shares'!$C:$FB,7)</f>
        <v>2218.5</v>
      </c>
      <c r="C142" s="50">
        <f>VLOOKUP($A142,'Data shares'!$C:$FB,10)*100</f>
        <v>0.38999999999999996</v>
      </c>
      <c r="D142" s="49">
        <f>VLOOKUP($A142,'Data shares'!$C:$FB,66)</f>
        <v>4761900</v>
      </c>
      <c r="E142" s="49">
        <f>VLOOKUP($A142,'Data shares'!$C:$FB,67)</f>
        <v>3336025</v>
      </c>
      <c r="F142" s="50">
        <f>VLOOKUP($A142,'Data shares'!$C:$FB,69)*100</f>
        <v>42.74</v>
      </c>
      <c r="G142" s="49">
        <f>VLOOKUP($A142,'Data shares'!$C:$FB,42)</f>
        <v>1138500</v>
      </c>
      <c r="H142" s="49">
        <f>VLOOKUP($A142,'Data shares'!$C:$FB,43)</f>
        <v>1026300</v>
      </c>
      <c r="I142" s="50">
        <f>VLOOKUP($A142,'Data shares'!$C:$FB,45)*100</f>
        <v>10.93</v>
      </c>
      <c r="J142" s="49">
        <f>VLOOKUP($A142,'Data shares'!$C:$FB,58)</f>
        <v>2814625</v>
      </c>
      <c r="K142" s="49">
        <f>VLOOKUP($A142,'Data shares'!$C:$FB,59)</f>
        <v>1560350</v>
      </c>
      <c r="L142" s="50">
        <f>VLOOKUP($A142,'Data shares'!$C:$FB,61)*100</f>
        <v>80.38</v>
      </c>
      <c r="M142" s="49">
        <f>VLOOKUP($A142,'Data shares'!$C:$FB,62)</f>
        <v>808775</v>
      </c>
      <c r="N142" s="49">
        <f>VLOOKUP($A142,'Data shares'!$C:$FB,63)</f>
        <v>749375</v>
      </c>
      <c r="O142" s="140">
        <f>VLOOKUP($A142,'Data shares'!$C:$FB,65)*100</f>
        <v>7.93</v>
      </c>
    </row>
    <row r="143" spans="1:15" x14ac:dyDescent="0.25">
      <c r="A143" s="101" t="str">
        <f>'Data Vlaue (Cr)'!C138</f>
        <v>MUTHOOTFIN</v>
      </c>
      <c r="B143" s="50">
        <f>VLOOKUP($A143,'Data shares'!$C:$FB,7)</f>
        <v>3533.6</v>
      </c>
      <c r="C143" s="50">
        <f>VLOOKUP($A143,'Data shares'!$C:$FB,10)*100</f>
        <v>2.5299999999999998</v>
      </c>
      <c r="D143" s="49">
        <f>VLOOKUP($A143,'Data shares'!$C:$FB,66)</f>
        <v>2976050</v>
      </c>
      <c r="E143" s="49">
        <f>VLOOKUP($A143,'Data shares'!$C:$FB,67)</f>
        <v>2600400</v>
      </c>
      <c r="F143" s="50">
        <f>VLOOKUP($A143,'Data shares'!$C:$FB,69)*100</f>
        <v>14.45</v>
      </c>
      <c r="G143" s="49">
        <f>VLOOKUP($A143,'Data shares'!$C:$FB,42)</f>
        <v>845350</v>
      </c>
      <c r="H143" s="49">
        <f>VLOOKUP($A143,'Data shares'!$C:$FB,43)</f>
        <v>662200</v>
      </c>
      <c r="I143" s="50">
        <f>VLOOKUP($A143,'Data shares'!$C:$FB,45)*100</f>
        <v>27.66</v>
      </c>
      <c r="J143" s="49">
        <f>VLOOKUP($A143,'Data shares'!$C:$FB,58)</f>
        <v>1413500</v>
      </c>
      <c r="K143" s="49">
        <f>VLOOKUP($A143,'Data shares'!$C:$FB,59)</f>
        <v>1211650</v>
      </c>
      <c r="L143" s="50">
        <f>VLOOKUP($A143,'Data shares'!$C:$FB,61)*100</f>
        <v>16.66</v>
      </c>
      <c r="M143" s="49">
        <f>VLOOKUP($A143,'Data shares'!$C:$FB,62)</f>
        <v>717200</v>
      </c>
      <c r="N143" s="49">
        <f>VLOOKUP($A143,'Data shares'!$C:$FB,63)</f>
        <v>726550</v>
      </c>
      <c r="O143" s="140">
        <f>VLOOKUP($A143,'Data shares'!$C:$FB,65)*100</f>
        <v>-1.29</v>
      </c>
    </row>
    <row r="144" spans="1:15" x14ac:dyDescent="0.25">
      <c r="A144" s="101" t="str">
        <f>'Data Vlaue (Cr)'!C139</f>
        <v>NAM-INDIA</v>
      </c>
      <c r="B144" s="50">
        <f>VLOOKUP($A144,'Data shares'!$C:$FB,7)</f>
        <v>1094.2</v>
      </c>
      <c r="C144" s="50">
        <f>VLOOKUP($A144,'Data shares'!$C:$FB,10)*100</f>
        <v>3.93</v>
      </c>
      <c r="D144" s="49">
        <f>VLOOKUP($A144,'Data shares'!$C:$FB,66)</f>
        <v>7177500</v>
      </c>
      <c r="E144" s="49">
        <f>VLOOKUP($A144,'Data shares'!$C:$FB,67)</f>
        <v>5469375</v>
      </c>
      <c r="F144" s="50">
        <f>VLOOKUP($A144,'Data shares'!$C:$FB,69)*100</f>
        <v>31.230000000000004</v>
      </c>
      <c r="G144" s="49">
        <f>VLOOKUP($A144,'Data shares'!$C:$FB,42)</f>
        <v>1629375</v>
      </c>
      <c r="H144" s="49">
        <f>VLOOKUP($A144,'Data shares'!$C:$FB,43)</f>
        <v>1110625</v>
      </c>
      <c r="I144" s="50">
        <f>VLOOKUP($A144,'Data shares'!$C:$FB,45)*100</f>
        <v>46.71</v>
      </c>
      <c r="J144" s="49">
        <f>VLOOKUP($A144,'Data shares'!$C:$FB,58)</f>
        <v>4650000</v>
      </c>
      <c r="K144" s="49">
        <f>VLOOKUP($A144,'Data shares'!$C:$FB,59)</f>
        <v>3765000</v>
      </c>
      <c r="L144" s="50">
        <f>VLOOKUP($A144,'Data shares'!$C:$FB,61)*100</f>
        <v>23.51</v>
      </c>
      <c r="M144" s="49">
        <f>VLOOKUP($A144,'Data shares'!$C:$FB,62)</f>
        <v>898125</v>
      </c>
      <c r="N144" s="49">
        <f>VLOOKUP($A144,'Data shares'!$C:$FB,63)</f>
        <v>593750</v>
      </c>
      <c r="O144" s="140">
        <f>VLOOKUP($A144,'Data shares'!$C:$FB,65)*100</f>
        <v>51.259999999999991</v>
      </c>
    </row>
    <row r="145" spans="1:15" x14ac:dyDescent="0.25">
      <c r="A145" s="101" t="str">
        <f>'Data Vlaue (Cr)'!C140</f>
        <v>NATIONALUM</v>
      </c>
      <c r="B145" s="50">
        <f>VLOOKUP($A145,'Data shares'!$C:$FB,7)</f>
        <v>406.55</v>
      </c>
      <c r="C145" s="50">
        <f>VLOOKUP($A145,'Data shares'!$C:$FB,10)*100</f>
        <v>-1.7000000000000002</v>
      </c>
      <c r="D145" s="49">
        <f>VLOOKUP($A145,'Data shares'!$C:$FB,66)</f>
        <v>61848750</v>
      </c>
      <c r="E145" s="49">
        <f>VLOOKUP($A145,'Data shares'!$C:$FB,67)</f>
        <v>60650625</v>
      </c>
      <c r="F145" s="50">
        <f>VLOOKUP($A145,'Data shares'!$C:$FB,69)*100</f>
        <v>1.9800000000000002</v>
      </c>
      <c r="G145" s="49">
        <f>VLOOKUP($A145,'Data shares'!$C:$FB,42)</f>
        <v>14362500</v>
      </c>
      <c r="H145" s="49">
        <f>VLOOKUP($A145,'Data shares'!$C:$FB,43)</f>
        <v>11625000</v>
      </c>
      <c r="I145" s="50">
        <f>VLOOKUP($A145,'Data shares'!$C:$FB,45)*100</f>
        <v>23.549999999999997</v>
      </c>
      <c r="J145" s="49">
        <f>VLOOKUP($A145,'Data shares'!$C:$FB,58)</f>
        <v>31479375</v>
      </c>
      <c r="K145" s="49">
        <f>VLOOKUP($A145,'Data shares'!$C:$FB,59)</f>
        <v>34153125</v>
      </c>
      <c r="L145" s="50">
        <f>VLOOKUP($A145,'Data shares'!$C:$FB,61)*100</f>
        <v>-7.8299999999999992</v>
      </c>
      <c r="M145" s="49">
        <f>VLOOKUP($A145,'Data shares'!$C:$FB,62)</f>
        <v>16006875</v>
      </c>
      <c r="N145" s="49">
        <f>VLOOKUP($A145,'Data shares'!$C:$FB,63)</f>
        <v>14872500</v>
      </c>
      <c r="O145" s="140">
        <f>VLOOKUP($A145,'Data shares'!$C:$FB,65)*100</f>
        <v>7.6300000000000008</v>
      </c>
    </row>
    <row r="146" spans="1:15" x14ac:dyDescent="0.25">
      <c r="A146" s="101" t="str">
        <f>'Data Vlaue (Cr)'!C141</f>
        <v>NAUKRI</v>
      </c>
      <c r="B146" s="50">
        <f>VLOOKUP($A146,'Data shares'!$C:$FB,7)</f>
        <v>981.4</v>
      </c>
      <c r="C146" s="50">
        <f>VLOOKUP($A146,'Data shares'!$C:$FB,10)*100</f>
        <v>1.81</v>
      </c>
      <c r="D146" s="49">
        <f>VLOOKUP($A146,'Data shares'!$C:$FB,66)</f>
        <v>4995750</v>
      </c>
      <c r="E146" s="49">
        <f>VLOOKUP($A146,'Data shares'!$C:$FB,67)</f>
        <v>4401375</v>
      </c>
      <c r="F146" s="50">
        <f>VLOOKUP($A146,'Data shares'!$C:$FB,69)*100</f>
        <v>13.5</v>
      </c>
      <c r="G146" s="49">
        <f>VLOOKUP($A146,'Data shares'!$C:$FB,42)</f>
        <v>1900875</v>
      </c>
      <c r="H146" s="49">
        <f>VLOOKUP($A146,'Data shares'!$C:$FB,43)</f>
        <v>1291125</v>
      </c>
      <c r="I146" s="50">
        <f>VLOOKUP($A146,'Data shares'!$C:$FB,45)*100</f>
        <v>47.23</v>
      </c>
      <c r="J146" s="49">
        <f>VLOOKUP($A146,'Data shares'!$C:$FB,58)</f>
        <v>2315625</v>
      </c>
      <c r="K146" s="49">
        <f>VLOOKUP($A146,'Data shares'!$C:$FB,59)</f>
        <v>2266500</v>
      </c>
      <c r="L146" s="50">
        <f>VLOOKUP($A146,'Data shares'!$C:$FB,61)*100</f>
        <v>2.17</v>
      </c>
      <c r="M146" s="49">
        <f>VLOOKUP($A146,'Data shares'!$C:$FB,62)</f>
        <v>779250</v>
      </c>
      <c r="N146" s="49">
        <f>VLOOKUP($A146,'Data shares'!$C:$FB,63)</f>
        <v>843750</v>
      </c>
      <c r="O146" s="140">
        <f>VLOOKUP($A146,'Data shares'!$C:$FB,65)*100</f>
        <v>-7.64</v>
      </c>
    </row>
    <row r="147" spans="1:15" x14ac:dyDescent="0.25">
      <c r="A147" s="101" t="str">
        <f>'Data Vlaue (Cr)'!C142</f>
        <v>NBCC</v>
      </c>
      <c r="B147" s="50">
        <f>VLOOKUP($A147,'Data shares'!$C:$FB,7)</f>
        <v>94.94</v>
      </c>
      <c r="C147" s="50">
        <f>VLOOKUP($A147,'Data shares'!$C:$FB,10)*100</f>
        <v>2.17</v>
      </c>
      <c r="D147" s="49">
        <f>VLOOKUP($A147,'Data shares'!$C:$FB,66)</f>
        <v>56634500</v>
      </c>
      <c r="E147" s="49">
        <f>VLOOKUP($A147,'Data shares'!$C:$FB,67)</f>
        <v>14722500</v>
      </c>
      <c r="F147" s="50">
        <f>VLOOKUP($A147,'Data shares'!$C:$FB,69)*100</f>
        <v>284.68</v>
      </c>
      <c r="G147" s="49">
        <f>VLOOKUP($A147,'Data shares'!$C:$FB,42)</f>
        <v>16867500</v>
      </c>
      <c r="H147" s="49">
        <f>VLOOKUP($A147,'Data shares'!$C:$FB,43)</f>
        <v>4329000</v>
      </c>
      <c r="I147" s="50">
        <f>VLOOKUP($A147,'Data shares'!$C:$FB,45)*100</f>
        <v>289.64</v>
      </c>
      <c r="J147" s="49">
        <f>VLOOKUP($A147,'Data shares'!$C:$FB,58)</f>
        <v>29334500</v>
      </c>
      <c r="K147" s="49">
        <f>VLOOKUP($A147,'Data shares'!$C:$FB,59)</f>
        <v>6890000</v>
      </c>
      <c r="L147" s="50">
        <f>VLOOKUP($A147,'Data shares'!$C:$FB,61)*100</f>
        <v>325.75</v>
      </c>
      <c r="M147" s="49">
        <f>VLOOKUP($A147,'Data shares'!$C:$FB,62)</f>
        <v>10432500</v>
      </c>
      <c r="N147" s="49">
        <f>VLOOKUP($A147,'Data shares'!$C:$FB,63)</f>
        <v>3503500</v>
      </c>
      <c r="O147" s="140">
        <f>VLOOKUP($A147,'Data shares'!$C:$FB,65)*100</f>
        <v>197.77</v>
      </c>
    </row>
    <row r="148" spans="1:15" x14ac:dyDescent="0.25">
      <c r="A148" s="101" t="str">
        <f>'Data Vlaue (Cr)'!C143</f>
        <v>NESTLEIND</v>
      </c>
      <c r="B148" s="50">
        <f>VLOOKUP($A148,'Data shares'!$C:$FB,7)</f>
        <v>1486.1</v>
      </c>
      <c r="C148" s="50">
        <f>VLOOKUP($A148,'Data shares'!$C:$FB,10)*100</f>
        <v>0.55999999999999994</v>
      </c>
      <c r="D148" s="49">
        <f>VLOOKUP($A148,'Data shares'!$C:$FB,66)</f>
        <v>11905000</v>
      </c>
      <c r="E148" s="49">
        <f>VLOOKUP($A148,'Data shares'!$C:$FB,67)</f>
        <v>10287000</v>
      </c>
      <c r="F148" s="50">
        <f>VLOOKUP($A148,'Data shares'!$C:$FB,69)*100</f>
        <v>15.73</v>
      </c>
      <c r="G148" s="49">
        <f>VLOOKUP($A148,'Data shares'!$C:$FB,42)</f>
        <v>2249500</v>
      </c>
      <c r="H148" s="49">
        <f>VLOOKUP($A148,'Data shares'!$C:$FB,43)</f>
        <v>2279500</v>
      </c>
      <c r="I148" s="50">
        <f>VLOOKUP($A148,'Data shares'!$C:$FB,45)*100</f>
        <v>-1.32</v>
      </c>
      <c r="J148" s="49">
        <f>VLOOKUP($A148,'Data shares'!$C:$FB,58)</f>
        <v>4954500</v>
      </c>
      <c r="K148" s="49">
        <f>VLOOKUP($A148,'Data shares'!$C:$FB,59)</f>
        <v>4712000</v>
      </c>
      <c r="L148" s="50">
        <f>VLOOKUP($A148,'Data shares'!$C:$FB,61)*100</f>
        <v>5.1499999999999995</v>
      </c>
      <c r="M148" s="49">
        <f>VLOOKUP($A148,'Data shares'!$C:$FB,62)</f>
        <v>4701000</v>
      </c>
      <c r="N148" s="49">
        <f>VLOOKUP($A148,'Data shares'!$C:$FB,63)</f>
        <v>3295500</v>
      </c>
      <c r="O148" s="140">
        <f>VLOOKUP($A148,'Data shares'!$C:$FB,65)*100</f>
        <v>42.65</v>
      </c>
    </row>
    <row r="149" spans="1:15" x14ac:dyDescent="0.25">
      <c r="A149" s="101" t="str">
        <f>'Data Vlaue (Cr)'!C144</f>
        <v>NHPC</v>
      </c>
      <c r="B149" s="50">
        <f>VLOOKUP($A149,'Data shares'!$C:$FB,7)</f>
        <v>83.66</v>
      </c>
      <c r="C149" s="50">
        <f>VLOOKUP($A149,'Data shares'!$C:$FB,10)*100</f>
        <v>0.59</v>
      </c>
      <c r="D149" s="49">
        <f>VLOOKUP($A149,'Data shares'!$C:$FB,66)</f>
        <v>53881600</v>
      </c>
      <c r="E149" s="49">
        <f>VLOOKUP($A149,'Data shares'!$C:$FB,67)</f>
        <v>39270400</v>
      </c>
      <c r="F149" s="50">
        <f>VLOOKUP($A149,'Data shares'!$C:$FB,69)*100</f>
        <v>37.21</v>
      </c>
      <c r="G149" s="49">
        <f>VLOOKUP($A149,'Data shares'!$C:$FB,42)</f>
        <v>12819200</v>
      </c>
      <c r="H149" s="49">
        <f>VLOOKUP($A149,'Data shares'!$C:$FB,43)</f>
        <v>8582400</v>
      </c>
      <c r="I149" s="50">
        <f>VLOOKUP($A149,'Data shares'!$C:$FB,45)*100</f>
        <v>49.370000000000005</v>
      </c>
      <c r="J149" s="49">
        <f>VLOOKUP($A149,'Data shares'!$C:$FB,58)</f>
        <v>32876800</v>
      </c>
      <c r="K149" s="49">
        <f>VLOOKUP($A149,'Data shares'!$C:$FB,59)</f>
        <v>23603200</v>
      </c>
      <c r="L149" s="50">
        <f>VLOOKUP($A149,'Data shares'!$C:$FB,61)*100</f>
        <v>39.290000000000006</v>
      </c>
      <c r="M149" s="49">
        <f>VLOOKUP($A149,'Data shares'!$C:$FB,62)</f>
        <v>8185600</v>
      </c>
      <c r="N149" s="49">
        <f>VLOOKUP($A149,'Data shares'!$C:$FB,63)</f>
        <v>7084800</v>
      </c>
      <c r="O149" s="140">
        <f>VLOOKUP($A149,'Data shares'!$C:$FB,65)*100</f>
        <v>15.540000000000001</v>
      </c>
    </row>
    <row r="150" spans="1:15" x14ac:dyDescent="0.25">
      <c r="A150" s="101" t="str">
        <f>'Data Vlaue (Cr)'!C145</f>
        <v>NIFTY</v>
      </c>
      <c r="B150" s="50">
        <f>VLOOKUP($A150,'Data shares'!$C:$FB,7)</f>
        <v>24330.95</v>
      </c>
      <c r="C150" s="50">
        <f>VLOOKUP($A150,'Data shares'!$C:$FB,10)*100</f>
        <v>1.24</v>
      </c>
      <c r="D150" s="49">
        <f>VLOOKUP($A150,'Data shares'!$C:$FB,66)</f>
        <v>3940323985</v>
      </c>
      <c r="E150" s="49">
        <f>VLOOKUP($A150,'Data shares'!$C:$FB,67)</f>
        <v>28794158640</v>
      </c>
      <c r="F150" s="50">
        <f>VLOOKUP($A150,'Data shares'!$C:$FB,69)*100</f>
        <v>-86.32</v>
      </c>
      <c r="G150" s="49">
        <f>VLOOKUP($A150,'Data shares'!$C:$FB,42)</f>
        <v>7236450</v>
      </c>
      <c r="H150" s="49">
        <f>VLOOKUP($A150,'Data shares'!$C:$FB,43)</f>
        <v>4669015</v>
      </c>
      <c r="I150" s="50">
        <f>VLOOKUP($A150,'Data shares'!$C:$FB,45)*100</f>
        <v>54.990000000000009</v>
      </c>
      <c r="J150" s="49">
        <f>VLOOKUP($A150,'Data shares'!$C:$FB,58)</f>
        <v>1959592050</v>
      </c>
      <c r="K150" s="49">
        <f>VLOOKUP($A150,'Data shares'!$C:$FB,59)</f>
        <v>15200824015</v>
      </c>
      <c r="L150" s="50">
        <f>VLOOKUP($A150,'Data shares'!$C:$FB,61)*100</f>
        <v>-87.11</v>
      </c>
      <c r="M150" s="49">
        <f>VLOOKUP($A150,'Data shares'!$C:$FB,62)</f>
        <v>1973495485</v>
      </c>
      <c r="N150" s="49">
        <f>VLOOKUP($A150,'Data shares'!$C:$FB,63)</f>
        <v>13588665610</v>
      </c>
      <c r="O150" s="140">
        <f>VLOOKUP($A150,'Data shares'!$C:$FB,65)*100</f>
        <v>-85.48</v>
      </c>
    </row>
    <row r="151" spans="1:15" x14ac:dyDescent="0.25">
      <c r="A151" s="101" t="str">
        <f>'Data Vlaue (Cr)'!C146</f>
        <v>NIFTYNXT50</v>
      </c>
      <c r="B151" s="50">
        <f>VLOOKUP($A151,'Data shares'!$C:$FB,7)</f>
        <v>71691.45</v>
      </c>
      <c r="C151" s="50">
        <f>VLOOKUP($A151,'Data shares'!$C:$FB,10)*100</f>
        <v>1.51</v>
      </c>
      <c r="D151" s="49">
        <f>VLOOKUP($A151,'Data shares'!$C:$FB,66)</f>
        <v>16825</v>
      </c>
      <c r="E151" s="49">
        <f>VLOOKUP($A151,'Data shares'!$C:$FB,67)</f>
        <v>8250</v>
      </c>
      <c r="F151" s="50">
        <f>VLOOKUP($A151,'Data shares'!$C:$FB,69)*100</f>
        <v>103.94000000000001</v>
      </c>
      <c r="G151" s="49">
        <f>VLOOKUP($A151,'Data shares'!$C:$FB,42)</f>
        <v>7175</v>
      </c>
      <c r="H151" s="49">
        <f>VLOOKUP($A151,'Data shares'!$C:$FB,43)</f>
        <v>2400</v>
      </c>
      <c r="I151" s="50">
        <f>VLOOKUP($A151,'Data shares'!$C:$FB,45)*100</f>
        <v>198.96</v>
      </c>
      <c r="J151" s="49">
        <f>VLOOKUP($A151,'Data shares'!$C:$FB,58)</f>
        <v>9100</v>
      </c>
      <c r="K151" s="49">
        <f>VLOOKUP($A151,'Data shares'!$C:$FB,59)</f>
        <v>5650</v>
      </c>
      <c r="L151" s="50">
        <f>VLOOKUP($A151,'Data shares'!$C:$FB,61)*100</f>
        <v>61.06</v>
      </c>
      <c r="M151" s="49">
        <f>VLOOKUP($A151,'Data shares'!$C:$FB,62)</f>
        <v>550</v>
      </c>
      <c r="N151" s="49">
        <f>VLOOKUP($A151,'Data shares'!$C:$FB,63)</f>
        <v>200</v>
      </c>
      <c r="O151" s="140">
        <f>VLOOKUP($A151,'Data shares'!$C:$FB,65)*100</f>
        <v>175</v>
      </c>
    </row>
    <row r="152" spans="1:15" x14ac:dyDescent="0.25">
      <c r="A152" s="101" t="str">
        <f>'Data Vlaue (Cr)'!C147</f>
        <v>NMDC</v>
      </c>
      <c r="B152" s="50">
        <f>VLOOKUP($A152,'Data shares'!$C:$FB,7)</f>
        <v>89.18</v>
      </c>
      <c r="C152" s="50">
        <f>VLOOKUP($A152,'Data shares'!$C:$FB,10)*100</f>
        <v>0.38999999999999996</v>
      </c>
      <c r="D152" s="49">
        <f>VLOOKUP($A152,'Data shares'!$C:$FB,66)</f>
        <v>73926000</v>
      </c>
      <c r="E152" s="49">
        <f>VLOOKUP($A152,'Data shares'!$C:$FB,67)</f>
        <v>55397250</v>
      </c>
      <c r="F152" s="50">
        <f>VLOOKUP($A152,'Data shares'!$C:$FB,69)*100</f>
        <v>33.450000000000003</v>
      </c>
      <c r="G152" s="49">
        <f>VLOOKUP($A152,'Data shares'!$C:$FB,42)</f>
        <v>17185500</v>
      </c>
      <c r="H152" s="49">
        <f>VLOOKUP($A152,'Data shares'!$C:$FB,43)</f>
        <v>12156750</v>
      </c>
      <c r="I152" s="50">
        <f>VLOOKUP($A152,'Data shares'!$C:$FB,45)*100</f>
        <v>41.370000000000005</v>
      </c>
      <c r="J152" s="49">
        <f>VLOOKUP($A152,'Data shares'!$C:$FB,58)</f>
        <v>42727500</v>
      </c>
      <c r="K152" s="49">
        <f>VLOOKUP($A152,'Data shares'!$C:$FB,59)</f>
        <v>33500250</v>
      </c>
      <c r="L152" s="50">
        <f>VLOOKUP($A152,'Data shares'!$C:$FB,61)*100</f>
        <v>27.54</v>
      </c>
      <c r="M152" s="49">
        <f>VLOOKUP($A152,'Data shares'!$C:$FB,62)</f>
        <v>14013000</v>
      </c>
      <c r="N152" s="49">
        <f>VLOOKUP($A152,'Data shares'!$C:$FB,63)</f>
        <v>9740250</v>
      </c>
      <c r="O152" s="140">
        <f>VLOOKUP($A152,'Data shares'!$C:$FB,65)*100</f>
        <v>43.87</v>
      </c>
    </row>
    <row r="153" spans="1:15" x14ac:dyDescent="0.25">
      <c r="A153" s="101" t="str">
        <f>'Data Vlaue (Cr)'!C148</f>
        <v>NTPC</v>
      </c>
      <c r="B153" s="50">
        <f>VLOOKUP($A153,'Data shares'!$C:$FB,7)</f>
        <v>394.85</v>
      </c>
      <c r="C153" s="50">
        <f>VLOOKUP($A153,'Data shares'!$C:$FB,10)*100</f>
        <v>-0.95</v>
      </c>
      <c r="D153" s="49">
        <f>VLOOKUP($A153,'Data shares'!$C:$FB,66)</f>
        <v>65410500</v>
      </c>
      <c r="E153" s="49">
        <f>VLOOKUP($A153,'Data shares'!$C:$FB,67)</f>
        <v>57469500</v>
      </c>
      <c r="F153" s="50">
        <f>VLOOKUP($A153,'Data shares'!$C:$FB,69)*100</f>
        <v>13.819999999999999</v>
      </c>
      <c r="G153" s="49">
        <f>VLOOKUP($A153,'Data shares'!$C:$FB,42)</f>
        <v>12642000</v>
      </c>
      <c r="H153" s="49">
        <f>VLOOKUP($A153,'Data shares'!$C:$FB,43)</f>
        <v>7635000</v>
      </c>
      <c r="I153" s="50">
        <f>VLOOKUP($A153,'Data shares'!$C:$FB,45)*100</f>
        <v>65.58</v>
      </c>
      <c r="J153" s="49">
        <f>VLOOKUP($A153,'Data shares'!$C:$FB,58)</f>
        <v>39082500</v>
      </c>
      <c r="K153" s="49">
        <f>VLOOKUP($A153,'Data shares'!$C:$FB,59)</f>
        <v>39790500</v>
      </c>
      <c r="L153" s="50">
        <f>VLOOKUP($A153,'Data shares'!$C:$FB,61)*100</f>
        <v>-1.78</v>
      </c>
      <c r="M153" s="49">
        <f>VLOOKUP($A153,'Data shares'!$C:$FB,62)</f>
        <v>13686000</v>
      </c>
      <c r="N153" s="49">
        <f>VLOOKUP($A153,'Data shares'!$C:$FB,63)</f>
        <v>10044000</v>
      </c>
      <c r="O153" s="140">
        <f>VLOOKUP($A153,'Data shares'!$C:$FB,65)*100</f>
        <v>36.26</v>
      </c>
    </row>
    <row r="154" spans="1:15" x14ac:dyDescent="0.25">
      <c r="A154" s="101" t="str">
        <f>'Data Vlaue (Cr)'!C149</f>
        <v>NUVAMA</v>
      </c>
      <c r="B154" s="50">
        <f>VLOOKUP($A154,'Data shares'!$C:$FB,7)</f>
        <v>1413.6</v>
      </c>
      <c r="C154" s="50">
        <f>VLOOKUP($A154,'Data shares'!$C:$FB,10)*100</f>
        <v>4.63</v>
      </c>
      <c r="D154" s="49">
        <f>VLOOKUP($A154,'Data shares'!$C:$FB,66)</f>
        <v>2895500</v>
      </c>
      <c r="E154" s="49">
        <f>VLOOKUP($A154,'Data shares'!$C:$FB,67)</f>
        <v>2135000</v>
      </c>
      <c r="F154" s="50">
        <f>VLOOKUP($A154,'Data shares'!$C:$FB,69)*100</f>
        <v>35.620000000000005</v>
      </c>
      <c r="G154" s="49">
        <f>VLOOKUP($A154,'Data shares'!$C:$FB,42)</f>
        <v>973500</v>
      </c>
      <c r="H154" s="49">
        <f>VLOOKUP($A154,'Data shares'!$C:$FB,43)</f>
        <v>827000</v>
      </c>
      <c r="I154" s="50">
        <f>VLOOKUP($A154,'Data shares'!$C:$FB,45)*100</f>
        <v>17.71</v>
      </c>
      <c r="J154" s="49">
        <f>VLOOKUP($A154,'Data shares'!$C:$FB,58)</f>
        <v>1365500</v>
      </c>
      <c r="K154" s="49">
        <f>VLOOKUP($A154,'Data shares'!$C:$FB,59)</f>
        <v>1079000</v>
      </c>
      <c r="L154" s="50">
        <f>VLOOKUP($A154,'Data shares'!$C:$FB,61)*100</f>
        <v>26.55</v>
      </c>
      <c r="M154" s="49">
        <f>VLOOKUP($A154,'Data shares'!$C:$FB,62)</f>
        <v>556500</v>
      </c>
      <c r="N154" s="49">
        <f>VLOOKUP($A154,'Data shares'!$C:$FB,63)</f>
        <v>229000</v>
      </c>
      <c r="O154" s="140">
        <f>VLOOKUP($A154,'Data shares'!$C:$FB,65)*100</f>
        <v>143.01</v>
      </c>
    </row>
    <row r="155" spans="1:15" x14ac:dyDescent="0.25">
      <c r="A155" s="101" t="str">
        <f>'Data Vlaue (Cr)'!C150</f>
        <v>NYKAA</v>
      </c>
      <c r="B155" s="50">
        <f>VLOOKUP($A155,'Data shares'!$C:$FB,7)</f>
        <v>272.35000000000002</v>
      </c>
      <c r="C155" s="50">
        <f>VLOOKUP($A155,'Data shares'!$C:$FB,10)*100</f>
        <v>0.86999999999999988</v>
      </c>
      <c r="D155" s="49">
        <f>VLOOKUP($A155,'Data shares'!$C:$FB,66)</f>
        <v>14478125</v>
      </c>
      <c r="E155" s="49">
        <f>VLOOKUP($A155,'Data shares'!$C:$FB,67)</f>
        <v>8543750</v>
      </c>
      <c r="F155" s="50">
        <f>VLOOKUP($A155,'Data shares'!$C:$FB,69)*100</f>
        <v>69.459999999999994</v>
      </c>
      <c r="G155" s="49">
        <f>VLOOKUP($A155,'Data shares'!$C:$FB,42)</f>
        <v>3521875</v>
      </c>
      <c r="H155" s="49">
        <f>VLOOKUP($A155,'Data shares'!$C:$FB,43)</f>
        <v>2871875</v>
      </c>
      <c r="I155" s="50">
        <f>VLOOKUP($A155,'Data shares'!$C:$FB,45)*100</f>
        <v>22.63</v>
      </c>
      <c r="J155" s="49">
        <f>VLOOKUP($A155,'Data shares'!$C:$FB,58)</f>
        <v>9075000</v>
      </c>
      <c r="K155" s="49">
        <f>VLOOKUP($A155,'Data shares'!$C:$FB,59)</f>
        <v>4440625</v>
      </c>
      <c r="L155" s="50">
        <f>VLOOKUP($A155,'Data shares'!$C:$FB,61)*100</f>
        <v>104.36000000000001</v>
      </c>
      <c r="M155" s="49">
        <f>VLOOKUP($A155,'Data shares'!$C:$FB,62)</f>
        <v>1881250</v>
      </c>
      <c r="N155" s="49">
        <f>VLOOKUP($A155,'Data shares'!$C:$FB,63)</f>
        <v>1231250</v>
      </c>
      <c r="O155" s="140">
        <f>VLOOKUP($A155,'Data shares'!$C:$FB,65)*100</f>
        <v>52.790000000000006</v>
      </c>
    </row>
    <row r="156" spans="1:15" x14ac:dyDescent="0.25">
      <c r="A156" s="101" t="str">
        <f>'Data Vlaue (Cr)'!C151</f>
        <v>OBEROIRLTY</v>
      </c>
      <c r="B156" s="50">
        <f>VLOOKUP($A156,'Data shares'!$C:$FB,7)</f>
        <v>1673.4</v>
      </c>
      <c r="C156" s="50">
        <f>VLOOKUP($A156,'Data shares'!$C:$FB,10)*100</f>
        <v>0.43</v>
      </c>
      <c r="D156" s="49">
        <f>VLOOKUP($A156,'Data shares'!$C:$FB,66)</f>
        <v>1459500</v>
      </c>
      <c r="E156" s="49">
        <f>VLOOKUP($A156,'Data shares'!$C:$FB,67)</f>
        <v>1039150</v>
      </c>
      <c r="F156" s="50">
        <f>VLOOKUP($A156,'Data shares'!$C:$FB,69)*100</f>
        <v>40.450000000000003</v>
      </c>
      <c r="G156" s="49">
        <f>VLOOKUP($A156,'Data shares'!$C:$FB,42)</f>
        <v>536550</v>
      </c>
      <c r="H156" s="49">
        <f>VLOOKUP($A156,'Data shares'!$C:$FB,43)</f>
        <v>449750</v>
      </c>
      <c r="I156" s="50">
        <f>VLOOKUP($A156,'Data shares'!$C:$FB,45)*100</f>
        <v>19.3</v>
      </c>
      <c r="J156" s="49">
        <f>VLOOKUP($A156,'Data shares'!$C:$FB,58)</f>
        <v>708050</v>
      </c>
      <c r="K156" s="49">
        <f>VLOOKUP($A156,'Data shares'!$C:$FB,59)</f>
        <v>386750</v>
      </c>
      <c r="L156" s="50">
        <f>VLOOKUP($A156,'Data shares'!$C:$FB,61)*100</f>
        <v>83.08</v>
      </c>
      <c r="M156" s="49">
        <f>VLOOKUP($A156,'Data shares'!$C:$FB,62)</f>
        <v>214900</v>
      </c>
      <c r="N156" s="49">
        <f>VLOOKUP($A156,'Data shares'!$C:$FB,63)</f>
        <v>202650</v>
      </c>
      <c r="O156" s="140">
        <f>VLOOKUP($A156,'Data shares'!$C:$FB,65)*100</f>
        <v>6.04</v>
      </c>
    </row>
    <row r="157" spans="1:15" x14ac:dyDescent="0.25">
      <c r="A157" s="101" t="str">
        <f>'Data Vlaue (Cr)'!C152</f>
        <v>OFSS</v>
      </c>
      <c r="B157" s="50">
        <f>VLOOKUP($A157,'Data shares'!$C:$FB,7)</f>
        <v>9694.5</v>
      </c>
      <c r="C157" s="50">
        <f>VLOOKUP($A157,'Data shares'!$C:$FB,10)*100</f>
        <v>-0.13</v>
      </c>
      <c r="D157" s="49">
        <f>VLOOKUP($A157,'Data shares'!$C:$FB,66)</f>
        <v>1650675</v>
      </c>
      <c r="E157" s="49">
        <f>VLOOKUP($A157,'Data shares'!$C:$FB,67)</f>
        <v>1946550</v>
      </c>
      <c r="F157" s="50">
        <f>VLOOKUP($A157,'Data shares'!$C:$FB,69)*100</f>
        <v>-15.2</v>
      </c>
      <c r="G157" s="49">
        <f>VLOOKUP($A157,'Data shares'!$C:$FB,42)</f>
        <v>216975</v>
      </c>
      <c r="H157" s="49">
        <f>VLOOKUP($A157,'Data shares'!$C:$FB,43)</f>
        <v>264750</v>
      </c>
      <c r="I157" s="50">
        <f>VLOOKUP($A157,'Data shares'!$C:$FB,45)*100</f>
        <v>-18.05</v>
      </c>
      <c r="J157" s="49">
        <f>VLOOKUP($A157,'Data shares'!$C:$FB,58)</f>
        <v>519900</v>
      </c>
      <c r="K157" s="49">
        <f>VLOOKUP($A157,'Data shares'!$C:$FB,59)</f>
        <v>973200</v>
      </c>
      <c r="L157" s="50">
        <f>VLOOKUP($A157,'Data shares'!$C:$FB,61)*100</f>
        <v>-46.58</v>
      </c>
      <c r="M157" s="49">
        <f>VLOOKUP($A157,'Data shares'!$C:$FB,62)</f>
        <v>913800</v>
      </c>
      <c r="N157" s="49">
        <f>VLOOKUP($A157,'Data shares'!$C:$FB,63)</f>
        <v>708600</v>
      </c>
      <c r="O157" s="140">
        <f>VLOOKUP($A157,'Data shares'!$C:$FB,65)*100</f>
        <v>28.96</v>
      </c>
    </row>
    <row r="158" spans="1:15" x14ac:dyDescent="0.25">
      <c r="A158" s="101" t="str">
        <f>'Data Vlaue (Cr)'!C153</f>
        <v>OIL</v>
      </c>
      <c r="B158" s="50">
        <f>VLOOKUP($A158,'Data shares'!$C:$FB,7)</f>
        <v>450.25</v>
      </c>
      <c r="C158" s="50">
        <f>VLOOKUP($A158,'Data shares'!$C:$FB,10)*100</f>
        <v>-5.5100000000000007</v>
      </c>
      <c r="D158" s="49">
        <f>VLOOKUP($A158,'Data shares'!$C:$FB,66)</f>
        <v>27519800</v>
      </c>
      <c r="E158" s="49">
        <f>VLOOKUP($A158,'Data shares'!$C:$FB,67)</f>
        <v>18407200</v>
      </c>
      <c r="F158" s="50">
        <f>VLOOKUP($A158,'Data shares'!$C:$FB,69)*100</f>
        <v>49.51</v>
      </c>
      <c r="G158" s="49">
        <f>VLOOKUP($A158,'Data shares'!$C:$FB,42)</f>
        <v>6276200</v>
      </c>
      <c r="H158" s="49">
        <f>VLOOKUP($A158,'Data shares'!$C:$FB,43)</f>
        <v>2737000</v>
      </c>
      <c r="I158" s="50">
        <f>VLOOKUP($A158,'Data shares'!$C:$FB,45)*100</f>
        <v>129.31</v>
      </c>
      <c r="J158" s="49">
        <f>VLOOKUP($A158,'Data shares'!$C:$FB,58)</f>
        <v>13937000</v>
      </c>
      <c r="K158" s="49">
        <f>VLOOKUP($A158,'Data shares'!$C:$FB,59)</f>
        <v>11170600</v>
      </c>
      <c r="L158" s="50">
        <f>VLOOKUP($A158,'Data shares'!$C:$FB,61)*100</f>
        <v>24.77</v>
      </c>
      <c r="M158" s="49">
        <f>VLOOKUP($A158,'Data shares'!$C:$FB,62)</f>
        <v>7306600</v>
      </c>
      <c r="N158" s="49">
        <f>VLOOKUP($A158,'Data shares'!$C:$FB,63)</f>
        <v>4499600</v>
      </c>
      <c r="O158" s="140">
        <f>VLOOKUP($A158,'Data shares'!$C:$FB,65)*100</f>
        <v>62.38</v>
      </c>
    </row>
    <row r="159" spans="1:15" x14ac:dyDescent="0.25">
      <c r="A159" s="101" t="str">
        <f>'Data Vlaue (Cr)'!C154</f>
        <v>ONGC</v>
      </c>
      <c r="B159" s="50">
        <f>VLOOKUP($A159,'Data shares'!$C:$FB,7)</f>
        <v>280.8</v>
      </c>
      <c r="C159" s="50">
        <f>VLOOKUP($A159,'Data shares'!$C:$FB,10)*100</f>
        <v>-3.16</v>
      </c>
      <c r="D159" s="49">
        <f>VLOOKUP($A159,'Data shares'!$C:$FB,66)</f>
        <v>151364250</v>
      </c>
      <c r="E159" s="49">
        <f>VLOOKUP($A159,'Data shares'!$C:$FB,67)</f>
        <v>82782000</v>
      </c>
      <c r="F159" s="50">
        <f>VLOOKUP($A159,'Data shares'!$C:$FB,69)*100</f>
        <v>82.85</v>
      </c>
      <c r="G159" s="49">
        <f>VLOOKUP($A159,'Data shares'!$C:$FB,42)</f>
        <v>18330750</v>
      </c>
      <c r="H159" s="49">
        <f>VLOOKUP($A159,'Data shares'!$C:$FB,43)</f>
        <v>9551250</v>
      </c>
      <c r="I159" s="50">
        <f>VLOOKUP($A159,'Data shares'!$C:$FB,45)*100</f>
        <v>91.92</v>
      </c>
      <c r="J159" s="49">
        <f>VLOOKUP($A159,'Data shares'!$C:$FB,58)</f>
        <v>94027500</v>
      </c>
      <c r="K159" s="49">
        <f>VLOOKUP($A159,'Data shares'!$C:$FB,59)</f>
        <v>54560250</v>
      </c>
      <c r="L159" s="50">
        <f>VLOOKUP($A159,'Data shares'!$C:$FB,61)*100</f>
        <v>72.34</v>
      </c>
      <c r="M159" s="49">
        <f>VLOOKUP($A159,'Data shares'!$C:$FB,62)</f>
        <v>39006000</v>
      </c>
      <c r="N159" s="49">
        <f>VLOOKUP($A159,'Data shares'!$C:$FB,63)</f>
        <v>18670500</v>
      </c>
      <c r="O159" s="140">
        <f>VLOOKUP($A159,'Data shares'!$C:$FB,65)*100</f>
        <v>108.91999999999999</v>
      </c>
    </row>
    <row r="160" spans="1:15" x14ac:dyDescent="0.25">
      <c r="A160" s="101" t="str">
        <f>'Data Vlaue (Cr)'!C155</f>
        <v>PAGEIND</v>
      </c>
      <c r="B160" s="50">
        <f>VLOOKUP($A160,'Data shares'!$C:$FB,7)</f>
        <v>37540</v>
      </c>
      <c r="C160" s="50">
        <f>VLOOKUP($A160,'Data shares'!$C:$FB,10)*100</f>
        <v>0.37</v>
      </c>
      <c r="D160" s="49">
        <f>VLOOKUP($A160,'Data shares'!$C:$FB,66)</f>
        <v>74475</v>
      </c>
      <c r="E160" s="49">
        <f>VLOOKUP($A160,'Data shares'!$C:$FB,67)</f>
        <v>44085</v>
      </c>
      <c r="F160" s="50">
        <f>VLOOKUP($A160,'Data shares'!$C:$FB,69)*100</f>
        <v>68.94</v>
      </c>
      <c r="G160" s="49">
        <f>VLOOKUP($A160,'Data shares'!$C:$FB,42)</f>
        <v>25905</v>
      </c>
      <c r="H160" s="49">
        <f>VLOOKUP($A160,'Data shares'!$C:$FB,43)</f>
        <v>26385</v>
      </c>
      <c r="I160" s="50">
        <f>VLOOKUP($A160,'Data shares'!$C:$FB,45)*100</f>
        <v>-1.82</v>
      </c>
      <c r="J160" s="49">
        <f>VLOOKUP($A160,'Data shares'!$C:$FB,58)</f>
        <v>15120</v>
      </c>
      <c r="K160" s="49">
        <f>VLOOKUP($A160,'Data shares'!$C:$FB,59)</f>
        <v>12705</v>
      </c>
      <c r="L160" s="50">
        <f>VLOOKUP($A160,'Data shares'!$C:$FB,61)*100</f>
        <v>19.009999999999998</v>
      </c>
      <c r="M160" s="49">
        <f>VLOOKUP($A160,'Data shares'!$C:$FB,62)</f>
        <v>33450</v>
      </c>
      <c r="N160" s="49">
        <f>VLOOKUP($A160,'Data shares'!$C:$FB,63)</f>
        <v>4995</v>
      </c>
      <c r="O160" s="140">
        <f>VLOOKUP($A160,'Data shares'!$C:$FB,65)*100</f>
        <v>569.66999999999996</v>
      </c>
    </row>
    <row r="161" spans="1:15" x14ac:dyDescent="0.25">
      <c r="A161" s="101" t="str">
        <f>'Data Vlaue (Cr)'!C156</f>
        <v>PATANJALI</v>
      </c>
      <c r="B161" s="50">
        <f>VLOOKUP($A161,'Data shares'!$C:$FB,7)</f>
        <v>460.05</v>
      </c>
      <c r="C161" s="50">
        <f>VLOOKUP($A161,'Data shares'!$C:$FB,10)*100</f>
        <v>0.62</v>
      </c>
      <c r="D161" s="49">
        <f>VLOOKUP($A161,'Data shares'!$C:$FB,66)</f>
        <v>9466200</v>
      </c>
      <c r="E161" s="49">
        <f>VLOOKUP($A161,'Data shares'!$C:$FB,67)</f>
        <v>6743700</v>
      </c>
      <c r="F161" s="50">
        <f>VLOOKUP($A161,'Data shares'!$C:$FB,69)*100</f>
        <v>40.369999999999997</v>
      </c>
      <c r="G161" s="49">
        <f>VLOOKUP($A161,'Data shares'!$C:$FB,42)</f>
        <v>4051800</v>
      </c>
      <c r="H161" s="49">
        <f>VLOOKUP($A161,'Data shares'!$C:$FB,43)</f>
        <v>2775600</v>
      </c>
      <c r="I161" s="50">
        <f>VLOOKUP($A161,'Data shares'!$C:$FB,45)*100</f>
        <v>45.98</v>
      </c>
      <c r="J161" s="49">
        <f>VLOOKUP($A161,'Data shares'!$C:$FB,58)</f>
        <v>4487400</v>
      </c>
      <c r="K161" s="49">
        <f>VLOOKUP($A161,'Data shares'!$C:$FB,59)</f>
        <v>2850300</v>
      </c>
      <c r="L161" s="50">
        <f>VLOOKUP($A161,'Data shares'!$C:$FB,61)*100</f>
        <v>57.440000000000005</v>
      </c>
      <c r="M161" s="49">
        <f>VLOOKUP($A161,'Data shares'!$C:$FB,62)</f>
        <v>927000</v>
      </c>
      <c r="N161" s="49">
        <f>VLOOKUP($A161,'Data shares'!$C:$FB,63)</f>
        <v>1117800</v>
      </c>
      <c r="O161" s="140">
        <f>VLOOKUP($A161,'Data shares'!$C:$FB,65)*100</f>
        <v>-17.07</v>
      </c>
    </row>
    <row r="162" spans="1:15" x14ac:dyDescent="0.25">
      <c r="A162" s="101" t="str">
        <f>'Data Vlaue (Cr)'!C157</f>
        <v>PAYTM</v>
      </c>
      <c r="B162" s="50">
        <f>VLOOKUP($A162,'Data shares'!$C:$FB,7)</f>
        <v>1110.5999999999999</v>
      </c>
      <c r="C162" s="50">
        <f>VLOOKUP($A162,'Data shares'!$C:$FB,10)*100</f>
        <v>2.08</v>
      </c>
      <c r="D162" s="49">
        <f>VLOOKUP($A162,'Data shares'!$C:$FB,66)</f>
        <v>27579725</v>
      </c>
      <c r="E162" s="49">
        <f>VLOOKUP($A162,'Data shares'!$C:$FB,67)</f>
        <v>15199625</v>
      </c>
      <c r="F162" s="50">
        <f>VLOOKUP($A162,'Data shares'!$C:$FB,69)*100</f>
        <v>81.45</v>
      </c>
      <c r="G162" s="49">
        <f>VLOOKUP($A162,'Data shares'!$C:$FB,42)</f>
        <v>4049125</v>
      </c>
      <c r="H162" s="49">
        <f>VLOOKUP($A162,'Data shares'!$C:$FB,43)</f>
        <v>2220675</v>
      </c>
      <c r="I162" s="50">
        <f>VLOOKUP($A162,'Data shares'!$C:$FB,45)*100</f>
        <v>82.34</v>
      </c>
      <c r="J162" s="49">
        <f>VLOOKUP($A162,'Data shares'!$C:$FB,58)</f>
        <v>14381100</v>
      </c>
      <c r="K162" s="49">
        <f>VLOOKUP($A162,'Data shares'!$C:$FB,59)</f>
        <v>7744450</v>
      </c>
      <c r="L162" s="50">
        <f>VLOOKUP($A162,'Data shares'!$C:$FB,61)*100</f>
        <v>85.7</v>
      </c>
      <c r="M162" s="49">
        <f>VLOOKUP($A162,'Data shares'!$C:$FB,62)</f>
        <v>9149500</v>
      </c>
      <c r="N162" s="49">
        <f>VLOOKUP($A162,'Data shares'!$C:$FB,63)</f>
        <v>5234500</v>
      </c>
      <c r="O162" s="140">
        <f>VLOOKUP($A162,'Data shares'!$C:$FB,65)*100</f>
        <v>74.790000000000006</v>
      </c>
    </row>
    <row r="163" spans="1:15" x14ac:dyDescent="0.25">
      <c r="A163" s="101" t="str">
        <f>'Data Vlaue (Cr)'!C158</f>
        <v>PERSISTENT</v>
      </c>
      <c r="B163" s="50">
        <f>VLOOKUP($A163,'Data shares'!$C:$FB,7)</f>
        <v>5014</v>
      </c>
      <c r="C163" s="50">
        <f>VLOOKUP($A163,'Data shares'!$C:$FB,10)*100</f>
        <v>4.1000000000000005</v>
      </c>
      <c r="D163" s="49">
        <f>VLOOKUP($A163,'Data shares'!$C:$FB,66)</f>
        <v>6223600</v>
      </c>
      <c r="E163" s="49">
        <f>VLOOKUP($A163,'Data shares'!$C:$FB,67)</f>
        <v>2238500</v>
      </c>
      <c r="F163" s="50">
        <f>VLOOKUP($A163,'Data shares'!$C:$FB,69)*100</f>
        <v>178.03</v>
      </c>
      <c r="G163" s="49">
        <f>VLOOKUP($A163,'Data shares'!$C:$FB,42)</f>
        <v>1064900</v>
      </c>
      <c r="H163" s="49">
        <f>VLOOKUP($A163,'Data shares'!$C:$FB,43)</f>
        <v>436500</v>
      </c>
      <c r="I163" s="50">
        <f>VLOOKUP($A163,'Data shares'!$C:$FB,45)*100</f>
        <v>143.96</v>
      </c>
      <c r="J163" s="49">
        <f>VLOOKUP($A163,'Data shares'!$C:$FB,58)</f>
        <v>3675200</v>
      </c>
      <c r="K163" s="49">
        <f>VLOOKUP($A163,'Data shares'!$C:$FB,59)</f>
        <v>1310500</v>
      </c>
      <c r="L163" s="50">
        <f>VLOOKUP($A163,'Data shares'!$C:$FB,61)*100</f>
        <v>180.44</v>
      </c>
      <c r="M163" s="49">
        <f>VLOOKUP($A163,'Data shares'!$C:$FB,62)</f>
        <v>1483500</v>
      </c>
      <c r="N163" s="49">
        <f>VLOOKUP($A163,'Data shares'!$C:$FB,63)</f>
        <v>491500</v>
      </c>
      <c r="O163" s="140">
        <f>VLOOKUP($A163,'Data shares'!$C:$FB,65)*100</f>
        <v>201.82999999999998</v>
      </c>
    </row>
    <row r="164" spans="1:15" x14ac:dyDescent="0.25">
      <c r="A164" s="101" t="str">
        <f>'Data Vlaue (Cr)'!C159</f>
        <v>PETRONET</v>
      </c>
      <c r="B164" s="50">
        <f>VLOOKUP($A164,'Data shares'!$C:$FB,7)</f>
        <v>283.3</v>
      </c>
      <c r="C164" s="50">
        <f>VLOOKUP($A164,'Data shares'!$C:$FB,10)*100</f>
        <v>0.27</v>
      </c>
      <c r="D164" s="49">
        <f>VLOOKUP($A164,'Data shares'!$C:$FB,66)</f>
        <v>38824600</v>
      </c>
      <c r="E164" s="49">
        <f>VLOOKUP($A164,'Data shares'!$C:$FB,67)</f>
        <v>94665600</v>
      </c>
      <c r="F164" s="50">
        <f>VLOOKUP($A164,'Data shares'!$C:$FB,69)*100</f>
        <v>-58.989999999999995</v>
      </c>
      <c r="G164" s="49">
        <f>VLOOKUP($A164,'Data shares'!$C:$FB,42)</f>
        <v>5287700</v>
      </c>
      <c r="H164" s="49">
        <f>VLOOKUP($A164,'Data shares'!$C:$FB,43)</f>
        <v>14787700</v>
      </c>
      <c r="I164" s="50">
        <f>VLOOKUP($A164,'Data shares'!$C:$FB,45)*100</f>
        <v>-64.239999999999995</v>
      </c>
      <c r="J164" s="49">
        <f>VLOOKUP($A164,'Data shares'!$C:$FB,58)</f>
        <v>26286500</v>
      </c>
      <c r="K164" s="49">
        <f>VLOOKUP($A164,'Data shares'!$C:$FB,59)</f>
        <v>58476300</v>
      </c>
      <c r="L164" s="50">
        <f>VLOOKUP($A164,'Data shares'!$C:$FB,61)*100</f>
        <v>-55.05</v>
      </c>
      <c r="M164" s="49">
        <f>VLOOKUP($A164,'Data shares'!$C:$FB,62)</f>
        <v>7250400</v>
      </c>
      <c r="N164" s="49">
        <f>VLOOKUP($A164,'Data shares'!$C:$FB,63)</f>
        <v>21401600</v>
      </c>
      <c r="O164" s="140">
        <f>VLOOKUP($A164,'Data shares'!$C:$FB,65)*100</f>
        <v>-66.12</v>
      </c>
    </row>
    <row r="165" spans="1:15" x14ac:dyDescent="0.25">
      <c r="A165" s="101" t="str">
        <f>'Data Vlaue (Cr)'!C160</f>
        <v>PFC</v>
      </c>
      <c r="B165" s="50">
        <f>VLOOKUP($A165,'Data shares'!$C:$FB,7)</f>
        <v>463.9</v>
      </c>
      <c r="C165" s="50">
        <f>VLOOKUP($A165,'Data shares'!$C:$FB,10)*100</f>
        <v>1.53</v>
      </c>
      <c r="D165" s="49">
        <f>VLOOKUP($A165,'Data shares'!$C:$FB,66)</f>
        <v>29045900</v>
      </c>
      <c r="E165" s="49">
        <f>VLOOKUP($A165,'Data shares'!$C:$FB,67)</f>
        <v>45496100</v>
      </c>
      <c r="F165" s="50">
        <f>VLOOKUP($A165,'Data shares'!$C:$FB,69)*100</f>
        <v>-36.159999999999997</v>
      </c>
      <c r="G165" s="49">
        <f>VLOOKUP($A165,'Data shares'!$C:$FB,42)</f>
        <v>5920200</v>
      </c>
      <c r="H165" s="49">
        <f>VLOOKUP($A165,'Data shares'!$C:$FB,43)</f>
        <v>7608900</v>
      </c>
      <c r="I165" s="50">
        <f>VLOOKUP($A165,'Data shares'!$C:$FB,45)*100</f>
        <v>-22.189999999999998</v>
      </c>
      <c r="J165" s="49">
        <f>VLOOKUP($A165,'Data shares'!$C:$FB,58)</f>
        <v>16061500</v>
      </c>
      <c r="K165" s="49">
        <f>VLOOKUP($A165,'Data shares'!$C:$FB,59)</f>
        <v>26517400</v>
      </c>
      <c r="L165" s="50">
        <f>VLOOKUP($A165,'Data shares'!$C:$FB,61)*100</f>
        <v>-39.43</v>
      </c>
      <c r="M165" s="49">
        <f>VLOOKUP($A165,'Data shares'!$C:$FB,62)</f>
        <v>7064200</v>
      </c>
      <c r="N165" s="49">
        <f>VLOOKUP($A165,'Data shares'!$C:$FB,63)</f>
        <v>11369800</v>
      </c>
      <c r="O165" s="140">
        <f>VLOOKUP($A165,'Data shares'!$C:$FB,65)*100</f>
        <v>-37.869999999999997</v>
      </c>
    </row>
    <row r="166" spans="1:15" x14ac:dyDescent="0.25">
      <c r="A166" s="101" t="str">
        <f>'Data Vlaue (Cr)'!C161</f>
        <v>PGEL</v>
      </c>
      <c r="B166" s="50">
        <f>VLOOKUP($A166,'Data shares'!$C:$FB,7)</f>
        <v>544.5</v>
      </c>
      <c r="C166" s="50">
        <f>VLOOKUP($A166,'Data shares'!$C:$FB,10)*100</f>
        <v>2.2800000000000002</v>
      </c>
      <c r="D166" s="49">
        <f>VLOOKUP($A166,'Data shares'!$C:$FB,66)</f>
        <v>10359750</v>
      </c>
      <c r="E166" s="49">
        <f>VLOOKUP($A166,'Data shares'!$C:$FB,67)</f>
        <v>8097800</v>
      </c>
      <c r="F166" s="50">
        <f>VLOOKUP($A166,'Data shares'!$C:$FB,69)*100</f>
        <v>27.93</v>
      </c>
      <c r="G166" s="49">
        <f>VLOOKUP($A166,'Data shares'!$C:$FB,42)</f>
        <v>2125150</v>
      </c>
      <c r="H166" s="49">
        <f>VLOOKUP($A166,'Data shares'!$C:$FB,43)</f>
        <v>1913300</v>
      </c>
      <c r="I166" s="50">
        <f>VLOOKUP($A166,'Data shares'!$C:$FB,45)*100</f>
        <v>11.07</v>
      </c>
      <c r="J166" s="49">
        <f>VLOOKUP($A166,'Data shares'!$C:$FB,58)</f>
        <v>5722800</v>
      </c>
      <c r="K166" s="49">
        <f>VLOOKUP($A166,'Data shares'!$C:$FB,59)</f>
        <v>4637900</v>
      </c>
      <c r="L166" s="50">
        <f>VLOOKUP($A166,'Data shares'!$C:$FB,61)*100</f>
        <v>23.39</v>
      </c>
      <c r="M166" s="49">
        <f>VLOOKUP($A166,'Data shares'!$C:$FB,62)</f>
        <v>2511800</v>
      </c>
      <c r="N166" s="49">
        <f>VLOOKUP($A166,'Data shares'!$C:$FB,63)</f>
        <v>1546600</v>
      </c>
      <c r="O166" s="140">
        <f>VLOOKUP($A166,'Data shares'!$C:$FB,65)*100</f>
        <v>62.41</v>
      </c>
    </row>
    <row r="167" spans="1:15" x14ac:dyDescent="0.25">
      <c r="A167" s="101" t="str">
        <f>'Data Vlaue (Cr)'!C162</f>
        <v>PHOENIXLTD</v>
      </c>
      <c r="B167" s="50">
        <f>VLOOKUP($A167,'Data shares'!$C:$FB,7)</f>
        <v>1839.1</v>
      </c>
      <c r="C167" s="50">
        <f>VLOOKUP($A167,'Data shares'!$C:$FB,10)*100</f>
        <v>2.52</v>
      </c>
      <c r="D167" s="49">
        <f>VLOOKUP($A167,'Data shares'!$C:$FB,66)</f>
        <v>2209550</v>
      </c>
      <c r="E167" s="49">
        <f>VLOOKUP($A167,'Data shares'!$C:$FB,67)</f>
        <v>1739150</v>
      </c>
      <c r="F167" s="50">
        <f>VLOOKUP($A167,'Data shares'!$C:$FB,69)*100</f>
        <v>27.05</v>
      </c>
      <c r="G167" s="49">
        <f>VLOOKUP($A167,'Data shares'!$C:$FB,42)</f>
        <v>459200</v>
      </c>
      <c r="H167" s="49">
        <f>VLOOKUP($A167,'Data shares'!$C:$FB,43)</f>
        <v>284200</v>
      </c>
      <c r="I167" s="50">
        <f>VLOOKUP($A167,'Data shares'!$C:$FB,45)*100</f>
        <v>61.58</v>
      </c>
      <c r="J167" s="49">
        <f>VLOOKUP($A167,'Data shares'!$C:$FB,58)</f>
        <v>1355900</v>
      </c>
      <c r="K167" s="49">
        <f>VLOOKUP($A167,'Data shares'!$C:$FB,59)</f>
        <v>980700</v>
      </c>
      <c r="L167" s="50">
        <f>VLOOKUP($A167,'Data shares'!$C:$FB,61)*100</f>
        <v>38.26</v>
      </c>
      <c r="M167" s="49">
        <f>VLOOKUP($A167,'Data shares'!$C:$FB,62)</f>
        <v>394450</v>
      </c>
      <c r="N167" s="49">
        <f>VLOOKUP($A167,'Data shares'!$C:$FB,63)</f>
        <v>474250</v>
      </c>
      <c r="O167" s="140">
        <f>VLOOKUP($A167,'Data shares'!$C:$FB,65)*100</f>
        <v>-16.830000000000002</v>
      </c>
    </row>
    <row r="168" spans="1:15" x14ac:dyDescent="0.25">
      <c r="A168" s="101" t="str">
        <f>'Data Vlaue (Cr)'!C163</f>
        <v>PIDILITIND</v>
      </c>
      <c r="B168" s="50">
        <f>VLOOKUP($A168,'Data shares'!$C:$FB,7)</f>
        <v>1421.5</v>
      </c>
      <c r="C168" s="50">
        <f>VLOOKUP($A168,'Data shares'!$C:$FB,10)*100</f>
        <v>4.2</v>
      </c>
      <c r="D168" s="49">
        <f>VLOOKUP($A168,'Data shares'!$C:$FB,66)</f>
        <v>13090000</v>
      </c>
      <c r="E168" s="49">
        <f>VLOOKUP($A168,'Data shares'!$C:$FB,67)</f>
        <v>2254000</v>
      </c>
      <c r="F168" s="50">
        <f>VLOOKUP($A168,'Data shares'!$C:$FB,69)*100</f>
        <v>480.75</v>
      </c>
      <c r="G168" s="49">
        <f>VLOOKUP($A168,'Data shares'!$C:$FB,42)</f>
        <v>3183500</v>
      </c>
      <c r="H168" s="49">
        <f>VLOOKUP($A168,'Data shares'!$C:$FB,43)</f>
        <v>803000</v>
      </c>
      <c r="I168" s="50">
        <f>VLOOKUP($A168,'Data shares'!$C:$FB,45)*100</f>
        <v>296.45</v>
      </c>
      <c r="J168" s="49">
        <f>VLOOKUP($A168,'Data shares'!$C:$FB,58)</f>
        <v>7217500</v>
      </c>
      <c r="K168" s="49">
        <f>VLOOKUP($A168,'Data shares'!$C:$FB,59)</f>
        <v>899000</v>
      </c>
      <c r="L168" s="50">
        <f>VLOOKUP($A168,'Data shares'!$C:$FB,61)*100</f>
        <v>702.84</v>
      </c>
      <c r="M168" s="49">
        <f>VLOOKUP($A168,'Data shares'!$C:$FB,62)</f>
        <v>2689000</v>
      </c>
      <c r="N168" s="49">
        <f>VLOOKUP($A168,'Data shares'!$C:$FB,63)</f>
        <v>552000</v>
      </c>
      <c r="O168" s="140">
        <f>VLOOKUP($A168,'Data shares'!$C:$FB,65)*100</f>
        <v>387.14</v>
      </c>
    </row>
    <row r="169" spans="1:15" x14ac:dyDescent="0.25">
      <c r="A169" s="101" t="str">
        <f>'Data Vlaue (Cr)'!C164</f>
        <v>PIIND</v>
      </c>
      <c r="B169" s="50">
        <f>VLOOKUP($A169,'Data shares'!$C:$FB,7)</f>
        <v>3071</v>
      </c>
      <c r="C169" s="50">
        <f>VLOOKUP($A169,'Data shares'!$C:$FB,10)*100</f>
        <v>1.8800000000000001</v>
      </c>
      <c r="D169" s="49">
        <f>VLOOKUP($A169,'Data shares'!$C:$FB,66)</f>
        <v>1733725</v>
      </c>
      <c r="E169" s="49">
        <f>VLOOKUP($A169,'Data shares'!$C:$FB,67)</f>
        <v>859075</v>
      </c>
      <c r="F169" s="50">
        <f>VLOOKUP($A169,'Data shares'!$C:$FB,69)*100</f>
        <v>101.81</v>
      </c>
      <c r="G169" s="49">
        <f>VLOOKUP($A169,'Data shares'!$C:$FB,42)</f>
        <v>557025</v>
      </c>
      <c r="H169" s="49">
        <f>VLOOKUP($A169,'Data shares'!$C:$FB,43)</f>
        <v>260750</v>
      </c>
      <c r="I169" s="50">
        <f>VLOOKUP($A169,'Data shares'!$C:$FB,45)*100</f>
        <v>113.62</v>
      </c>
      <c r="J169" s="49">
        <f>VLOOKUP($A169,'Data shares'!$C:$FB,58)</f>
        <v>916475</v>
      </c>
      <c r="K169" s="49">
        <f>VLOOKUP($A169,'Data shares'!$C:$FB,59)</f>
        <v>455875</v>
      </c>
      <c r="L169" s="50">
        <f>VLOOKUP($A169,'Data shares'!$C:$FB,61)*100</f>
        <v>101.03999999999999</v>
      </c>
      <c r="M169" s="49">
        <f>VLOOKUP($A169,'Data shares'!$C:$FB,62)</f>
        <v>260225</v>
      </c>
      <c r="N169" s="49">
        <f>VLOOKUP($A169,'Data shares'!$C:$FB,63)</f>
        <v>142450</v>
      </c>
      <c r="O169" s="140">
        <f>VLOOKUP($A169,'Data shares'!$C:$FB,65)*100</f>
        <v>82.679999999999993</v>
      </c>
    </row>
    <row r="170" spans="1:15" x14ac:dyDescent="0.25">
      <c r="A170" s="101" t="str">
        <f>'Data Vlaue (Cr)'!C165</f>
        <v>PNB</v>
      </c>
      <c r="B170" s="50">
        <f>VLOOKUP($A170,'Data shares'!$C:$FB,7)</f>
        <v>110.18</v>
      </c>
      <c r="C170" s="50">
        <f>VLOOKUP($A170,'Data shares'!$C:$FB,10)*100</f>
        <v>2.12</v>
      </c>
      <c r="D170" s="49">
        <f>VLOOKUP($A170,'Data shares'!$C:$FB,66)</f>
        <v>461328000</v>
      </c>
      <c r="E170" s="49">
        <f>VLOOKUP($A170,'Data shares'!$C:$FB,67)</f>
        <v>771712000</v>
      </c>
      <c r="F170" s="50">
        <f>VLOOKUP($A170,'Data shares'!$C:$FB,69)*100</f>
        <v>-40.22</v>
      </c>
      <c r="G170" s="49">
        <f>VLOOKUP($A170,'Data shares'!$C:$FB,42)</f>
        <v>79936000</v>
      </c>
      <c r="H170" s="49">
        <f>VLOOKUP($A170,'Data shares'!$C:$FB,43)</f>
        <v>143328000</v>
      </c>
      <c r="I170" s="50">
        <f>VLOOKUP($A170,'Data shares'!$C:$FB,45)*100</f>
        <v>-44.230000000000004</v>
      </c>
      <c r="J170" s="49">
        <f>VLOOKUP($A170,'Data shares'!$C:$FB,58)</f>
        <v>228256000</v>
      </c>
      <c r="K170" s="49">
        <f>VLOOKUP($A170,'Data shares'!$C:$FB,59)</f>
        <v>387256000</v>
      </c>
      <c r="L170" s="50">
        <f>VLOOKUP($A170,'Data shares'!$C:$FB,61)*100</f>
        <v>-41.06</v>
      </c>
      <c r="M170" s="49">
        <f>VLOOKUP($A170,'Data shares'!$C:$FB,62)</f>
        <v>153136000</v>
      </c>
      <c r="N170" s="49">
        <f>VLOOKUP($A170,'Data shares'!$C:$FB,63)</f>
        <v>241128000</v>
      </c>
      <c r="O170" s="140">
        <f>VLOOKUP($A170,'Data shares'!$C:$FB,65)*100</f>
        <v>-36.49</v>
      </c>
    </row>
    <row r="171" spans="1:15" x14ac:dyDescent="0.25">
      <c r="A171" s="101" t="str">
        <f>'Data Vlaue (Cr)'!C166</f>
        <v>PNBHOUSING</v>
      </c>
      <c r="B171" s="50">
        <f>VLOOKUP($A171,'Data shares'!$C:$FB,7)</f>
        <v>1065.0999999999999</v>
      </c>
      <c r="C171" s="50">
        <f>VLOOKUP($A171,'Data shares'!$C:$FB,10)*100</f>
        <v>2.21</v>
      </c>
      <c r="D171" s="49">
        <f>VLOOKUP($A171,'Data shares'!$C:$FB,66)</f>
        <v>5528900</v>
      </c>
      <c r="E171" s="49">
        <f>VLOOKUP($A171,'Data shares'!$C:$FB,67)</f>
        <v>2520700</v>
      </c>
      <c r="F171" s="50">
        <f>VLOOKUP($A171,'Data shares'!$C:$FB,69)*100</f>
        <v>119.34</v>
      </c>
      <c r="G171" s="49">
        <f>VLOOKUP($A171,'Data shares'!$C:$FB,42)</f>
        <v>1444300</v>
      </c>
      <c r="H171" s="49">
        <f>VLOOKUP($A171,'Data shares'!$C:$FB,43)</f>
        <v>809250</v>
      </c>
      <c r="I171" s="50">
        <f>VLOOKUP($A171,'Data shares'!$C:$FB,45)*100</f>
        <v>78.47</v>
      </c>
      <c r="J171" s="49">
        <f>VLOOKUP($A171,'Data shares'!$C:$FB,58)</f>
        <v>3251300</v>
      </c>
      <c r="K171" s="49">
        <f>VLOOKUP($A171,'Data shares'!$C:$FB,59)</f>
        <v>1286350</v>
      </c>
      <c r="L171" s="50">
        <f>VLOOKUP($A171,'Data shares'!$C:$FB,61)*100</f>
        <v>152.75</v>
      </c>
      <c r="M171" s="49">
        <f>VLOOKUP($A171,'Data shares'!$C:$FB,62)</f>
        <v>833300</v>
      </c>
      <c r="N171" s="49">
        <f>VLOOKUP($A171,'Data shares'!$C:$FB,63)</f>
        <v>425100</v>
      </c>
      <c r="O171" s="140">
        <f>VLOOKUP($A171,'Data shares'!$C:$FB,65)*100</f>
        <v>96.02000000000001</v>
      </c>
    </row>
    <row r="172" spans="1:15" x14ac:dyDescent="0.25">
      <c r="A172" s="101" t="str">
        <f>'Data Vlaue (Cr)'!C167</f>
        <v>POLICYBZR</v>
      </c>
      <c r="B172" s="50">
        <f>VLOOKUP($A172,'Data shares'!$C:$FB,7)</f>
        <v>1701.8</v>
      </c>
      <c r="C172" s="50">
        <f>VLOOKUP($A172,'Data shares'!$C:$FB,10)*100</f>
        <v>1.27</v>
      </c>
      <c r="D172" s="49">
        <f>VLOOKUP($A172,'Data shares'!$C:$FB,66)</f>
        <v>13090700</v>
      </c>
      <c r="E172" s="49">
        <f>VLOOKUP($A172,'Data shares'!$C:$FB,67)</f>
        <v>3112200</v>
      </c>
      <c r="F172" s="50">
        <f>VLOOKUP($A172,'Data shares'!$C:$FB,69)*100</f>
        <v>320.63</v>
      </c>
      <c r="G172" s="49">
        <f>VLOOKUP($A172,'Data shares'!$C:$FB,42)</f>
        <v>3270050</v>
      </c>
      <c r="H172" s="49">
        <f>VLOOKUP($A172,'Data shares'!$C:$FB,43)</f>
        <v>1062600</v>
      </c>
      <c r="I172" s="50">
        <f>VLOOKUP($A172,'Data shares'!$C:$FB,45)*100</f>
        <v>207.73999999999998</v>
      </c>
      <c r="J172" s="49">
        <f>VLOOKUP($A172,'Data shares'!$C:$FB,58)</f>
        <v>6095600</v>
      </c>
      <c r="K172" s="49">
        <f>VLOOKUP($A172,'Data shares'!$C:$FB,59)</f>
        <v>1439900</v>
      </c>
      <c r="L172" s="50">
        <f>VLOOKUP($A172,'Data shares'!$C:$FB,61)*100</f>
        <v>323.33</v>
      </c>
      <c r="M172" s="49">
        <f>VLOOKUP($A172,'Data shares'!$C:$FB,62)</f>
        <v>3725050</v>
      </c>
      <c r="N172" s="49">
        <f>VLOOKUP($A172,'Data shares'!$C:$FB,63)</f>
        <v>609700</v>
      </c>
      <c r="O172" s="140">
        <f>VLOOKUP($A172,'Data shares'!$C:$FB,65)*100</f>
        <v>510.96000000000004</v>
      </c>
    </row>
    <row r="173" spans="1:15" x14ac:dyDescent="0.25">
      <c r="A173" s="101" t="str">
        <f>'Data Vlaue (Cr)'!C168</f>
        <v>POLYCAB</v>
      </c>
      <c r="B173" s="50">
        <f>VLOOKUP($A173,'Data shares'!$C:$FB,7)</f>
        <v>8415.5</v>
      </c>
      <c r="C173" s="50">
        <f>VLOOKUP($A173,'Data shares'!$C:$FB,10)*100</f>
        <v>0.94000000000000006</v>
      </c>
      <c r="D173" s="49">
        <f>VLOOKUP($A173,'Data shares'!$C:$FB,66)</f>
        <v>10790500</v>
      </c>
      <c r="E173" s="49">
        <f>VLOOKUP($A173,'Data shares'!$C:$FB,67)</f>
        <v>3790750</v>
      </c>
      <c r="F173" s="50">
        <f>VLOOKUP($A173,'Data shares'!$C:$FB,69)*100</f>
        <v>184.65</v>
      </c>
      <c r="G173" s="49">
        <f>VLOOKUP($A173,'Data shares'!$C:$FB,42)</f>
        <v>1585875</v>
      </c>
      <c r="H173" s="49">
        <f>VLOOKUP($A173,'Data shares'!$C:$FB,43)</f>
        <v>896500</v>
      </c>
      <c r="I173" s="50">
        <f>VLOOKUP($A173,'Data shares'!$C:$FB,45)*100</f>
        <v>76.900000000000006</v>
      </c>
      <c r="J173" s="49">
        <f>VLOOKUP($A173,'Data shares'!$C:$FB,58)</f>
        <v>5698750</v>
      </c>
      <c r="K173" s="49">
        <f>VLOOKUP($A173,'Data shares'!$C:$FB,59)</f>
        <v>1893500</v>
      </c>
      <c r="L173" s="50">
        <f>VLOOKUP($A173,'Data shares'!$C:$FB,61)*100</f>
        <v>200.95999999999998</v>
      </c>
      <c r="M173" s="49">
        <f>VLOOKUP($A173,'Data shares'!$C:$FB,62)</f>
        <v>3505875</v>
      </c>
      <c r="N173" s="49">
        <f>VLOOKUP($A173,'Data shares'!$C:$FB,63)</f>
        <v>1000750</v>
      </c>
      <c r="O173" s="140">
        <f>VLOOKUP($A173,'Data shares'!$C:$FB,65)*100</f>
        <v>250.32000000000002</v>
      </c>
    </row>
    <row r="174" spans="1:15" x14ac:dyDescent="0.25">
      <c r="A174" s="101" t="str">
        <f>'Data Vlaue (Cr)'!C169</f>
        <v>POWERGRID</v>
      </c>
      <c r="B174" s="50">
        <f>VLOOKUP($A174,'Data shares'!$C:$FB,7)</f>
        <v>315.95</v>
      </c>
      <c r="C174" s="50">
        <f>VLOOKUP($A174,'Data shares'!$C:$FB,10)*100</f>
        <v>-1.0999999999999999</v>
      </c>
      <c r="D174" s="49">
        <f>VLOOKUP($A174,'Data shares'!$C:$FB,66)</f>
        <v>38435100</v>
      </c>
      <c r="E174" s="49">
        <f>VLOOKUP($A174,'Data shares'!$C:$FB,67)</f>
        <v>48533600</v>
      </c>
      <c r="F174" s="50">
        <f>VLOOKUP($A174,'Data shares'!$C:$FB,69)*100</f>
        <v>-20.810000000000002</v>
      </c>
      <c r="G174" s="49">
        <f>VLOOKUP($A174,'Data shares'!$C:$FB,42)</f>
        <v>7035700</v>
      </c>
      <c r="H174" s="49">
        <f>VLOOKUP($A174,'Data shares'!$C:$FB,43)</f>
        <v>8677300</v>
      </c>
      <c r="I174" s="50">
        <f>VLOOKUP($A174,'Data shares'!$C:$FB,45)*100</f>
        <v>-18.920000000000002</v>
      </c>
      <c r="J174" s="49">
        <f>VLOOKUP($A174,'Data shares'!$C:$FB,58)</f>
        <v>21652400</v>
      </c>
      <c r="K174" s="49">
        <f>VLOOKUP($A174,'Data shares'!$C:$FB,59)</f>
        <v>28500000</v>
      </c>
      <c r="L174" s="50">
        <f>VLOOKUP($A174,'Data shares'!$C:$FB,61)*100</f>
        <v>-24.03</v>
      </c>
      <c r="M174" s="49">
        <f>VLOOKUP($A174,'Data shares'!$C:$FB,62)</f>
        <v>9747000</v>
      </c>
      <c r="N174" s="49">
        <f>VLOOKUP($A174,'Data shares'!$C:$FB,63)</f>
        <v>11356300</v>
      </c>
      <c r="O174" s="140">
        <f>VLOOKUP($A174,'Data shares'!$C:$FB,65)*100</f>
        <v>-14.17</v>
      </c>
    </row>
    <row r="175" spans="1:15" x14ac:dyDescent="0.25">
      <c r="A175" s="101" t="str">
        <f>'Data Vlaue (Cr)'!C170</f>
        <v>POWERINDIA</v>
      </c>
      <c r="B175" s="50">
        <f>VLOOKUP($A175,'Data shares'!$C:$FB,7)</f>
        <v>33380</v>
      </c>
      <c r="C175" s="50">
        <f>VLOOKUP($A175,'Data shares'!$C:$FB,10)*100</f>
        <v>-2.5499999999999998</v>
      </c>
      <c r="D175" s="49">
        <f>VLOOKUP($A175,'Data shares'!$C:$FB,66)</f>
        <v>893275</v>
      </c>
      <c r="E175" s="49">
        <f>VLOOKUP($A175,'Data shares'!$C:$FB,67)</f>
        <v>710125</v>
      </c>
      <c r="F175" s="50">
        <f>VLOOKUP($A175,'Data shares'!$C:$FB,69)*100</f>
        <v>25.790000000000003</v>
      </c>
      <c r="G175" s="49">
        <f>VLOOKUP($A175,'Data shares'!$C:$FB,42)</f>
        <v>141150</v>
      </c>
      <c r="H175" s="49">
        <f>VLOOKUP($A175,'Data shares'!$C:$FB,43)</f>
        <v>77425</v>
      </c>
      <c r="I175" s="50">
        <f>VLOOKUP($A175,'Data shares'!$C:$FB,45)*100</f>
        <v>82.31</v>
      </c>
      <c r="J175" s="49">
        <f>VLOOKUP($A175,'Data shares'!$C:$FB,58)</f>
        <v>312800</v>
      </c>
      <c r="K175" s="49">
        <f>VLOOKUP($A175,'Data shares'!$C:$FB,59)</f>
        <v>185000</v>
      </c>
      <c r="L175" s="50">
        <f>VLOOKUP($A175,'Data shares'!$C:$FB,61)*100</f>
        <v>69.08</v>
      </c>
      <c r="M175" s="49">
        <f>VLOOKUP($A175,'Data shares'!$C:$FB,62)</f>
        <v>439325</v>
      </c>
      <c r="N175" s="49">
        <f>VLOOKUP($A175,'Data shares'!$C:$FB,63)</f>
        <v>447700</v>
      </c>
      <c r="O175" s="140">
        <f>VLOOKUP($A175,'Data shares'!$C:$FB,65)*100</f>
        <v>-1.87</v>
      </c>
    </row>
    <row r="176" spans="1:15" x14ac:dyDescent="0.25">
      <c r="A176" s="101" t="str">
        <f>'Data Vlaue (Cr)'!C171</f>
        <v>PREMIERENE</v>
      </c>
      <c r="B176" s="50">
        <f>VLOOKUP($A176,'Data shares'!$C:$FB,7)</f>
        <v>1033</v>
      </c>
      <c r="C176" s="50">
        <f>VLOOKUP($A176,'Data shares'!$C:$FB,10)*100</f>
        <v>-0.95</v>
      </c>
      <c r="D176" s="49">
        <f>VLOOKUP($A176,'Data shares'!$C:$FB,66)</f>
        <v>5515975</v>
      </c>
      <c r="E176" s="49">
        <f>VLOOKUP($A176,'Data shares'!$C:$FB,67)</f>
        <v>6787875</v>
      </c>
      <c r="F176" s="50">
        <f>VLOOKUP($A176,'Data shares'!$C:$FB,69)*100</f>
        <v>-18.740000000000002</v>
      </c>
      <c r="G176" s="49">
        <f>VLOOKUP($A176,'Data shares'!$C:$FB,42)</f>
        <v>1357575</v>
      </c>
      <c r="H176" s="49">
        <f>VLOOKUP($A176,'Data shares'!$C:$FB,43)</f>
        <v>1290300</v>
      </c>
      <c r="I176" s="50">
        <f>VLOOKUP($A176,'Data shares'!$C:$FB,45)*100</f>
        <v>5.21</v>
      </c>
      <c r="J176" s="49">
        <f>VLOOKUP($A176,'Data shares'!$C:$FB,58)</f>
        <v>2689850</v>
      </c>
      <c r="K176" s="49">
        <f>VLOOKUP($A176,'Data shares'!$C:$FB,59)</f>
        <v>3589150</v>
      </c>
      <c r="L176" s="50">
        <f>VLOOKUP($A176,'Data shares'!$C:$FB,61)*100</f>
        <v>-25.06</v>
      </c>
      <c r="M176" s="49">
        <f>VLOOKUP($A176,'Data shares'!$C:$FB,62)</f>
        <v>1468550</v>
      </c>
      <c r="N176" s="49">
        <f>VLOOKUP($A176,'Data shares'!$C:$FB,63)</f>
        <v>1908425</v>
      </c>
      <c r="O176" s="140">
        <f>VLOOKUP($A176,'Data shares'!$C:$FB,65)*100</f>
        <v>-23.05</v>
      </c>
    </row>
    <row r="177" spans="1:15" x14ac:dyDescent="0.25">
      <c r="A177" s="101" t="str">
        <f>'Data Vlaue (Cr)'!C172</f>
        <v>PRESTIGE</v>
      </c>
      <c r="B177" s="50">
        <f>VLOOKUP($A177,'Data shares'!$C:$FB,7)</f>
        <v>1455.2</v>
      </c>
      <c r="C177" s="50">
        <f>VLOOKUP($A177,'Data shares'!$C:$FB,10)*100</f>
        <v>1.6099999999999999</v>
      </c>
      <c r="D177" s="49">
        <f>VLOOKUP($A177,'Data shares'!$C:$FB,66)</f>
        <v>1628550</v>
      </c>
      <c r="E177" s="49">
        <f>VLOOKUP($A177,'Data shares'!$C:$FB,67)</f>
        <v>2048400</v>
      </c>
      <c r="F177" s="50">
        <f>VLOOKUP($A177,'Data shares'!$C:$FB,69)*100</f>
        <v>-20.5</v>
      </c>
      <c r="G177" s="49">
        <f>VLOOKUP($A177,'Data shares'!$C:$FB,42)</f>
        <v>669150</v>
      </c>
      <c r="H177" s="49">
        <f>VLOOKUP($A177,'Data shares'!$C:$FB,43)</f>
        <v>782550</v>
      </c>
      <c r="I177" s="50">
        <f>VLOOKUP($A177,'Data shares'!$C:$FB,45)*100</f>
        <v>-14.49</v>
      </c>
      <c r="J177" s="49">
        <f>VLOOKUP($A177,'Data shares'!$C:$FB,58)</f>
        <v>768600</v>
      </c>
      <c r="K177" s="49">
        <f>VLOOKUP($A177,'Data shares'!$C:$FB,59)</f>
        <v>848250</v>
      </c>
      <c r="L177" s="50">
        <f>VLOOKUP($A177,'Data shares'!$C:$FB,61)*100</f>
        <v>-9.39</v>
      </c>
      <c r="M177" s="49">
        <f>VLOOKUP($A177,'Data shares'!$C:$FB,62)</f>
        <v>190800</v>
      </c>
      <c r="N177" s="49">
        <f>VLOOKUP($A177,'Data shares'!$C:$FB,63)</f>
        <v>417600</v>
      </c>
      <c r="O177" s="140">
        <f>VLOOKUP($A177,'Data shares'!$C:$FB,65)*100</f>
        <v>-54.31</v>
      </c>
    </row>
    <row r="178" spans="1:15" x14ac:dyDescent="0.25">
      <c r="A178" s="101" t="str">
        <f>'Data Vlaue (Cr)'!C173</f>
        <v>RBLBANK</v>
      </c>
      <c r="B178" s="50">
        <f>VLOOKUP($A178,'Data shares'!$C:$FB,7)</f>
        <v>335.85</v>
      </c>
      <c r="C178" s="50">
        <f>VLOOKUP($A178,'Data shares'!$C:$FB,10)*100</f>
        <v>0.86999999999999988</v>
      </c>
      <c r="D178" s="49">
        <f>VLOOKUP($A178,'Data shares'!$C:$FB,66)</f>
        <v>68497450</v>
      </c>
      <c r="E178" s="49">
        <f>VLOOKUP($A178,'Data shares'!$C:$FB,67)</f>
        <v>39566850</v>
      </c>
      <c r="F178" s="50">
        <f>VLOOKUP($A178,'Data shares'!$C:$FB,69)*100</f>
        <v>73.11999999999999</v>
      </c>
      <c r="G178" s="49">
        <f>VLOOKUP($A178,'Data shares'!$C:$FB,42)</f>
        <v>15376525</v>
      </c>
      <c r="H178" s="49">
        <f>VLOOKUP($A178,'Data shares'!$C:$FB,43)</f>
        <v>7747000</v>
      </c>
      <c r="I178" s="50">
        <f>VLOOKUP($A178,'Data shares'!$C:$FB,45)*100</f>
        <v>98.48</v>
      </c>
      <c r="J178" s="49">
        <f>VLOOKUP($A178,'Data shares'!$C:$FB,58)</f>
        <v>37915850</v>
      </c>
      <c r="K178" s="49">
        <f>VLOOKUP($A178,'Data shares'!$C:$FB,59)</f>
        <v>21520150</v>
      </c>
      <c r="L178" s="50">
        <f>VLOOKUP($A178,'Data shares'!$C:$FB,61)*100</f>
        <v>76.19</v>
      </c>
      <c r="M178" s="49">
        <f>VLOOKUP($A178,'Data shares'!$C:$FB,62)</f>
        <v>15205075</v>
      </c>
      <c r="N178" s="49">
        <f>VLOOKUP($A178,'Data shares'!$C:$FB,63)</f>
        <v>10299700</v>
      </c>
      <c r="O178" s="140">
        <f>VLOOKUP($A178,'Data shares'!$C:$FB,65)*100</f>
        <v>47.63</v>
      </c>
    </row>
    <row r="179" spans="1:15" x14ac:dyDescent="0.25">
      <c r="A179" s="101" t="str">
        <f>'Data Vlaue (Cr)'!C174</f>
        <v>RECLTD</v>
      </c>
      <c r="B179" s="50">
        <f>VLOOKUP($A179,'Data shares'!$C:$FB,7)</f>
        <v>359.1</v>
      </c>
      <c r="C179" s="50">
        <f>VLOOKUP($A179,'Data shares'!$C:$FB,10)*100</f>
        <v>0.76</v>
      </c>
      <c r="D179" s="49">
        <f>VLOOKUP($A179,'Data shares'!$C:$FB,66)</f>
        <v>45677800</v>
      </c>
      <c r="E179" s="49">
        <f>VLOOKUP($A179,'Data shares'!$C:$FB,67)</f>
        <v>40313000</v>
      </c>
      <c r="F179" s="50">
        <f>VLOOKUP($A179,'Data shares'!$C:$FB,69)*100</f>
        <v>13.309999999999999</v>
      </c>
      <c r="G179" s="49">
        <f>VLOOKUP($A179,'Data shares'!$C:$FB,42)</f>
        <v>8474200</v>
      </c>
      <c r="H179" s="49">
        <f>VLOOKUP($A179,'Data shares'!$C:$FB,43)</f>
        <v>6616400</v>
      </c>
      <c r="I179" s="50">
        <f>VLOOKUP($A179,'Data shares'!$C:$FB,45)*100</f>
        <v>28.08</v>
      </c>
      <c r="J179" s="49">
        <f>VLOOKUP($A179,'Data shares'!$C:$FB,58)</f>
        <v>24992800</v>
      </c>
      <c r="K179" s="49">
        <f>VLOOKUP($A179,'Data shares'!$C:$FB,59)</f>
        <v>24606400</v>
      </c>
      <c r="L179" s="50">
        <f>VLOOKUP($A179,'Data shares'!$C:$FB,61)*100</f>
        <v>1.5699999999999998</v>
      </c>
      <c r="M179" s="49">
        <f>VLOOKUP($A179,'Data shares'!$C:$FB,62)</f>
        <v>12210800</v>
      </c>
      <c r="N179" s="49">
        <f>VLOOKUP($A179,'Data shares'!$C:$FB,63)</f>
        <v>9090200</v>
      </c>
      <c r="O179" s="140">
        <f>VLOOKUP($A179,'Data shares'!$C:$FB,65)*100</f>
        <v>34.33</v>
      </c>
    </row>
    <row r="180" spans="1:15" x14ac:dyDescent="0.25">
      <c r="A180" s="101" t="str">
        <f>'Data Vlaue (Cr)'!C175</f>
        <v>RELIANCE</v>
      </c>
      <c r="B180" s="50">
        <f>VLOOKUP($A180,'Data shares'!$C:$FB,7)</f>
        <v>1437.9</v>
      </c>
      <c r="C180" s="50">
        <f>VLOOKUP($A180,'Data shares'!$C:$FB,10)*100</f>
        <v>-1.76</v>
      </c>
      <c r="D180" s="49">
        <f>VLOOKUP($A180,'Data shares'!$C:$FB,66)</f>
        <v>172352000</v>
      </c>
      <c r="E180" s="49">
        <f>VLOOKUP($A180,'Data shares'!$C:$FB,67)</f>
        <v>120553500</v>
      </c>
      <c r="F180" s="50">
        <f>VLOOKUP($A180,'Data shares'!$C:$FB,69)*100</f>
        <v>42.970000000000006</v>
      </c>
      <c r="G180" s="49">
        <f>VLOOKUP($A180,'Data shares'!$C:$FB,42)</f>
        <v>12876000</v>
      </c>
      <c r="H180" s="49">
        <f>VLOOKUP($A180,'Data shares'!$C:$FB,43)</f>
        <v>13434500</v>
      </c>
      <c r="I180" s="50">
        <f>VLOOKUP($A180,'Data shares'!$C:$FB,45)*100</f>
        <v>-4.16</v>
      </c>
      <c r="J180" s="49">
        <f>VLOOKUP($A180,'Data shares'!$C:$FB,58)</f>
        <v>99113500</v>
      </c>
      <c r="K180" s="49">
        <f>VLOOKUP($A180,'Data shares'!$C:$FB,59)</f>
        <v>61682500</v>
      </c>
      <c r="L180" s="50">
        <f>VLOOKUP($A180,'Data shares'!$C:$FB,61)*100</f>
        <v>60.68</v>
      </c>
      <c r="M180" s="49">
        <f>VLOOKUP($A180,'Data shares'!$C:$FB,62)</f>
        <v>60362500</v>
      </c>
      <c r="N180" s="49">
        <f>VLOOKUP($A180,'Data shares'!$C:$FB,63)</f>
        <v>45436500</v>
      </c>
      <c r="O180" s="140">
        <f>VLOOKUP($A180,'Data shares'!$C:$FB,65)*100</f>
        <v>32.85</v>
      </c>
    </row>
    <row r="181" spans="1:15" x14ac:dyDescent="0.25">
      <c r="A181" s="101" t="str">
        <f>'Data Vlaue (Cr)'!C176</f>
        <v>RVNL</v>
      </c>
      <c r="B181" s="50">
        <f>VLOOKUP($A181,'Data shares'!$C:$FB,7)</f>
        <v>305.10000000000002</v>
      </c>
      <c r="C181" s="50">
        <f>VLOOKUP($A181,'Data shares'!$C:$FB,10)*100</f>
        <v>1.55</v>
      </c>
      <c r="D181" s="49">
        <f>VLOOKUP($A181,'Data shares'!$C:$FB,66)</f>
        <v>27408825</v>
      </c>
      <c r="E181" s="49">
        <f>VLOOKUP($A181,'Data shares'!$C:$FB,67)</f>
        <v>29089375</v>
      </c>
      <c r="F181" s="50">
        <f>VLOOKUP($A181,'Data shares'!$C:$FB,69)*100</f>
        <v>-5.7799999999999994</v>
      </c>
      <c r="G181" s="49">
        <f>VLOOKUP($A181,'Data shares'!$C:$FB,42)</f>
        <v>8495775</v>
      </c>
      <c r="H181" s="49">
        <f>VLOOKUP($A181,'Data shares'!$C:$FB,43)</f>
        <v>7318475</v>
      </c>
      <c r="I181" s="50">
        <f>VLOOKUP($A181,'Data shares'!$C:$FB,45)*100</f>
        <v>16.09</v>
      </c>
      <c r="J181" s="49">
        <f>VLOOKUP($A181,'Data shares'!$C:$FB,58)</f>
        <v>15916425</v>
      </c>
      <c r="K181" s="49">
        <f>VLOOKUP($A181,'Data shares'!$C:$FB,59)</f>
        <v>17429225</v>
      </c>
      <c r="L181" s="50">
        <f>VLOOKUP($A181,'Data shares'!$C:$FB,61)*100</f>
        <v>-8.68</v>
      </c>
      <c r="M181" s="49">
        <f>VLOOKUP($A181,'Data shares'!$C:$FB,62)</f>
        <v>2996625</v>
      </c>
      <c r="N181" s="49">
        <f>VLOOKUP($A181,'Data shares'!$C:$FB,63)</f>
        <v>4341675</v>
      </c>
      <c r="O181" s="140">
        <f>VLOOKUP($A181,'Data shares'!$C:$FB,65)*100</f>
        <v>-30.98</v>
      </c>
    </row>
    <row r="182" spans="1:15" x14ac:dyDescent="0.25">
      <c r="A182" s="101" t="str">
        <f>'Data Vlaue (Cr)'!C177</f>
        <v>SAIL</v>
      </c>
      <c r="B182" s="50">
        <f>VLOOKUP($A182,'Data shares'!$C:$FB,7)</f>
        <v>186.04</v>
      </c>
      <c r="C182" s="50">
        <f>VLOOKUP($A182,'Data shares'!$C:$FB,10)*100</f>
        <v>-0.67999999999999994</v>
      </c>
      <c r="D182" s="49">
        <f>VLOOKUP($A182,'Data shares'!$C:$FB,66)</f>
        <v>20473200</v>
      </c>
      <c r="E182" s="49">
        <f>VLOOKUP($A182,'Data shares'!$C:$FB,67)</f>
        <v>23970000</v>
      </c>
      <c r="F182" s="50">
        <f>VLOOKUP($A182,'Data shares'!$C:$FB,69)*100</f>
        <v>-14.59</v>
      </c>
      <c r="G182" s="49">
        <f>VLOOKUP($A182,'Data shares'!$C:$FB,42)</f>
        <v>11891000</v>
      </c>
      <c r="H182" s="49">
        <f>VLOOKUP($A182,'Data shares'!$C:$FB,43)</f>
        <v>12323400</v>
      </c>
      <c r="I182" s="50">
        <f>VLOOKUP($A182,'Data shares'!$C:$FB,45)*100</f>
        <v>-3.51</v>
      </c>
      <c r="J182" s="49">
        <f>VLOOKUP($A182,'Data shares'!$C:$FB,58)</f>
        <v>5945500</v>
      </c>
      <c r="K182" s="49">
        <f>VLOOKUP($A182,'Data shares'!$C:$FB,59)</f>
        <v>8116900</v>
      </c>
      <c r="L182" s="50">
        <f>VLOOKUP($A182,'Data shares'!$C:$FB,61)*100</f>
        <v>-26.75</v>
      </c>
      <c r="M182" s="49">
        <f>VLOOKUP($A182,'Data shares'!$C:$FB,62)</f>
        <v>2636700</v>
      </c>
      <c r="N182" s="49">
        <f>VLOOKUP($A182,'Data shares'!$C:$FB,63)</f>
        <v>3529700</v>
      </c>
      <c r="O182" s="140">
        <f>VLOOKUP($A182,'Data shares'!$C:$FB,65)*100</f>
        <v>-25.3</v>
      </c>
    </row>
    <row r="183" spans="1:15" x14ac:dyDescent="0.25">
      <c r="A183" s="101" t="str">
        <f>'Data Vlaue (Cr)'!C178</f>
        <v>SAMMAANCAP</v>
      </c>
      <c r="B183" s="50">
        <f>VLOOKUP($A183,'Data shares'!$C:$FB,7)</f>
        <v>149.78</v>
      </c>
      <c r="C183" s="50">
        <f>VLOOKUP($A183,'Data shares'!$C:$FB,10)*100</f>
        <v>3.73</v>
      </c>
      <c r="D183" s="49">
        <f>VLOOKUP($A183,'Data shares'!$C:$FB,66)</f>
        <v>63093900</v>
      </c>
      <c r="E183" s="49">
        <f>VLOOKUP($A183,'Data shares'!$C:$FB,67)</f>
        <v>22299800</v>
      </c>
      <c r="F183" s="50">
        <f>VLOOKUP($A183,'Data shares'!$C:$FB,69)*100</f>
        <v>182.93</v>
      </c>
      <c r="G183" s="49">
        <f>VLOOKUP($A183,'Data shares'!$C:$FB,42)</f>
        <v>20489500</v>
      </c>
      <c r="H183" s="49">
        <f>VLOOKUP($A183,'Data shares'!$C:$FB,43)</f>
        <v>9300900</v>
      </c>
      <c r="I183" s="50">
        <f>VLOOKUP($A183,'Data shares'!$C:$FB,45)*100</f>
        <v>120.30000000000001</v>
      </c>
      <c r="J183" s="49">
        <f>VLOOKUP($A183,'Data shares'!$C:$FB,58)</f>
        <v>35857700</v>
      </c>
      <c r="K183" s="49">
        <f>VLOOKUP($A183,'Data shares'!$C:$FB,59)</f>
        <v>10294200</v>
      </c>
      <c r="L183" s="50">
        <f>VLOOKUP($A183,'Data shares'!$C:$FB,61)*100</f>
        <v>248.32999999999998</v>
      </c>
      <c r="M183" s="49">
        <f>VLOOKUP($A183,'Data shares'!$C:$FB,62)</f>
        <v>6746700</v>
      </c>
      <c r="N183" s="49">
        <f>VLOOKUP($A183,'Data shares'!$C:$FB,63)</f>
        <v>2704700</v>
      </c>
      <c r="O183" s="140">
        <f>VLOOKUP($A183,'Data shares'!$C:$FB,65)*100</f>
        <v>149.44</v>
      </c>
    </row>
    <row r="184" spans="1:15" x14ac:dyDescent="0.25">
      <c r="A184" s="101" t="str">
        <f>'Data Vlaue (Cr)'!C179</f>
        <v>SBICARD</v>
      </c>
      <c r="B184" s="50">
        <f>VLOOKUP($A184,'Data shares'!$C:$FB,7)</f>
        <v>649.65</v>
      </c>
      <c r="C184" s="50">
        <f>VLOOKUP($A184,'Data shares'!$C:$FB,10)*100</f>
        <v>0.62</v>
      </c>
      <c r="D184" s="49">
        <f>VLOOKUP($A184,'Data shares'!$C:$FB,66)</f>
        <v>16544800</v>
      </c>
      <c r="E184" s="49">
        <f>VLOOKUP($A184,'Data shares'!$C:$FB,67)</f>
        <v>12155200</v>
      </c>
      <c r="F184" s="50">
        <f>VLOOKUP($A184,'Data shares'!$C:$FB,69)*100</f>
        <v>36.11</v>
      </c>
      <c r="G184" s="49">
        <f>VLOOKUP($A184,'Data shares'!$C:$FB,42)</f>
        <v>5035200</v>
      </c>
      <c r="H184" s="49">
        <f>VLOOKUP($A184,'Data shares'!$C:$FB,43)</f>
        <v>2355200</v>
      </c>
      <c r="I184" s="50">
        <f>VLOOKUP($A184,'Data shares'!$C:$FB,45)*100</f>
        <v>113.78999999999999</v>
      </c>
      <c r="J184" s="49">
        <f>VLOOKUP($A184,'Data shares'!$C:$FB,58)</f>
        <v>7276000</v>
      </c>
      <c r="K184" s="49">
        <f>VLOOKUP($A184,'Data shares'!$C:$FB,59)</f>
        <v>6570400</v>
      </c>
      <c r="L184" s="50">
        <f>VLOOKUP($A184,'Data shares'!$C:$FB,61)*100</f>
        <v>10.74</v>
      </c>
      <c r="M184" s="49">
        <f>VLOOKUP($A184,'Data shares'!$C:$FB,62)</f>
        <v>4233600</v>
      </c>
      <c r="N184" s="49">
        <f>VLOOKUP($A184,'Data shares'!$C:$FB,63)</f>
        <v>3229600</v>
      </c>
      <c r="O184" s="140">
        <f>VLOOKUP($A184,'Data shares'!$C:$FB,65)*100</f>
        <v>31.09</v>
      </c>
    </row>
    <row r="185" spans="1:15" x14ac:dyDescent="0.25">
      <c r="A185" s="101" t="str">
        <f>'Data Vlaue (Cr)'!C180</f>
        <v>SBILIFE</v>
      </c>
      <c r="B185" s="50">
        <f>VLOOKUP($A185,'Data shares'!$C:$FB,7)</f>
        <v>1859</v>
      </c>
      <c r="C185" s="50">
        <f>VLOOKUP($A185,'Data shares'!$C:$FB,10)*100</f>
        <v>2.08</v>
      </c>
      <c r="D185" s="49">
        <f>VLOOKUP($A185,'Data shares'!$C:$FB,66)</f>
        <v>8204625</v>
      </c>
      <c r="E185" s="49">
        <f>VLOOKUP($A185,'Data shares'!$C:$FB,67)</f>
        <v>7147875</v>
      </c>
      <c r="F185" s="50">
        <f>VLOOKUP($A185,'Data shares'!$C:$FB,69)*100</f>
        <v>14.78</v>
      </c>
      <c r="G185" s="49">
        <f>VLOOKUP($A185,'Data shares'!$C:$FB,42)</f>
        <v>1669125</v>
      </c>
      <c r="H185" s="49">
        <f>VLOOKUP($A185,'Data shares'!$C:$FB,43)</f>
        <v>1072500</v>
      </c>
      <c r="I185" s="50">
        <f>VLOOKUP($A185,'Data shares'!$C:$FB,45)*100</f>
        <v>55.63</v>
      </c>
      <c r="J185" s="49">
        <f>VLOOKUP($A185,'Data shares'!$C:$FB,58)</f>
        <v>4451250</v>
      </c>
      <c r="K185" s="49">
        <f>VLOOKUP($A185,'Data shares'!$C:$FB,59)</f>
        <v>4319250</v>
      </c>
      <c r="L185" s="50">
        <f>VLOOKUP($A185,'Data shares'!$C:$FB,61)*100</f>
        <v>3.06</v>
      </c>
      <c r="M185" s="49">
        <f>VLOOKUP($A185,'Data shares'!$C:$FB,62)</f>
        <v>2084250</v>
      </c>
      <c r="N185" s="49">
        <f>VLOOKUP($A185,'Data shares'!$C:$FB,63)</f>
        <v>1756125</v>
      </c>
      <c r="O185" s="140">
        <f>VLOOKUP($A185,'Data shares'!$C:$FB,65)*100</f>
        <v>18.68</v>
      </c>
    </row>
    <row r="186" spans="1:15" x14ac:dyDescent="0.25">
      <c r="A186" s="101" t="str">
        <f>'Data Vlaue (Cr)'!C181</f>
        <v>SBIN</v>
      </c>
      <c r="B186" s="50">
        <f>VLOOKUP($A186,'Data shares'!$C:$FB,7)</f>
        <v>1096</v>
      </c>
      <c r="C186" s="50">
        <f>VLOOKUP($A186,'Data shares'!$C:$FB,10)*100</f>
        <v>3.4099999999999997</v>
      </c>
      <c r="D186" s="49">
        <f>VLOOKUP($A186,'Data shares'!$C:$FB,66)</f>
        <v>136813500</v>
      </c>
      <c r="E186" s="49">
        <f>VLOOKUP($A186,'Data shares'!$C:$FB,67)</f>
        <v>64799250</v>
      </c>
      <c r="F186" s="50">
        <f>VLOOKUP($A186,'Data shares'!$C:$FB,69)*100</f>
        <v>111.13</v>
      </c>
      <c r="G186" s="49">
        <f>VLOOKUP($A186,'Data shares'!$C:$FB,42)</f>
        <v>21266250</v>
      </c>
      <c r="H186" s="49">
        <f>VLOOKUP($A186,'Data shares'!$C:$FB,43)</f>
        <v>9108750</v>
      </c>
      <c r="I186" s="50">
        <f>VLOOKUP($A186,'Data shares'!$C:$FB,45)*100</f>
        <v>133.47</v>
      </c>
      <c r="J186" s="49">
        <f>VLOOKUP($A186,'Data shares'!$C:$FB,58)</f>
        <v>78100500</v>
      </c>
      <c r="K186" s="49">
        <f>VLOOKUP($A186,'Data shares'!$C:$FB,59)</f>
        <v>34833000</v>
      </c>
      <c r="L186" s="50">
        <f>VLOOKUP($A186,'Data shares'!$C:$FB,61)*100</f>
        <v>124.21</v>
      </c>
      <c r="M186" s="49">
        <f>VLOOKUP($A186,'Data shares'!$C:$FB,62)</f>
        <v>37446750</v>
      </c>
      <c r="N186" s="49">
        <f>VLOOKUP($A186,'Data shares'!$C:$FB,63)</f>
        <v>20857500</v>
      </c>
      <c r="O186" s="140">
        <f>VLOOKUP($A186,'Data shares'!$C:$FB,65)*100</f>
        <v>79.540000000000006</v>
      </c>
    </row>
    <row r="187" spans="1:15" x14ac:dyDescent="0.25">
      <c r="A187" s="101" t="str">
        <f>'Data Vlaue (Cr)'!C182</f>
        <v>SHREECEM</v>
      </c>
      <c r="B187" s="50">
        <f>VLOOKUP($A187,'Data shares'!$C:$FB,7)</f>
        <v>24975</v>
      </c>
      <c r="C187" s="50">
        <f>VLOOKUP($A187,'Data shares'!$C:$FB,10)*100</f>
        <v>0.52</v>
      </c>
      <c r="D187" s="49">
        <f>VLOOKUP($A187,'Data shares'!$C:$FB,66)</f>
        <v>308800</v>
      </c>
      <c r="E187" s="49">
        <f>VLOOKUP($A187,'Data shares'!$C:$FB,67)</f>
        <v>128225</v>
      </c>
      <c r="F187" s="50">
        <f>VLOOKUP($A187,'Data shares'!$C:$FB,69)*100</f>
        <v>140.83000000000001</v>
      </c>
      <c r="G187" s="49">
        <f>VLOOKUP($A187,'Data shares'!$C:$FB,42)</f>
        <v>72250</v>
      </c>
      <c r="H187" s="49">
        <f>VLOOKUP($A187,'Data shares'!$C:$FB,43)</f>
        <v>76675</v>
      </c>
      <c r="I187" s="50">
        <f>VLOOKUP($A187,'Data shares'!$C:$FB,45)*100</f>
        <v>-5.7700000000000005</v>
      </c>
      <c r="J187" s="49">
        <f>VLOOKUP($A187,'Data shares'!$C:$FB,58)</f>
        <v>160200</v>
      </c>
      <c r="K187" s="49">
        <f>VLOOKUP($A187,'Data shares'!$C:$FB,59)</f>
        <v>39650</v>
      </c>
      <c r="L187" s="50">
        <f>VLOOKUP($A187,'Data shares'!$C:$FB,61)*100</f>
        <v>304.04000000000002</v>
      </c>
      <c r="M187" s="49">
        <f>VLOOKUP($A187,'Data shares'!$C:$FB,62)</f>
        <v>76350</v>
      </c>
      <c r="N187" s="49">
        <f>VLOOKUP($A187,'Data shares'!$C:$FB,63)</f>
        <v>11900</v>
      </c>
      <c r="O187" s="140">
        <f>VLOOKUP($A187,'Data shares'!$C:$FB,65)*100</f>
        <v>541.6</v>
      </c>
    </row>
    <row r="188" spans="1:15" x14ac:dyDescent="0.25">
      <c r="A188" s="101" t="str">
        <f>'Data Vlaue (Cr)'!C183</f>
        <v>SHRIRAMFIN</v>
      </c>
      <c r="B188" s="50">
        <f>VLOOKUP($A188,'Data shares'!$C:$FB,7)</f>
        <v>1004.1</v>
      </c>
      <c r="C188" s="50">
        <f>VLOOKUP($A188,'Data shares'!$C:$FB,10)*100</f>
        <v>4.12</v>
      </c>
      <c r="D188" s="49">
        <f>VLOOKUP($A188,'Data shares'!$C:$FB,66)</f>
        <v>51998925</v>
      </c>
      <c r="E188" s="49">
        <f>VLOOKUP($A188,'Data shares'!$C:$FB,67)</f>
        <v>24973575</v>
      </c>
      <c r="F188" s="50">
        <f>VLOOKUP($A188,'Data shares'!$C:$FB,69)*100</f>
        <v>108.22</v>
      </c>
      <c r="G188" s="49">
        <f>VLOOKUP($A188,'Data shares'!$C:$FB,42)</f>
        <v>10376850</v>
      </c>
      <c r="H188" s="49">
        <f>VLOOKUP($A188,'Data shares'!$C:$FB,43)</f>
        <v>5304750</v>
      </c>
      <c r="I188" s="50">
        <f>VLOOKUP($A188,'Data shares'!$C:$FB,45)*100</f>
        <v>95.61</v>
      </c>
      <c r="J188" s="49">
        <f>VLOOKUP($A188,'Data shares'!$C:$FB,58)</f>
        <v>27179625</v>
      </c>
      <c r="K188" s="49">
        <f>VLOOKUP($A188,'Data shares'!$C:$FB,59)</f>
        <v>12591150</v>
      </c>
      <c r="L188" s="50">
        <f>VLOOKUP($A188,'Data shares'!$C:$FB,61)*100</f>
        <v>115.86000000000001</v>
      </c>
      <c r="M188" s="49">
        <f>VLOOKUP($A188,'Data shares'!$C:$FB,62)</f>
        <v>14442450</v>
      </c>
      <c r="N188" s="49">
        <f>VLOOKUP($A188,'Data shares'!$C:$FB,63)</f>
        <v>7077675</v>
      </c>
      <c r="O188" s="140">
        <f>VLOOKUP($A188,'Data shares'!$C:$FB,65)*100</f>
        <v>104.06</v>
      </c>
    </row>
    <row r="189" spans="1:15" x14ac:dyDescent="0.25">
      <c r="A189" s="101" t="str">
        <f>'Data Vlaue (Cr)'!C184</f>
        <v>SIEMENS</v>
      </c>
      <c r="B189" s="50">
        <f>VLOOKUP($A189,'Data shares'!$C:$FB,7)</f>
        <v>3841.8</v>
      </c>
      <c r="C189" s="50">
        <f>VLOOKUP($A189,'Data shares'!$C:$FB,10)*100</f>
        <v>-0.12</v>
      </c>
      <c r="D189" s="49">
        <f>VLOOKUP($A189,'Data shares'!$C:$FB,66)</f>
        <v>1865150</v>
      </c>
      <c r="E189" s="49">
        <f>VLOOKUP($A189,'Data shares'!$C:$FB,67)</f>
        <v>1121575</v>
      </c>
      <c r="F189" s="50">
        <f>VLOOKUP($A189,'Data shares'!$C:$FB,69)*100</f>
        <v>66.3</v>
      </c>
      <c r="G189" s="49">
        <f>VLOOKUP($A189,'Data shares'!$C:$FB,42)</f>
        <v>421575</v>
      </c>
      <c r="H189" s="49">
        <f>VLOOKUP($A189,'Data shares'!$C:$FB,43)</f>
        <v>243600</v>
      </c>
      <c r="I189" s="50">
        <f>VLOOKUP($A189,'Data shares'!$C:$FB,45)*100</f>
        <v>73.06</v>
      </c>
      <c r="J189" s="49">
        <f>VLOOKUP($A189,'Data shares'!$C:$FB,58)</f>
        <v>998200</v>
      </c>
      <c r="K189" s="49">
        <f>VLOOKUP($A189,'Data shares'!$C:$FB,59)</f>
        <v>652400</v>
      </c>
      <c r="L189" s="50">
        <f>VLOOKUP($A189,'Data shares'!$C:$FB,61)*100</f>
        <v>53</v>
      </c>
      <c r="M189" s="49">
        <f>VLOOKUP($A189,'Data shares'!$C:$FB,62)</f>
        <v>445375</v>
      </c>
      <c r="N189" s="49">
        <f>VLOOKUP($A189,'Data shares'!$C:$FB,63)</f>
        <v>225575</v>
      </c>
      <c r="O189" s="140">
        <f>VLOOKUP($A189,'Data shares'!$C:$FB,65)*100</f>
        <v>97.44</v>
      </c>
    </row>
    <row r="190" spans="1:15" x14ac:dyDescent="0.25">
      <c r="A190" s="101" t="str">
        <f>'Data Vlaue (Cr)'!C185</f>
        <v>SOLARINDS</v>
      </c>
      <c r="B190" s="50">
        <f>VLOOKUP($A190,'Data shares'!$C:$FB,7)</f>
        <v>15740</v>
      </c>
      <c r="C190" s="50">
        <f>VLOOKUP($A190,'Data shares'!$C:$FB,10)*100</f>
        <v>-0.66</v>
      </c>
      <c r="D190" s="49">
        <f>VLOOKUP($A190,'Data shares'!$C:$FB,66)</f>
        <v>498200</v>
      </c>
      <c r="E190" s="49">
        <f>VLOOKUP($A190,'Data shares'!$C:$FB,67)</f>
        <v>415350</v>
      </c>
      <c r="F190" s="50">
        <f>VLOOKUP($A190,'Data shares'!$C:$FB,69)*100</f>
        <v>19.950000000000003</v>
      </c>
      <c r="G190" s="49">
        <f>VLOOKUP($A190,'Data shares'!$C:$FB,42)</f>
        <v>109250</v>
      </c>
      <c r="H190" s="49">
        <f>VLOOKUP($A190,'Data shares'!$C:$FB,43)</f>
        <v>84700</v>
      </c>
      <c r="I190" s="50">
        <f>VLOOKUP($A190,'Data shares'!$C:$FB,45)*100</f>
        <v>28.98</v>
      </c>
      <c r="J190" s="49">
        <f>VLOOKUP($A190,'Data shares'!$C:$FB,58)</f>
        <v>239000</v>
      </c>
      <c r="K190" s="49">
        <f>VLOOKUP($A190,'Data shares'!$C:$FB,59)</f>
        <v>187050</v>
      </c>
      <c r="L190" s="50">
        <f>VLOOKUP($A190,'Data shares'!$C:$FB,61)*100</f>
        <v>27.77</v>
      </c>
      <c r="M190" s="49">
        <f>VLOOKUP($A190,'Data shares'!$C:$FB,62)</f>
        <v>149950</v>
      </c>
      <c r="N190" s="49">
        <f>VLOOKUP($A190,'Data shares'!$C:$FB,63)</f>
        <v>143600</v>
      </c>
      <c r="O190" s="140">
        <f>VLOOKUP($A190,'Data shares'!$C:$FB,65)*100</f>
        <v>4.42</v>
      </c>
    </row>
    <row r="191" spans="1:15" x14ac:dyDescent="0.25">
      <c r="A191" s="101" t="str">
        <f>'Data Vlaue (Cr)'!C186</f>
        <v>SONACOMS</v>
      </c>
      <c r="B191" s="50">
        <f>VLOOKUP($A191,'Data shares'!$C:$FB,7)</f>
        <v>582.6</v>
      </c>
      <c r="C191" s="50">
        <f>VLOOKUP($A191,'Data shares'!$C:$FB,10)*100</f>
        <v>0.82000000000000006</v>
      </c>
      <c r="D191" s="49">
        <f>VLOOKUP($A191,'Data shares'!$C:$FB,66)</f>
        <v>9073575</v>
      </c>
      <c r="E191" s="49">
        <f>VLOOKUP($A191,'Data shares'!$C:$FB,67)</f>
        <v>12245100</v>
      </c>
      <c r="F191" s="50">
        <f>VLOOKUP($A191,'Data shares'!$C:$FB,69)*100</f>
        <v>-25.900000000000002</v>
      </c>
      <c r="G191" s="49">
        <f>VLOOKUP($A191,'Data shares'!$C:$FB,42)</f>
        <v>2360575</v>
      </c>
      <c r="H191" s="49">
        <f>VLOOKUP($A191,'Data shares'!$C:$FB,43)</f>
        <v>2879975</v>
      </c>
      <c r="I191" s="50">
        <f>VLOOKUP($A191,'Data shares'!$C:$FB,45)*100</f>
        <v>-18.029999999999998</v>
      </c>
      <c r="J191" s="49">
        <f>VLOOKUP($A191,'Data shares'!$C:$FB,58)</f>
        <v>4843650</v>
      </c>
      <c r="K191" s="49">
        <f>VLOOKUP($A191,'Data shares'!$C:$FB,59)</f>
        <v>6242600</v>
      </c>
      <c r="L191" s="50">
        <f>VLOOKUP($A191,'Data shares'!$C:$FB,61)*100</f>
        <v>-22.41</v>
      </c>
      <c r="M191" s="49">
        <f>VLOOKUP($A191,'Data shares'!$C:$FB,62)</f>
        <v>1869350</v>
      </c>
      <c r="N191" s="49">
        <f>VLOOKUP($A191,'Data shares'!$C:$FB,63)</f>
        <v>3122525</v>
      </c>
      <c r="O191" s="140">
        <f>VLOOKUP($A191,'Data shares'!$C:$FB,65)*100</f>
        <v>-40.129999999999995</v>
      </c>
    </row>
    <row r="192" spans="1:15" x14ac:dyDescent="0.25">
      <c r="A192" s="101" t="str">
        <f>'Data Vlaue (Cr)'!C187</f>
        <v>SRF</v>
      </c>
      <c r="B192" s="50">
        <f>VLOOKUP($A192,'Data shares'!$C:$FB,7)</f>
        <v>2719.6</v>
      </c>
      <c r="C192" s="50">
        <f>VLOOKUP($A192,'Data shares'!$C:$FB,10)*100</f>
        <v>7.8</v>
      </c>
      <c r="D192" s="49">
        <f>VLOOKUP($A192,'Data shares'!$C:$FB,66)</f>
        <v>43182000</v>
      </c>
      <c r="E192" s="49">
        <f>VLOOKUP($A192,'Data shares'!$C:$FB,67)</f>
        <v>5702000</v>
      </c>
      <c r="F192" s="50">
        <f>VLOOKUP($A192,'Data shares'!$C:$FB,69)*100</f>
        <v>657.31000000000006</v>
      </c>
      <c r="G192" s="49">
        <f>VLOOKUP($A192,'Data shares'!$C:$FB,42)</f>
        <v>4809800</v>
      </c>
      <c r="H192" s="49">
        <f>VLOOKUP($A192,'Data shares'!$C:$FB,43)</f>
        <v>1268800</v>
      </c>
      <c r="I192" s="50">
        <f>VLOOKUP($A192,'Data shares'!$C:$FB,45)*100</f>
        <v>279.08</v>
      </c>
      <c r="J192" s="49">
        <f>VLOOKUP($A192,'Data shares'!$C:$FB,58)</f>
        <v>26820400</v>
      </c>
      <c r="K192" s="49">
        <f>VLOOKUP($A192,'Data shares'!$C:$FB,59)</f>
        <v>2989400</v>
      </c>
      <c r="L192" s="50">
        <f>VLOOKUP($A192,'Data shares'!$C:$FB,61)*100</f>
        <v>797.18</v>
      </c>
      <c r="M192" s="49">
        <f>VLOOKUP($A192,'Data shares'!$C:$FB,62)</f>
        <v>11551800</v>
      </c>
      <c r="N192" s="49">
        <f>VLOOKUP($A192,'Data shares'!$C:$FB,63)</f>
        <v>1443800</v>
      </c>
      <c r="O192" s="140">
        <f>VLOOKUP($A192,'Data shares'!$C:$FB,65)*100</f>
        <v>700.1</v>
      </c>
    </row>
    <row r="193" spans="1:15" x14ac:dyDescent="0.25">
      <c r="A193" s="101" t="str">
        <f>'Data Vlaue (Cr)'!C188</f>
        <v>SUNPHARMA</v>
      </c>
      <c r="B193" s="50">
        <f>VLOOKUP($A193,'Data shares'!$C:$FB,7)</f>
        <v>1850.2</v>
      </c>
      <c r="C193" s="50">
        <f>VLOOKUP($A193,'Data shares'!$C:$FB,10)*100</f>
        <v>1.6099999999999999</v>
      </c>
      <c r="D193" s="49">
        <f>VLOOKUP($A193,'Data shares'!$C:$FB,66)</f>
        <v>28954800</v>
      </c>
      <c r="E193" s="49">
        <f>VLOOKUP($A193,'Data shares'!$C:$FB,67)</f>
        <v>15031800</v>
      </c>
      <c r="F193" s="50">
        <f>VLOOKUP($A193,'Data shares'!$C:$FB,69)*100</f>
        <v>92.62</v>
      </c>
      <c r="G193" s="49">
        <f>VLOOKUP($A193,'Data shares'!$C:$FB,42)</f>
        <v>2999500</v>
      </c>
      <c r="H193" s="49">
        <f>VLOOKUP($A193,'Data shares'!$C:$FB,43)</f>
        <v>2049600</v>
      </c>
      <c r="I193" s="50">
        <f>VLOOKUP($A193,'Data shares'!$C:$FB,45)*100</f>
        <v>46.35</v>
      </c>
      <c r="J193" s="49">
        <f>VLOOKUP($A193,'Data shares'!$C:$FB,58)</f>
        <v>17238550</v>
      </c>
      <c r="K193" s="49">
        <f>VLOOKUP($A193,'Data shares'!$C:$FB,59)</f>
        <v>7737800</v>
      </c>
      <c r="L193" s="50">
        <f>VLOOKUP($A193,'Data shares'!$C:$FB,61)*100</f>
        <v>122.78</v>
      </c>
      <c r="M193" s="49">
        <f>VLOOKUP($A193,'Data shares'!$C:$FB,62)</f>
        <v>8716750</v>
      </c>
      <c r="N193" s="49">
        <f>VLOOKUP($A193,'Data shares'!$C:$FB,63)</f>
        <v>5244400</v>
      </c>
      <c r="O193" s="140">
        <f>VLOOKUP($A193,'Data shares'!$C:$FB,65)*100</f>
        <v>66.210000000000008</v>
      </c>
    </row>
    <row r="194" spans="1:15" x14ac:dyDescent="0.25">
      <c r="A194" s="101" t="str">
        <f>'Data Vlaue (Cr)'!C189</f>
        <v>SUPREMEIND</v>
      </c>
      <c r="B194" s="50">
        <f>VLOOKUP($A194,'Data shares'!$C:$FB,7)</f>
        <v>3709.4</v>
      </c>
      <c r="C194" s="50">
        <f>VLOOKUP($A194,'Data shares'!$C:$FB,10)*100</f>
        <v>2.16</v>
      </c>
      <c r="D194" s="49">
        <f>VLOOKUP($A194,'Data shares'!$C:$FB,66)</f>
        <v>2127825</v>
      </c>
      <c r="E194" s="49">
        <f>VLOOKUP($A194,'Data shares'!$C:$FB,67)</f>
        <v>1036350</v>
      </c>
      <c r="F194" s="50">
        <f>VLOOKUP($A194,'Data shares'!$C:$FB,69)*100</f>
        <v>105.32</v>
      </c>
      <c r="G194" s="49">
        <f>VLOOKUP($A194,'Data shares'!$C:$FB,42)</f>
        <v>424725</v>
      </c>
      <c r="H194" s="49">
        <f>VLOOKUP($A194,'Data shares'!$C:$FB,43)</f>
        <v>216825</v>
      </c>
      <c r="I194" s="50">
        <f>VLOOKUP($A194,'Data shares'!$C:$FB,45)*100</f>
        <v>95.88</v>
      </c>
      <c r="J194" s="49">
        <f>VLOOKUP($A194,'Data shares'!$C:$FB,58)</f>
        <v>1041075</v>
      </c>
      <c r="K194" s="49">
        <f>VLOOKUP($A194,'Data shares'!$C:$FB,59)</f>
        <v>640675</v>
      </c>
      <c r="L194" s="50">
        <f>VLOOKUP($A194,'Data shares'!$C:$FB,61)*100</f>
        <v>62.5</v>
      </c>
      <c r="M194" s="49">
        <f>VLOOKUP($A194,'Data shares'!$C:$FB,62)</f>
        <v>662025</v>
      </c>
      <c r="N194" s="49">
        <f>VLOOKUP($A194,'Data shares'!$C:$FB,63)</f>
        <v>178850</v>
      </c>
      <c r="O194" s="140">
        <f>VLOOKUP($A194,'Data shares'!$C:$FB,65)*100</f>
        <v>270.16000000000003</v>
      </c>
    </row>
    <row r="195" spans="1:15" x14ac:dyDescent="0.25">
      <c r="A195" s="101" t="str">
        <f>'Data Vlaue (Cr)'!C190</f>
        <v>SUZLON</v>
      </c>
      <c r="B195" s="50">
        <f>VLOOKUP($A195,'Data shares'!$C:$FB,7)</f>
        <v>54.32</v>
      </c>
      <c r="C195" s="50">
        <f>VLOOKUP($A195,'Data shares'!$C:$FB,10)*100</f>
        <v>-0.97</v>
      </c>
      <c r="D195" s="49">
        <f>VLOOKUP($A195,'Data shares'!$C:$FB,66)</f>
        <v>233621150</v>
      </c>
      <c r="E195" s="49">
        <f>VLOOKUP($A195,'Data shares'!$C:$FB,67)</f>
        <v>197692625</v>
      </c>
      <c r="F195" s="50">
        <f>VLOOKUP($A195,'Data shares'!$C:$FB,69)*100</f>
        <v>18.170000000000002</v>
      </c>
      <c r="G195" s="49">
        <f>VLOOKUP($A195,'Data shares'!$C:$FB,42)</f>
        <v>45043775</v>
      </c>
      <c r="H195" s="49">
        <f>VLOOKUP($A195,'Data shares'!$C:$FB,43)</f>
        <v>36000725</v>
      </c>
      <c r="I195" s="50">
        <f>VLOOKUP($A195,'Data shares'!$C:$FB,45)*100</f>
        <v>25.119999999999997</v>
      </c>
      <c r="J195" s="49">
        <f>VLOOKUP($A195,'Data shares'!$C:$FB,58)</f>
        <v>146268175</v>
      </c>
      <c r="K195" s="49">
        <f>VLOOKUP($A195,'Data shares'!$C:$FB,59)</f>
        <v>123705675</v>
      </c>
      <c r="L195" s="50">
        <f>VLOOKUP($A195,'Data shares'!$C:$FB,61)*100</f>
        <v>18.240000000000002</v>
      </c>
      <c r="M195" s="49">
        <f>VLOOKUP($A195,'Data shares'!$C:$FB,62)</f>
        <v>42309200</v>
      </c>
      <c r="N195" s="49">
        <f>VLOOKUP($A195,'Data shares'!$C:$FB,63)</f>
        <v>37986225</v>
      </c>
      <c r="O195" s="140">
        <f>VLOOKUP($A195,'Data shares'!$C:$FB,65)*100</f>
        <v>11.379999999999999</v>
      </c>
    </row>
    <row r="196" spans="1:15" x14ac:dyDescent="0.25">
      <c r="A196" s="101" t="str">
        <f>'Data Vlaue (Cr)'!C191</f>
        <v>SWIGGY</v>
      </c>
      <c r="B196" s="50">
        <f>VLOOKUP($A196,'Data shares'!$C:$FB,7)</f>
        <v>279.85000000000002</v>
      </c>
      <c r="C196" s="50">
        <f>VLOOKUP($A196,'Data shares'!$C:$FB,10)*100</f>
        <v>2.25</v>
      </c>
      <c r="D196" s="49">
        <f>VLOOKUP($A196,'Data shares'!$C:$FB,66)</f>
        <v>15607800</v>
      </c>
      <c r="E196" s="49">
        <f>VLOOKUP($A196,'Data shares'!$C:$FB,67)</f>
        <v>15129400</v>
      </c>
      <c r="F196" s="50">
        <f>VLOOKUP($A196,'Data shares'!$C:$FB,69)*100</f>
        <v>3.16</v>
      </c>
      <c r="G196" s="49">
        <f>VLOOKUP($A196,'Data shares'!$C:$FB,42)</f>
        <v>4698200</v>
      </c>
      <c r="H196" s="49">
        <f>VLOOKUP($A196,'Data shares'!$C:$FB,43)</f>
        <v>5363800</v>
      </c>
      <c r="I196" s="50">
        <f>VLOOKUP($A196,'Data shares'!$C:$FB,45)*100</f>
        <v>-12.41</v>
      </c>
      <c r="J196" s="49">
        <f>VLOOKUP($A196,'Data shares'!$C:$FB,58)</f>
        <v>7667400</v>
      </c>
      <c r="K196" s="49">
        <f>VLOOKUP($A196,'Data shares'!$C:$FB,59)</f>
        <v>7304700</v>
      </c>
      <c r="L196" s="50">
        <f>VLOOKUP($A196,'Data shares'!$C:$FB,61)*100</f>
        <v>4.97</v>
      </c>
      <c r="M196" s="49">
        <f>VLOOKUP($A196,'Data shares'!$C:$FB,62)</f>
        <v>3242200</v>
      </c>
      <c r="N196" s="49">
        <f>VLOOKUP($A196,'Data shares'!$C:$FB,63)</f>
        <v>2460900</v>
      </c>
      <c r="O196" s="140">
        <f>VLOOKUP($A196,'Data shares'!$C:$FB,65)*100</f>
        <v>31.75</v>
      </c>
    </row>
    <row r="197" spans="1:15" x14ac:dyDescent="0.25">
      <c r="A197" s="101" t="str">
        <f>'Data Vlaue (Cr)'!C192</f>
        <v>TATACONSUM</v>
      </c>
      <c r="B197" s="50">
        <f>VLOOKUP($A197,'Data shares'!$C:$FB,7)</f>
        <v>1152.2</v>
      </c>
      <c r="C197" s="50">
        <f>VLOOKUP($A197,'Data shares'!$C:$FB,10)*100</f>
        <v>-0.11</v>
      </c>
      <c r="D197" s="49">
        <f>VLOOKUP($A197,'Data shares'!$C:$FB,66)</f>
        <v>6630250</v>
      </c>
      <c r="E197" s="49">
        <f>VLOOKUP($A197,'Data shares'!$C:$FB,67)</f>
        <v>3089350</v>
      </c>
      <c r="F197" s="50">
        <f>VLOOKUP($A197,'Data shares'!$C:$FB,69)*100</f>
        <v>114.62</v>
      </c>
      <c r="G197" s="49">
        <f>VLOOKUP($A197,'Data shares'!$C:$FB,42)</f>
        <v>1808950</v>
      </c>
      <c r="H197" s="49">
        <f>VLOOKUP($A197,'Data shares'!$C:$FB,43)</f>
        <v>1074700</v>
      </c>
      <c r="I197" s="50">
        <f>VLOOKUP($A197,'Data shares'!$C:$FB,45)*100</f>
        <v>68.320000000000007</v>
      </c>
      <c r="J197" s="49">
        <f>VLOOKUP($A197,'Data shares'!$C:$FB,58)</f>
        <v>3830200</v>
      </c>
      <c r="K197" s="49">
        <f>VLOOKUP($A197,'Data shares'!$C:$FB,59)</f>
        <v>1549350</v>
      </c>
      <c r="L197" s="50">
        <f>VLOOKUP($A197,'Data shares'!$C:$FB,61)*100</f>
        <v>147.21</v>
      </c>
      <c r="M197" s="49">
        <f>VLOOKUP($A197,'Data shares'!$C:$FB,62)</f>
        <v>991100</v>
      </c>
      <c r="N197" s="49">
        <f>VLOOKUP($A197,'Data shares'!$C:$FB,63)</f>
        <v>465300</v>
      </c>
      <c r="O197" s="140">
        <f>VLOOKUP($A197,'Data shares'!$C:$FB,65)*100</f>
        <v>112.99999999999999</v>
      </c>
    </row>
    <row r="198" spans="1:15" x14ac:dyDescent="0.25">
      <c r="A198" s="101" t="str">
        <f>'Data Vlaue (Cr)'!C193</f>
        <v>TATAELXSI</v>
      </c>
      <c r="B198" s="50">
        <f>VLOOKUP($A198,'Data shares'!$C:$FB,7)</f>
        <v>4281.3</v>
      </c>
      <c r="C198" s="50">
        <f>VLOOKUP($A198,'Data shares'!$C:$FB,10)*100</f>
        <v>1.47</v>
      </c>
      <c r="D198" s="49">
        <f>VLOOKUP($A198,'Data shares'!$C:$FB,66)</f>
        <v>3058400</v>
      </c>
      <c r="E198" s="49">
        <f>VLOOKUP($A198,'Data shares'!$C:$FB,67)</f>
        <v>1505600</v>
      </c>
      <c r="F198" s="50">
        <f>VLOOKUP($A198,'Data shares'!$C:$FB,69)*100</f>
        <v>103.13000000000001</v>
      </c>
      <c r="G198" s="49">
        <f>VLOOKUP($A198,'Data shares'!$C:$FB,42)</f>
        <v>463500</v>
      </c>
      <c r="H198" s="49">
        <f>VLOOKUP($A198,'Data shares'!$C:$FB,43)</f>
        <v>300900</v>
      </c>
      <c r="I198" s="50">
        <f>VLOOKUP($A198,'Data shares'!$C:$FB,45)*100</f>
        <v>54.04</v>
      </c>
      <c r="J198" s="49">
        <f>VLOOKUP($A198,'Data shares'!$C:$FB,58)</f>
        <v>1999900</v>
      </c>
      <c r="K198" s="49">
        <f>VLOOKUP($A198,'Data shares'!$C:$FB,59)</f>
        <v>899300</v>
      </c>
      <c r="L198" s="50">
        <f>VLOOKUP($A198,'Data shares'!$C:$FB,61)*100</f>
        <v>122.38</v>
      </c>
      <c r="M198" s="49">
        <f>VLOOKUP($A198,'Data shares'!$C:$FB,62)</f>
        <v>595000</v>
      </c>
      <c r="N198" s="49">
        <f>VLOOKUP($A198,'Data shares'!$C:$FB,63)</f>
        <v>305400</v>
      </c>
      <c r="O198" s="140">
        <f>VLOOKUP($A198,'Data shares'!$C:$FB,65)*100</f>
        <v>94.83</v>
      </c>
    </row>
    <row r="199" spans="1:15" x14ac:dyDescent="0.25">
      <c r="A199" s="101" t="str">
        <f>'Data Vlaue (Cr)'!C194</f>
        <v>TATAPOWER</v>
      </c>
      <c r="B199" s="50">
        <f>VLOOKUP($A199,'Data shares'!$C:$FB,7)</f>
        <v>443.25</v>
      </c>
      <c r="C199" s="50">
        <f>VLOOKUP($A199,'Data shares'!$C:$FB,10)*100</f>
        <v>0.13999999999999999</v>
      </c>
      <c r="D199" s="49">
        <f>VLOOKUP($A199,'Data shares'!$C:$FB,66)</f>
        <v>35227750</v>
      </c>
      <c r="E199" s="49">
        <f>VLOOKUP($A199,'Data shares'!$C:$FB,67)</f>
        <v>65609600</v>
      </c>
      <c r="F199" s="50">
        <f>VLOOKUP($A199,'Data shares'!$C:$FB,69)*100</f>
        <v>-46.31</v>
      </c>
      <c r="G199" s="49">
        <f>VLOOKUP($A199,'Data shares'!$C:$FB,42)</f>
        <v>5183750</v>
      </c>
      <c r="H199" s="49">
        <f>VLOOKUP($A199,'Data shares'!$C:$FB,43)</f>
        <v>11987150</v>
      </c>
      <c r="I199" s="50">
        <f>VLOOKUP($A199,'Data shares'!$C:$FB,45)*100</f>
        <v>-56.76</v>
      </c>
      <c r="J199" s="49">
        <f>VLOOKUP($A199,'Data shares'!$C:$FB,58)</f>
        <v>22080600</v>
      </c>
      <c r="K199" s="49">
        <f>VLOOKUP($A199,'Data shares'!$C:$FB,59)</f>
        <v>38133550</v>
      </c>
      <c r="L199" s="50">
        <f>VLOOKUP($A199,'Data shares'!$C:$FB,61)*100</f>
        <v>-42.1</v>
      </c>
      <c r="M199" s="49">
        <f>VLOOKUP($A199,'Data shares'!$C:$FB,62)</f>
        <v>7963400</v>
      </c>
      <c r="N199" s="49">
        <f>VLOOKUP($A199,'Data shares'!$C:$FB,63)</f>
        <v>15488900</v>
      </c>
      <c r="O199" s="140">
        <f>VLOOKUP($A199,'Data shares'!$C:$FB,65)*100</f>
        <v>-48.59</v>
      </c>
    </row>
    <row r="200" spans="1:15" x14ac:dyDescent="0.25">
      <c r="A200" s="101" t="str">
        <f>'Data Vlaue (Cr)'!C195</f>
        <v>TATASTEEL</v>
      </c>
      <c r="B200" s="50">
        <f>VLOOKUP($A200,'Data shares'!$C:$FB,7)</f>
        <v>215.47</v>
      </c>
      <c r="C200" s="50">
        <f>VLOOKUP($A200,'Data shares'!$C:$FB,10)*100</f>
        <v>1.96</v>
      </c>
      <c r="D200" s="49">
        <f>VLOOKUP($A200,'Data shares'!$C:$FB,66)</f>
        <v>152490250</v>
      </c>
      <c r="E200" s="49">
        <f>VLOOKUP($A200,'Data shares'!$C:$FB,67)</f>
        <v>90524500</v>
      </c>
      <c r="F200" s="50">
        <f>VLOOKUP($A200,'Data shares'!$C:$FB,69)*100</f>
        <v>68.45</v>
      </c>
      <c r="G200" s="49">
        <f>VLOOKUP($A200,'Data shares'!$C:$FB,42)</f>
        <v>28028000</v>
      </c>
      <c r="H200" s="49">
        <f>VLOOKUP($A200,'Data shares'!$C:$FB,43)</f>
        <v>13684000</v>
      </c>
      <c r="I200" s="50">
        <f>VLOOKUP($A200,'Data shares'!$C:$FB,45)*100</f>
        <v>104.82000000000001</v>
      </c>
      <c r="J200" s="49">
        <f>VLOOKUP($A200,'Data shares'!$C:$FB,58)</f>
        <v>73562500</v>
      </c>
      <c r="K200" s="49">
        <f>VLOOKUP($A200,'Data shares'!$C:$FB,59)</f>
        <v>45452000</v>
      </c>
      <c r="L200" s="50">
        <f>VLOOKUP($A200,'Data shares'!$C:$FB,61)*100</f>
        <v>61.850000000000009</v>
      </c>
      <c r="M200" s="49">
        <f>VLOOKUP($A200,'Data shares'!$C:$FB,62)</f>
        <v>50899750</v>
      </c>
      <c r="N200" s="49">
        <f>VLOOKUP($A200,'Data shares'!$C:$FB,63)</f>
        <v>31388500</v>
      </c>
      <c r="O200" s="140">
        <f>VLOOKUP($A200,'Data shares'!$C:$FB,65)*100</f>
        <v>62.160000000000004</v>
      </c>
    </row>
    <row r="201" spans="1:15" x14ac:dyDescent="0.25">
      <c r="A201" s="101" t="str">
        <f>'Data Vlaue (Cr)'!C196</f>
        <v>TCS</v>
      </c>
      <c r="B201" s="50">
        <f>VLOOKUP($A201,'Data shares'!$C:$FB,7)</f>
        <v>2435.4</v>
      </c>
      <c r="C201" s="50">
        <f>VLOOKUP($A201,'Data shares'!$C:$FB,10)*100</f>
        <v>0.33</v>
      </c>
      <c r="D201" s="49">
        <f>VLOOKUP($A201,'Data shares'!$C:$FB,66)</f>
        <v>28228025</v>
      </c>
      <c r="E201" s="49">
        <f>VLOOKUP($A201,'Data shares'!$C:$FB,67)</f>
        <v>13419875</v>
      </c>
      <c r="F201" s="50">
        <f>VLOOKUP($A201,'Data shares'!$C:$FB,69)*100</f>
        <v>110.33999999999999</v>
      </c>
      <c r="G201" s="49">
        <f>VLOOKUP($A201,'Data shares'!$C:$FB,42)</f>
        <v>4853800</v>
      </c>
      <c r="H201" s="49">
        <f>VLOOKUP($A201,'Data shares'!$C:$FB,43)</f>
        <v>2157225</v>
      </c>
      <c r="I201" s="50">
        <f>VLOOKUP($A201,'Data shares'!$C:$FB,45)*100</f>
        <v>125</v>
      </c>
      <c r="J201" s="49">
        <f>VLOOKUP($A201,'Data shares'!$C:$FB,58)</f>
        <v>15620500</v>
      </c>
      <c r="K201" s="49">
        <f>VLOOKUP($A201,'Data shares'!$C:$FB,59)</f>
        <v>7895125</v>
      </c>
      <c r="L201" s="50">
        <f>VLOOKUP($A201,'Data shares'!$C:$FB,61)*100</f>
        <v>97.850000000000009</v>
      </c>
      <c r="M201" s="49">
        <f>VLOOKUP($A201,'Data shares'!$C:$FB,62)</f>
        <v>7753725</v>
      </c>
      <c r="N201" s="49">
        <f>VLOOKUP($A201,'Data shares'!$C:$FB,63)</f>
        <v>3367525</v>
      </c>
      <c r="O201" s="140">
        <f>VLOOKUP($A201,'Data shares'!$C:$FB,65)*100</f>
        <v>130.25</v>
      </c>
    </row>
    <row r="202" spans="1:15" x14ac:dyDescent="0.25">
      <c r="A202" s="101" t="str">
        <f>'Data Vlaue (Cr)'!C197</f>
        <v>TECHM</v>
      </c>
      <c r="B202" s="50">
        <f>VLOOKUP($A202,'Data shares'!$C:$FB,7)</f>
        <v>1466.7</v>
      </c>
      <c r="C202" s="50">
        <f>VLOOKUP($A202,'Data shares'!$C:$FB,10)*100</f>
        <v>1</v>
      </c>
      <c r="D202" s="49">
        <f>VLOOKUP($A202,'Data shares'!$C:$FB,66)</f>
        <v>9141000</v>
      </c>
      <c r="E202" s="49">
        <f>VLOOKUP($A202,'Data shares'!$C:$FB,67)</f>
        <v>7360800</v>
      </c>
      <c r="F202" s="50">
        <f>VLOOKUP($A202,'Data shares'!$C:$FB,69)*100</f>
        <v>24.18</v>
      </c>
      <c r="G202" s="49">
        <f>VLOOKUP($A202,'Data shares'!$C:$FB,42)</f>
        <v>1257000</v>
      </c>
      <c r="H202" s="49">
        <f>VLOOKUP($A202,'Data shares'!$C:$FB,43)</f>
        <v>1239000</v>
      </c>
      <c r="I202" s="50">
        <f>VLOOKUP($A202,'Data shares'!$C:$FB,45)*100</f>
        <v>1.4500000000000002</v>
      </c>
      <c r="J202" s="49">
        <f>VLOOKUP($A202,'Data shares'!$C:$FB,58)</f>
        <v>5304600</v>
      </c>
      <c r="K202" s="49">
        <f>VLOOKUP($A202,'Data shares'!$C:$FB,59)</f>
        <v>3868200</v>
      </c>
      <c r="L202" s="50">
        <f>VLOOKUP($A202,'Data shares'!$C:$FB,61)*100</f>
        <v>37.130000000000003</v>
      </c>
      <c r="M202" s="49">
        <f>VLOOKUP($A202,'Data shares'!$C:$FB,62)</f>
        <v>2579400</v>
      </c>
      <c r="N202" s="49">
        <f>VLOOKUP($A202,'Data shares'!$C:$FB,63)</f>
        <v>2253600</v>
      </c>
      <c r="O202" s="140">
        <f>VLOOKUP($A202,'Data shares'!$C:$FB,65)*100</f>
        <v>14.46</v>
      </c>
    </row>
    <row r="203" spans="1:15" x14ac:dyDescent="0.25">
      <c r="A203" s="101" t="str">
        <f>'Data Vlaue (Cr)'!C198</f>
        <v>TIINDIA</v>
      </c>
      <c r="B203" s="50">
        <f>VLOOKUP($A203,'Data shares'!$C:$FB,7)</f>
        <v>2917</v>
      </c>
      <c r="C203" s="50">
        <f>VLOOKUP($A203,'Data shares'!$C:$FB,10)*100</f>
        <v>-0.53</v>
      </c>
      <c r="D203" s="49">
        <f>VLOOKUP($A203,'Data shares'!$C:$FB,66)</f>
        <v>958200</v>
      </c>
      <c r="E203" s="49">
        <f>VLOOKUP($A203,'Data shares'!$C:$FB,67)</f>
        <v>396200</v>
      </c>
      <c r="F203" s="50">
        <f>VLOOKUP($A203,'Data shares'!$C:$FB,69)*100</f>
        <v>141.85000000000002</v>
      </c>
      <c r="G203" s="49">
        <f>VLOOKUP($A203,'Data shares'!$C:$FB,42)</f>
        <v>437200</v>
      </c>
      <c r="H203" s="49">
        <f>VLOOKUP($A203,'Data shares'!$C:$FB,43)</f>
        <v>130800</v>
      </c>
      <c r="I203" s="50">
        <f>VLOOKUP($A203,'Data shares'!$C:$FB,45)*100</f>
        <v>234.24999999999997</v>
      </c>
      <c r="J203" s="49">
        <f>VLOOKUP($A203,'Data shares'!$C:$FB,58)</f>
        <v>405400</v>
      </c>
      <c r="K203" s="49">
        <f>VLOOKUP($A203,'Data shares'!$C:$FB,59)</f>
        <v>228000</v>
      </c>
      <c r="L203" s="50">
        <f>VLOOKUP($A203,'Data shares'!$C:$FB,61)*100</f>
        <v>77.81</v>
      </c>
      <c r="M203" s="49">
        <f>VLOOKUP($A203,'Data shares'!$C:$FB,62)</f>
        <v>115600</v>
      </c>
      <c r="N203" s="49">
        <f>VLOOKUP($A203,'Data shares'!$C:$FB,63)</f>
        <v>37400</v>
      </c>
      <c r="O203" s="140">
        <f>VLOOKUP($A203,'Data shares'!$C:$FB,65)*100</f>
        <v>209.09</v>
      </c>
    </row>
    <row r="204" spans="1:15" x14ac:dyDescent="0.25">
      <c r="A204" s="101" t="str">
        <f>'Data Vlaue (Cr)'!C199</f>
        <v>TITAN</v>
      </c>
      <c r="B204" s="50">
        <f>VLOOKUP($A204,'Data shares'!$C:$FB,7)</f>
        <v>4359.6000000000004</v>
      </c>
      <c r="C204" s="50">
        <f>VLOOKUP($A204,'Data shares'!$C:$FB,10)*100</f>
        <v>-0.32</v>
      </c>
      <c r="D204" s="49">
        <f>VLOOKUP($A204,'Data shares'!$C:$FB,66)</f>
        <v>9571275</v>
      </c>
      <c r="E204" s="49">
        <f>VLOOKUP($A204,'Data shares'!$C:$FB,67)</f>
        <v>4472125</v>
      </c>
      <c r="F204" s="50">
        <f>VLOOKUP($A204,'Data shares'!$C:$FB,69)*100</f>
        <v>114.02000000000001</v>
      </c>
      <c r="G204" s="49">
        <f>VLOOKUP($A204,'Data shares'!$C:$FB,42)</f>
        <v>1805825</v>
      </c>
      <c r="H204" s="49">
        <f>VLOOKUP($A204,'Data shares'!$C:$FB,43)</f>
        <v>841925</v>
      </c>
      <c r="I204" s="50">
        <f>VLOOKUP($A204,'Data shares'!$C:$FB,45)*100</f>
        <v>114.49000000000001</v>
      </c>
      <c r="J204" s="49">
        <f>VLOOKUP($A204,'Data shares'!$C:$FB,58)</f>
        <v>4741625</v>
      </c>
      <c r="K204" s="49">
        <f>VLOOKUP($A204,'Data shares'!$C:$FB,59)</f>
        <v>2225300</v>
      </c>
      <c r="L204" s="50">
        <f>VLOOKUP($A204,'Data shares'!$C:$FB,61)*100</f>
        <v>113.08</v>
      </c>
      <c r="M204" s="49">
        <f>VLOOKUP($A204,'Data shares'!$C:$FB,62)</f>
        <v>3023825</v>
      </c>
      <c r="N204" s="49">
        <f>VLOOKUP($A204,'Data shares'!$C:$FB,63)</f>
        <v>1404900</v>
      </c>
      <c r="O204" s="140">
        <f>VLOOKUP($A204,'Data shares'!$C:$FB,65)*100</f>
        <v>115.23</v>
      </c>
    </row>
    <row r="205" spans="1:15" x14ac:dyDescent="0.25">
      <c r="A205" s="101" t="str">
        <f>'Data Vlaue (Cr)'!C200</f>
        <v>TMPV</v>
      </c>
      <c r="B205" s="50">
        <f>VLOOKUP($A205,'Data shares'!$C:$FB,7)</f>
        <v>358.15</v>
      </c>
      <c r="C205" s="50">
        <f>VLOOKUP($A205,'Data shares'!$C:$FB,10)*100</f>
        <v>5.29</v>
      </c>
      <c r="D205" s="49">
        <f>VLOOKUP($A205,'Data shares'!$C:$FB,66)</f>
        <v>79177600</v>
      </c>
      <c r="E205" s="49">
        <f>VLOOKUP($A205,'Data shares'!$C:$FB,67)</f>
        <v>37881600</v>
      </c>
      <c r="F205" s="50">
        <f>VLOOKUP($A205,'Data shares'!$C:$FB,69)*100</f>
        <v>109.01</v>
      </c>
      <c r="G205" s="49">
        <f>VLOOKUP($A205,'Data shares'!$C:$FB,42)</f>
        <v>15792000</v>
      </c>
      <c r="H205" s="49">
        <f>VLOOKUP($A205,'Data shares'!$C:$FB,43)</f>
        <v>8472000</v>
      </c>
      <c r="I205" s="50">
        <f>VLOOKUP($A205,'Data shares'!$C:$FB,45)*100</f>
        <v>86.4</v>
      </c>
      <c r="J205" s="49">
        <f>VLOOKUP($A205,'Data shares'!$C:$FB,58)</f>
        <v>43420800</v>
      </c>
      <c r="K205" s="49">
        <f>VLOOKUP($A205,'Data shares'!$C:$FB,59)</f>
        <v>22308800</v>
      </c>
      <c r="L205" s="50">
        <f>VLOOKUP($A205,'Data shares'!$C:$FB,61)*100</f>
        <v>94.64</v>
      </c>
      <c r="M205" s="49">
        <f>VLOOKUP($A205,'Data shares'!$C:$FB,62)</f>
        <v>19964800</v>
      </c>
      <c r="N205" s="49">
        <f>VLOOKUP($A205,'Data shares'!$C:$FB,63)</f>
        <v>7100800</v>
      </c>
      <c r="O205" s="140">
        <f>VLOOKUP($A205,'Data shares'!$C:$FB,65)*100</f>
        <v>181.16</v>
      </c>
    </row>
    <row r="206" spans="1:15" x14ac:dyDescent="0.25">
      <c r="A206" s="101" t="str">
        <f>'Data Vlaue (Cr)'!C201</f>
        <v>TORNTPHARM</v>
      </c>
      <c r="B206" s="50">
        <f>VLOOKUP($A206,'Data shares'!$C:$FB,7)</f>
        <v>4358.3</v>
      </c>
      <c r="C206" s="50">
        <f>VLOOKUP($A206,'Data shares'!$C:$FB,10)*100</f>
        <v>1.95</v>
      </c>
      <c r="D206" s="49">
        <f>VLOOKUP($A206,'Data shares'!$C:$FB,66)</f>
        <v>1707625</v>
      </c>
      <c r="E206" s="49">
        <f>VLOOKUP($A206,'Data shares'!$C:$FB,67)</f>
        <v>840875</v>
      </c>
      <c r="F206" s="50">
        <f>VLOOKUP($A206,'Data shares'!$C:$FB,69)*100</f>
        <v>103.08</v>
      </c>
      <c r="G206" s="49">
        <f>VLOOKUP($A206,'Data shares'!$C:$FB,42)</f>
        <v>416125</v>
      </c>
      <c r="H206" s="49">
        <f>VLOOKUP($A206,'Data shares'!$C:$FB,43)</f>
        <v>318000</v>
      </c>
      <c r="I206" s="50">
        <f>VLOOKUP($A206,'Data shares'!$C:$FB,45)*100</f>
        <v>30.86</v>
      </c>
      <c r="J206" s="49">
        <f>VLOOKUP($A206,'Data shares'!$C:$FB,58)</f>
        <v>1030375</v>
      </c>
      <c r="K206" s="49">
        <f>VLOOKUP($A206,'Data shares'!$C:$FB,59)</f>
        <v>403750</v>
      </c>
      <c r="L206" s="50">
        <f>VLOOKUP($A206,'Data shares'!$C:$FB,61)*100</f>
        <v>155.20000000000002</v>
      </c>
      <c r="M206" s="49">
        <f>VLOOKUP($A206,'Data shares'!$C:$FB,62)</f>
        <v>261125</v>
      </c>
      <c r="N206" s="49">
        <f>VLOOKUP($A206,'Data shares'!$C:$FB,63)</f>
        <v>119125</v>
      </c>
      <c r="O206" s="140">
        <f>VLOOKUP($A206,'Data shares'!$C:$FB,65)*100</f>
        <v>119.19999999999999</v>
      </c>
    </row>
    <row r="207" spans="1:15" x14ac:dyDescent="0.25">
      <c r="A207" s="101" t="str">
        <f>'Data Vlaue (Cr)'!C202</f>
        <v>TRENT</v>
      </c>
      <c r="B207" s="50">
        <f>VLOOKUP($A207,'Data shares'!$C:$FB,7)</f>
        <v>4289.8</v>
      </c>
      <c r="C207" s="50">
        <f>VLOOKUP($A207,'Data shares'!$C:$FB,10)*100</f>
        <v>3.73</v>
      </c>
      <c r="D207" s="49">
        <f>VLOOKUP($A207,'Data shares'!$C:$FB,66)</f>
        <v>12043400</v>
      </c>
      <c r="E207" s="49">
        <f>VLOOKUP($A207,'Data shares'!$C:$FB,67)</f>
        <v>3576200</v>
      </c>
      <c r="F207" s="50">
        <f>VLOOKUP($A207,'Data shares'!$C:$FB,69)*100</f>
        <v>236.77</v>
      </c>
      <c r="G207" s="49">
        <f>VLOOKUP($A207,'Data shares'!$C:$FB,42)</f>
        <v>1224900</v>
      </c>
      <c r="H207" s="49">
        <f>VLOOKUP($A207,'Data shares'!$C:$FB,43)</f>
        <v>590600</v>
      </c>
      <c r="I207" s="50">
        <f>VLOOKUP($A207,'Data shares'!$C:$FB,45)*100</f>
        <v>107.4</v>
      </c>
      <c r="J207" s="49">
        <f>VLOOKUP($A207,'Data shares'!$C:$FB,58)</f>
        <v>8127000</v>
      </c>
      <c r="K207" s="49">
        <f>VLOOKUP($A207,'Data shares'!$C:$FB,59)</f>
        <v>2020400</v>
      </c>
      <c r="L207" s="50">
        <f>VLOOKUP($A207,'Data shares'!$C:$FB,61)*100</f>
        <v>302.25</v>
      </c>
      <c r="M207" s="49">
        <f>VLOOKUP($A207,'Data shares'!$C:$FB,62)</f>
        <v>2691500</v>
      </c>
      <c r="N207" s="49">
        <f>VLOOKUP($A207,'Data shares'!$C:$FB,63)</f>
        <v>965200</v>
      </c>
      <c r="O207" s="140">
        <f>VLOOKUP($A207,'Data shares'!$C:$FB,65)*100</f>
        <v>178.85</v>
      </c>
    </row>
    <row r="208" spans="1:15" x14ac:dyDescent="0.25">
      <c r="A208" s="101" t="str">
        <f>'Data Vlaue (Cr)'!C203</f>
        <v>TVSMOTOR</v>
      </c>
      <c r="B208" s="50">
        <f>VLOOKUP($A208,'Data shares'!$C:$FB,7)</f>
        <v>3617.9</v>
      </c>
      <c r="C208" s="50">
        <f>VLOOKUP($A208,'Data shares'!$C:$FB,10)*100</f>
        <v>2.36</v>
      </c>
      <c r="D208" s="49">
        <f>VLOOKUP($A208,'Data shares'!$C:$FB,66)</f>
        <v>5823475</v>
      </c>
      <c r="E208" s="49">
        <f>VLOOKUP($A208,'Data shares'!$C:$FB,67)</f>
        <v>2035250</v>
      </c>
      <c r="F208" s="50">
        <f>VLOOKUP($A208,'Data shares'!$C:$FB,69)*100</f>
        <v>186.13</v>
      </c>
      <c r="G208" s="49">
        <f>VLOOKUP($A208,'Data shares'!$C:$FB,42)</f>
        <v>1144325</v>
      </c>
      <c r="H208" s="49">
        <f>VLOOKUP($A208,'Data shares'!$C:$FB,43)</f>
        <v>616350</v>
      </c>
      <c r="I208" s="50">
        <f>VLOOKUP($A208,'Data shares'!$C:$FB,45)*100</f>
        <v>85.66</v>
      </c>
      <c r="J208" s="49">
        <f>VLOOKUP($A208,'Data shares'!$C:$FB,58)</f>
        <v>3681475</v>
      </c>
      <c r="K208" s="49">
        <f>VLOOKUP($A208,'Data shares'!$C:$FB,59)</f>
        <v>1014825</v>
      </c>
      <c r="L208" s="50">
        <f>VLOOKUP($A208,'Data shares'!$C:$FB,61)*100</f>
        <v>262.77</v>
      </c>
      <c r="M208" s="49">
        <f>VLOOKUP($A208,'Data shares'!$C:$FB,62)</f>
        <v>997675</v>
      </c>
      <c r="N208" s="49">
        <f>VLOOKUP($A208,'Data shares'!$C:$FB,63)</f>
        <v>404075</v>
      </c>
      <c r="O208" s="140">
        <f>VLOOKUP($A208,'Data shares'!$C:$FB,65)*100</f>
        <v>146.9</v>
      </c>
    </row>
    <row r="209" spans="1:15" x14ac:dyDescent="0.25">
      <c r="A209" s="101" t="str">
        <f>'Data Vlaue (Cr)'!C204</f>
        <v>ULTRACEMCO</v>
      </c>
      <c r="B209" s="50">
        <f>VLOOKUP($A209,'Data shares'!$C:$FB,7)</f>
        <v>12093</v>
      </c>
      <c r="C209" s="50">
        <f>VLOOKUP($A209,'Data shares'!$C:$FB,10)*100</f>
        <v>1.0900000000000001</v>
      </c>
      <c r="D209" s="49">
        <f>VLOOKUP($A209,'Data shares'!$C:$FB,66)</f>
        <v>2808000</v>
      </c>
      <c r="E209" s="49">
        <f>VLOOKUP($A209,'Data shares'!$C:$FB,67)</f>
        <v>3089100</v>
      </c>
      <c r="F209" s="50">
        <f>VLOOKUP($A209,'Data shares'!$C:$FB,69)*100</f>
        <v>-9.1</v>
      </c>
      <c r="G209" s="49">
        <f>VLOOKUP($A209,'Data shares'!$C:$FB,42)</f>
        <v>451700</v>
      </c>
      <c r="H209" s="49">
        <f>VLOOKUP($A209,'Data shares'!$C:$FB,43)</f>
        <v>504250</v>
      </c>
      <c r="I209" s="50">
        <f>VLOOKUP($A209,'Data shares'!$C:$FB,45)*100</f>
        <v>-10.42</v>
      </c>
      <c r="J209" s="49">
        <f>VLOOKUP($A209,'Data shares'!$C:$FB,58)</f>
        <v>1601700</v>
      </c>
      <c r="K209" s="49">
        <f>VLOOKUP($A209,'Data shares'!$C:$FB,59)</f>
        <v>1750500</v>
      </c>
      <c r="L209" s="50">
        <f>VLOOKUP($A209,'Data shares'!$C:$FB,61)*100</f>
        <v>-8.5</v>
      </c>
      <c r="M209" s="49">
        <f>VLOOKUP($A209,'Data shares'!$C:$FB,62)</f>
        <v>754600</v>
      </c>
      <c r="N209" s="49">
        <f>VLOOKUP($A209,'Data shares'!$C:$FB,63)</f>
        <v>834350</v>
      </c>
      <c r="O209" s="140">
        <f>VLOOKUP($A209,'Data shares'!$C:$FB,65)*100</f>
        <v>-9.56</v>
      </c>
    </row>
    <row r="210" spans="1:15" x14ac:dyDescent="0.25">
      <c r="A210" s="101" t="str">
        <f>'Data Vlaue (Cr)'!C205</f>
        <v>UNIONBANK</v>
      </c>
      <c r="B210" s="50">
        <f>VLOOKUP($A210,'Data shares'!$C:$FB,7)</f>
        <v>168.75</v>
      </c>
      <c r="C210" s="50">
        <f>VLOOKUP($A210,'Data shares'!$C:$FB,10)*100</f>
        <v>3.06</v>
      </c>
      <c r="D210" s="49">
        <f>VLOOKUP($A210,'Data shares'!$C:$FB,66)</f>
        <v>111173700</v>
      </c>
      <c r="E210" s="49">
        <f>VLOOKUP($A210,'Data shares'!$C:$FB,67)</f>
        <v>71906250</v>
      </c>
      <c r="F210" s="50">
        <f>VLOOKUP($A210,'Data shares'!$C:$FB,69)*100</f>
        <v>54.61</v>
      </c>
      <c r="G210" s="49">
        <f>VLOOKUP($A210,'Data shares'!$C:$FB,42)</f>
        <v>24187050</v>
      </c>
      <c r="H210" s="49">
        <f>VLOOKUP($A210,'Data shares'!$C:$FB,43)</f>
        <v>17177850</v>
      </c>
      <c r="I210" s="50">
        <f>VLOOKUP($A210,'Data shares'!$C:$FB,45)*100</f>
        <v>40.799999999999997</v>
      </c>
      <c r="J210" s="49">
        <f>VLOOKUP($A210,'Data shares'!$C:$FB,58)</f>
        <v>63445650</v>
      </c>
      <c r="K210" s="49">
        <f>VLOOKUP($A210,'Data shares'!$C:$FB,59)</f>
        <v>42227775</v>
      </c>
      <c r="L210" s="50">
        <f>VLOOKUP($A210,'Data shares'!$C:$FB,61)*100</f>
        <v>50.249999999999993</v>
      </c>
      <c r="M210" s="49">
        <f>VLOOKUP($A210,'Data shares'!$C:$FB,62)</f>
        <v>23541000</v>
      </c>
      <c r="N210" s="49">
        <f>VLOOKUP($A210,'Data shares'!$C:$FB,63)</f>
        <v>12500625</v>
      </c>
      <c r="O210" s="140">
        <f>VLOOKUP($A210,'Data shares'!$C:$FB,65)*100</f>
        <v>88.32</v>
      </c>
    </row>
    <row r="211" spans="1:15" x14ac:dyDescent="0.25">
      <c r="A211" s="101" t="str">
        <f>'Data Vlaue (Cr)'!C206</f>
        <v>UNITDSPR</v>
      </c>
      <c r="B211" s="50">
        <f>VLOOKUP($A211,'Data shares'!$C:$FB,7)</f>
        <v>1290.3</v>
      </c>
      <c r="C211" s="50">
        <f>VLOOKUP($A211,'Data shares'!$C:$FB,10)*100</f>
        <v>-1.92</v>
      </c>
      <c r="D211" s="49">
        <f>VLOOKUP($A211,'Data shares'!$C:$FB,66)</f>
        <v>11206800</v>
      </c>
      <c r="E211" s="49">
        <f>VLOOKUP($A211,'Data shares'!$C:$FB,67)</f>
        <v>2068800</v>
      </c>
      <c r="F211" s="50">
        <f>VLOOKUP($A211,'Data shares'!$C:$FB,69)*100</f>
        <v>441.71</v>
      </c>
      <c r="G211" s="49">
        <f>VLOOKUP($A211,'Data shares'!$C:$FB,42)</f>
        <v>2847600</v>
      </c>
      <c r="H211" s="49">
        <f>VLOOKUP($A211,'Data shares'!$C:$FB,43)</f>
        <v>468800</v>
      </c>
      <c r="I211" s="50">
        <f>VLOOKUP($A211,'Data shares'!$C:$FB,45)*100</f>
        <v>507.42</v>
      </c>
      <c r="J211" s="49">
        <f>VLOOKUP($A211,'Data shares'!$C:$FB,58)</f>
        <v>5192800</v>
      </c>
      <c r="K211" s="49">
        <f>VLOOKUP($A211,'Data shares'!$C:$FB,59)</f>
        <v>1189600</v>
      </c>
      <c r="L211" s="50">
        <f>VLOOKUP($A211,'Data shares'!$C:$FB,61)*100</f>
        <v>336.52000000000004</v>
      </c>
      <c r="M211" s="49">
        <f>VLOOKUP($A211,'Data shares'!$C:$FB,62)</f>
        <v>3166400</v>
      </c>
      <c r="N211" s="49">
        <f>VLOOKUP($A211,'Data shares'!$C:$FB,63)</f>
        <v>410400</v>
      </c>
      <c r="O211" s="140">
        <f>VLOOKUP($A211,'Data shares'!$C:$FB,65)*100</f>
        <v>671.54</v>
      </c>
    </row>
    <row r="212" spans="1:15" x14ac:dyDescent="0.25">
      <c r="A212" s="101" t="str">
        <f>'Data Vlaue (Cr)'!C207</f>
        <v>UNOMINDA</v>
      </c>
      <c r="B212" s="50">
        <f>VLOOKUP($A212,'Data shares'!$C:$FB,7)</f>
        <v>1127.9000000000001</v>
      </c>
      <c r="C212" s="50">
        <f>VLOOKUP($A212,'Data shares'!$C:$FB,10)*100</f>
        <v>3.75</v>
      </c>
      <c r="D212" s="49">
        <f>VLOOKUP($A212,'Data shares'!$C:$FB,66)</f>
        <v>3737250</v>
      </c>
      <c r="E212" s="49">
        <f>VLOOKUP($A212,'Data shares'!$C:$FB,67)</f>
        <v>3193850</v>
      </c>
      <c r="F212" s="50">
        <f>VLOOKUP($A212,'Data shares'!$C:$FB,69)*100</f>
        <v>17.010000000000002</v>
      </c>
      <c r="G212" s="49">
        <f>VLOOKUP($A212,'Data shares'!$C:$FB,42)</f>
        <v>1100000</v>
      </c>
      <c r="H212" s="49">
        <f>VLOOKUP($A212,'Data shares'!$C:$FB,43)</f>
        <v>1240800</v>
      </c>
      <c r="I212" s="50">
        <f>VLOOKUP($A212,'Data shares'!$C:$FB,45)*100</f>
        <v>-11.35</v>
      </c>
      <c r="J212" s="49">
        <f>VLOOKUP($A212,'Data shares'!$C:$FB,58)</f>
        <v>2126300</v>
      </c>
      <c r="K212" s="49">
        <f>VLOOKUP($A212,'Data shares'!$C:$FB,59)</f>
        <v>1310100</v>
      </c>
      <c r="L212" s="50">
        <f>VLOOKUP($A212,'Data shares'!$C:$FB,61)*100</f>
        <v>62.3</v>
      </c>
      <c r="M212" s="49">
        <f>VLOOKUP($A212,'Data shares'!$C:$FB,62)</f>
        <v>510950</v>
      </c>
      <c r="N212" s="49">
        <f>VLOOKUP($A212,'Data shares'!$C:$FB,63)</f>
        <v>642950</v>
      </c>
      <c r="O212" s="140">
        <f>VLOOKUP($A212,'Data shares'!$C:$FB,65)*100</f>
        <v>-20.53</v>
      </c>
    </row>
    <row r="213" spans="1:15" x14ac:dyDescent="0.25">
      <c r="A213" s="101" t="str">
        <f>'Data Vlaue (Cr)'!C208</f>
        <v>UPL</v>
      </c>
      <c r="B213" s="50">
        <f>VLOOKUP($A213,'Data shares'!$C:$FB,7)</f>
        <v>660</v>
      </c>
      <c r="C213" s="50">
        <f>VLOOKUP($A213,'Data shares'!$C:$FB,10)*100</f>
        <v>2.8000000000000003</v>
      </c>
      <c r="D213" s="49">
        <f>VLOOKUP($A213,'Data shares'!$C:$FB,66)</f>
        <v>12811525</v>
      </c>
      <c r="E213" s="49">
        <f>VLOOKUP($A213,'Data shares'!$C:$FB,67)</f>
        <v>3997250</v>
      </c>
      <c r="F213" s="50">
        <f>VLOOKUP($A213,'Data shares'!$C:$FB,69)*100</f>
        <v>220.51</v>
      </c>
      <c r="G213" s="49">
        <f>VLOOKUP($A213,'Data shares'!$C:$FB,42)</f>
        <v>3002680</v>
      </c>
      <c r="H213" s="49">
        <f>VLOOKUP($A213,'Data shares'!$C:$FB,43)</f>
        <v>1006765</v>
      </c>
      <c r="I213" s="50">
        <f>VLOOKUP($A213,'Data shares'!$C:$FB,45)*100</f>
        <v>198.25</v>
      </c>
      <c r="J213" s="49">
        <f>VLOOKUP($A213,'Data shares'!$C:$FB,58)</f>
        <v>6749255</v>
      </c>
      <c r="K213" s="49">
        <f>VLOOKUP($A213,'Data shares'!$C:$FB,59)</f>
        <v>2178840</v>
      </c>
      <c r="L213" s="50">
        <f>VLOOKUP($A213,'Data shares'!$C:$FB,61)*100</f>
        <v>209.76</v>
      </c>
      <c r="M213" s="49">
        <f>VLOOKUP($A213,'Data shares'!$C:$FB,62)</f>
        <v>3059590</v>
      </c>
      <c r="N213" s="49">
        <f>VLOOKUP($A213,'Data shares'!$C:$FB,63)</f>
        <v>811645</v>
      </c>
      <c r="O213" s="140">
        <f>VLOOKUP($A213,'Data shares'!$C:$FB,65)*100</f>
        <v>276.95999999999998</v>
      </c>
    </row>
    <row r="214" spans="1:15" x14ac:dyDescent="0.25">
      <c r="A214" s="101" t="str">
        <f>'Data Vlaue (Cr)'!C209</f>
        <v>VBL</v>
      </c>
      <c r="B214" s="50">
        <f>VLOOKUP($A214,'Data shares'!$C:$FB,7)</f>
        <v>508.95</v>
      </c>
      <c r="C214" s="50">
        <f>VLOOKUP($A214,'Data shares'!$C:$FB,10)*100</f>
        <v>-0.54</v>
      </c>
      <c r="D214" s="49">
        <f>VLOOKUP($A214,'Data shares'!$C:$FB,66)</f>
        <v>15313500</v>
      </c>
      <c r="E214" s="49">
        <f>VLOOKUP($A214,'Data shares'!$C:$FB,67)</f>
        <v>18570375</v>
      </c>
      <c r="F214" s="50">
        <f>VLOOKUP($A214,'Data shares'!$C:$FB,69)*100</f>
        <v>-17.54</v>
      </c>
      <c r="G214" s="49">
        <f>VLOOKUP($A214,'Data shares'!$C:$FB,42)</f>
        <v>4105125</v>
      </c>
      <c r="H214" s="49">
        <f>VLOOKUP($A214,'Data shares'!$C:$FB,43)</f>
        <v>5397750</v>
      </c>
      <c r="I214" s="50">
        <f>VLOOKUP($A214,'Data shares'!$C:$FB,45)*100</f>
        <v>-23.95</v>
      </c>
      <c r="J214" s="49">
        <f>VLOOKUP($A214,'Data shares'!$C:$FB,58)</f>
        <v>7102125</v>
      </c>
      <c r="K214" s="49">
        <f>VLOOKUP($A214,'Data shares'!$C:$FB,59)</f>
        <v>8134875</v>
      </c>
      <c r="L214" s="50">
        <f>VLOOKUP($A214,'Data shares'!$C:$FB,61)*100</f>
        <v>-12.7</v>
      </c>
      <c r="M214" s="49">
        <f>VLOOKUP($A214,'Data shares'!$C:$FB,62)</f>
        <v>4106250</v>
      </c>
      <c r="N214" s="49">
        <f>VLOOKUP($A214,'Data shares'!$C:$FB,63)</f>
        <v>5037750</v>
      </c>
      <c r="O214" s="140">
        <f>VLOOKUP($A214,'Data shares'!$C:$FB,65)*100</f>
        <v>-18.490000000000002</v>
      </c>
    </row>
    <row r="215" spans="1:15" x14ac:dyDescent="0.25">
      <c r="A215" s="101" t="str">
        <f>'Data Vlaue (Cr)'!C210</f>
        <v>VEDL</v>
      </c>
      <c r="B215" s="50">
        <f>VLOOKUP($A215,'Data shares'!$C:$FB,7)</f>
        <v>316.39999999999998</v>
      </c>
      <c r="C215" s="50">
        <f>VLOOKUP($A215,'Data shares'!$C:$FB,10)*100</f>
        <v>4.1099999999999994</v>
      </c>
      <c r="D215" s="49">
        <f>VLOOKUP($A215,'Data shares'!$C:$FB,66)</f>
        <v>207200100</v>
      </c>
      <c r="E215" s="49">
        <f>VLOOKUP($A215,'Data shares'!$C:$FB,67)</f>
        <v>184694600</v>
      </c>
      <c r="F215" s="50">
        <f>VLOOKUP($A215,'Data shares'!$C:$FB,69)*100</f>
        <v>12.19</v>
      </c>
      <c r="G215" s="49">
        <f>VLOOKUP($A215,'Data shares'!$C:$FB,42)</f>
        <v>23451950</v>
      </c>
      <c r="H215" s="49">
        <f>VLOOKUP($A215,'Data shares'!$C:$FB,43)</f>
        <v>20589600</v>
      </c>
      <c r="I215" s="50">
        <f>VLOOKUP($A215,'Data shares'!$C:$FB,45)*100</f>
        <v>13.900000000000002</v>
      </c>
      <c r="J215" s="49">
        <f>VLOOKUP($A215,'Data shares'!$C:$FB,58)</f>
        <v>123673300</v>
      </c>
      <c r="K215" s="49">
        <f>VLOOKUP($A215,'Data shares'!$C:$FB,59)</f>
        <v>116240850</v>
      </c>
      <c r="L215" s="50">
        <f>VLOOKUP($A215,'Data shares'!$C:$FB,61)*100</f>
        <v>6.39</v>
      </c>
      <c r="M215" s="49">
        <f>VLOOKUP($A215,'Data shares'!$C:$FB,62)</f>
        <v>60074850</v>
      </c>
      <c r="N215" s="49">
        <f>VLOOKUP($A215,'Data shares'!$C:$FB,63)</f>
        <v>47864150</v>
      </c>
      <c r="O215" s="140">
        <f>VLOOKUP($A215,'Data shares'!$C:$FB,65)*100</f>
        <v>25.509999999999998</v>
      </c>
    </row>
    <row r="216" spans="1:15" x14ac:dyDescent="0.25">
      <c r="A216" s="101" t="str">
        <f>'Data Vlaue (Cr)'!C211</f>
        <v>VMM</v>
      </c>
      <c r="B216" s="50">
        <f>VLOOKUP($A216,'Data shares'!$C:$FB,7)</f>
        <v>124.2</v>
      </c>
      <c r="C216" s="50">
        <f>VLOOKUP($A216,'Data shares'!$C:$FB,10)*100</f>
        <v>-0.70000000000000007</v>
      </c>
      <c r="D216" s="49">
        <f>VLOOKUP($A216,'Data shares'!$C:$FB,66)</f>
        <v>8720300</v>
      </c>
      <c r="E216" s="49">
        <f>VLOOKUP($A216,'Data shares'!$C:$FB,67)</f>
        <v>8206200</v>
      </c>
      <c r="F216" s="50">
        <f>VLOOKUP($A216,'Data shares'!$C:$FB,69)*100</f>
        <v>6.2600000000000007</v>
      </c>
      <c r="G216" s="49">
        <f>VLOOKUP($A216,'Data shares'!$C:$FB,42)</f>
        <v>3584150</v>
      </c>
      <c r="H216" s="49">
        <f>VLOOKUP($A216,'Data shares'!$C:$FB,43)</f>
        <v>4966400</v>
      </c>
      <c r="I216" s="50">
        <f>VLOOKUP($A216,'Data shares'!$C:$FB,45)*100</f>
        <v>-27.83</v>
      </c>
      <c r="J216" s="49">
        <f>VLOOKUP($A216,'Data shares'!$C:$FB,58)</f>
        <v>3841200</v>
      </c>
      <c r="K216" s="49">
        <f>VLOOKUP($A216,'Data shares'!$C:$FB,59)</f>
        <v>2497750</v>
      </c>
      <c r="L216" s="50">
        <f>VLOOKUP($A216,'Data shares'!$C:$FB,61)*100</f>
        <v>53.790000000000006</v>
      </c>
      <c r="M216" s="49">
        <f>VLOOKUP($A216,'Data shares'!$C:$FB,62)</f>
        <v>1294950</v>
      </c>
      <c r="N216" s="49">
        <f>VLOOKUP($A216,'Data shares'!$C:$FB,63)</f>
        <v>742050</v>
      </c>
      <c r="O216" s="140">
        <f>VLOOKUP($A216,'Data shares'!$C:$FB,65)*100</f>
        <v>74.510000000000005</v>
      </c>
    </row>
    <row r="217" spans="1:15" x14ac:dyDescent="0.25">
      <c r="A217" s="101" t="str">
        <f>'Data Vlaue (Cr)'!C212</f>
        <v>VOLTAS</v>
      </c>
      <c r="B217" s="50">
        <f>VLOOKUP($A217,'Data shares'!$C:$FB,7)</f>
        <v>1379.6</v>
      </c>
      <c r="C217" s="50">
        <f>VLOOKUP($A217,'Data shares'!$C:$FB,10)*100</f>
        <v>0.27</v>
      </c>
      <c r="D217" s="49">
        <f>VLOOKUP($A217,'Data shares'!$C:$FB,66)</f>
        <v>9371250</v>
      </c>
      <c r="E217" s="49">
        <f>VLOOKUP($A217,'Data shares'!$C:$FB,67)</f>
        <v>15747375</v>
      </c>
      <c r="F217" s="50">
        <f>VLOOKUP($A217,'Data shares'!$C:$FB,69)*100</f>
        <v>-40.489999999999995</v>
      </c>
      <c r="G217" s="49">
        <f>VLOOKUP($A217,'Data shares'!$C:$FB,42)</f>
        <v>2153625</v>
      </c>
      <c r="H217" s="49">
        <f>VLOOKUP($A217,'Data shares'!$C:$FB,43)</f>
        <v>3550500</v>
      </c>
      <c r="I217" s="50">
        <f>VLOOKUP($A217,'Data shares'!$C:$FB,45)*100</f>
        <v>-39.340000000000003</v>
      </c>
      <c r="J217" s="49">
        <f>VLOOKUP($A217,'Data shares'!$C:$FB,58)</f>
        <v>4933125</v>
      </c>
      <c r="K217" s="49">
        <f>VLOOKUP($A217,'Data shares'!$C:$FB,59)</f>
        <v>7110750</v>
      </c>
      <c r="L217" s="50">
        <f>VLOOKUP($A217,'Data shares'!$C:$FB,61)*100</f>
        <v>-30.620000000000005</v>
      </c>
      <c r="M217" s="49">
        <f>VLOOKUP($A217,'Data shares'!$C:$FB,62)</f>
        <v>2284500</v>
      </c>
      <c r="N217" s="49">
        <f>VLOOKUP($A217,'Data shares'!$C:$FB,63)</f>
        <v>5086125</v>
      </c>
      <c r="O217" s="140">
        <f>VLOOKUP($A217,'Data shares'!$C:$FB,65)*100</f>
        <v>-55.08</v>
      </c>
    </row>
    <row r="218" spans="1:15" x14ac:dyDescent="0.25">
      <c r="A218" s="101" t="str">
        <f>'Data Vlaue (Cr)'!C213</f>
        <v>WAAREEENER</v>
      </c>
      <c r="B218" s="50">
        <f>VLOOKUP($A218,'Data shares'!$C:$FB,7)</f>
        <v>3225.1</v>
      </c>
      <c r="C218" s="50">
        <f>VLOOKUP($A218,'Data shares'!$C:$FB,10)*100</f>
        <v>1.3599999999999999</v>
      </c>
      <c r="D218" s="49">
        <f>VLOOKUP($A218,'Data shares'!$C:$FB,66)</f>
        <v>6901475</v>
      </c>
      <c r="E218" s="49">
        <f>VLOOKUP($A218,'Data shares'!$C:$FB,67)</f>
        <v>6579125</v>
      </c>
      <c r="F218" s="50">
        <f>VLOOKUP($A218,'Data shares'!$C:$FB,69)*100</f>
        <v>4.9000000000000004</v>
      </c>
      <c r="G218" s="49">
        <f>VLOOKUP($A218,'Data shares'!$C:$FB,42)</f>
        <v>1641850</v>
      </c>
      <c r="H218" s="49">
        <f>VLOOKUP($A218,'Data shares'!$C:$FB,43)</f>
        <v>1057000</v>
      </c>
      <c r="I218" s="50">
        <f>VLOOKUP($A218,'Data shares'!$C:$FB,45)*100</f>
        <v>55.33</v>
      </c>
      <c r="J218" s="49">
        <f>VLOOKUP($A218,'Data shares'!$C:$FB,58)</f>
        <v>3894800</v>
      </c>
      <c r="K218" s="49">
        <f>VLOOKUP($A218,'Data shares'!$C:$FB,59)</f>
        <v>4004350</v>
      </c>
      <c r="L218" s="50">
        <f>VLOOKUP($A218,'Data shares'!$C:$FB,61)*100</f>
        <v>-2.74</v>
      </c>
      <c r="M218" s="49">
        <f>VLOOKUP($A218,'Data shares'!$C:$FB,62)</f>
        <v>1364825</v>
      </c>
      <c r="N218" s="49">
        <f>VLOOKUP($A218,'Data shares'!$C:$FB,63)</f>
        <v>1517775</v>
      </c>
      <c r="O218" s="140">
        <f>VLOOKUP($A218,'Data shares'!$C:$FB,65)*100</f>
        <v>-10.08</v>
      </c>
    </row>
    <row r="219" spans="1:15" x14ac:dyDescent="0.25">
      <c r="A219" s="101" t="str">
        <f>'Data Vlaue (Cr)'!C214</f>
        <v>WIPRO</v>
      </c>
      <c r="B219" s="50">
        <f>VLOOKUP($A219,'Data shares'!$C:$FB,7)</f>
        <v>199.12</v>
      </c>
      <c r="C219" s="50">
        <f>VLOOKUP($A219,'Data shares'!$C:$FB,10)*100</f>
        <v>-0.33</v>
      </c>
      <c r="D219" s="49">
        <f>VLOOKUP($A219,'Data shares'!$C:$FB,66)</f>
        <v>130446000</v>
      </c>
      <c r="E219" s="49">
        <f>VLOOKUP($A219,'Data shares'!$C:$FB,67)</f>
        <v>89967000</v>
      </c>
      <c r="F219" s="50">
        <f>VLOOKUP($A219,'Data shares'!$C:$FB,69)*100</f>
        <v>44.99</v>
      </c>
      <c r="G219" s="49">
        <f>VLOOKUP($A219,'Data shares'!$C:$FB,42)</f>
        <v>20241000</v>
      </c>
      <c r="H219" s="49">
        <f>VLOOKUP($A219,'Data shares'!$C:$FB,43)</f>
        <v>16878000</v>
      </c>
      <c r="I219" s="50">
        <f>VLOOKUP($A219,'Data shares'!$C:$FB,45)*100</f>
        <v>19.93</v>
      </c>
      <c r="J219" s="49">
        <f>VLOOKUP($A219,'Data shares'!$C:$FB,58)</f>
        <v>74595000</v>
      </c>
      <c r="K219" s="49">
        <f>VLOOKUP($A219,'Data shares'!$C:$FB,59)</f>
        <v>51597000</v>
      </c>
      <c r="L219" s="50">
        <f>VLOOKUP($A219,'Data shares'!$C:$FB,61)*100</f>
        <v>44.57</v>
      </c>
      <c r="M219" s="49">
        <f>VLOOKUP($A219,'Data shares'!$C:$FB,62)</f>
        <v>35610000</v>
      </c>
      <c r="N219" s="49">
        <f>VLOOKUP($A219,'Data shares'!$C:$FB,63)</f>
        <v>21492000</v>
      </c>
      <c r="O219" s="140">
        <f>VLOOKUP($A219,'Data shares'!$C:$FB,65)*100</f>
        <v>65.69</v>
      </c>
    </row>
    <row r="220" spans="1:15" x14ac:dyDescent="0.25">
      <c r="A220" s="101" t="str">
        <f>'Data Vlaue (Cr)'!C215</f>
        <v>YESBANK</v>
      </c>
      <c r="B220" s="50">
        <f>VLOOKUP($A220,'Data shares'!$C:$FB,7)</f>
        <v>22.13</v>
      </c>
      <c r="C220" s="50">
        <f>VLOOKUP($A220,'Data shares'!$C:$FB,10)*100</f>
        <v>8.06</v>
      </c>
      <c r="D220" s="49">
        <f>VLOOKUP($A220,'Data shares'!$C:$FB,66)</f>
        <v>3258937900</v>
      </c>
      <c r="E220" s="49">
        <f>VLOOKUP($A220,'Data shares'!$C:$FB,67)</f>
        <v>1657287900</v>
      </c>
      <c r="F220" s="50">
        <f>VLOOKUP($A220,'Data shares'!$C:$FB,69)*100</f>
        <v>96.64</v>
      </c>
      <c r="G220" s="49">
        <f>VLOOKUP($A220,'Data shares'!$C:$FB,42)</f>
        <v>569254400</v>
      </c>
      <c r="H220" s="49">
        <f>VLOOKUP($A220,'Data shares'!$C:$FB,43)</f>
        <v>315354000</v>
      </c>
      <c r="I220" s="50">
        <f>VLOOKUP($A220,'Data shares'!$C:$FB,45)*100</f>
        <v>80.510000000000005</v>
      </c>
      <c r="J220" s="49">
        <f>VLOOKUP($A220,'Data shares'!$C:$FB,58)</f>
        <v>2052848800</v>
      </c>
      <c r="K220" s="49">
        <f>VLOOKUP($A220,'Data shares'!$C:$FB,59)</f>
        <v>1023905300</v>
      </c>
      <c r="L220" s="50">
        <f>VLOOKUP($A220,'Data shares'!$C:$FB,61)*100</f>
        <v>100.49</v>
      </c>
      <c r="M220" s="49">
        <f>VLOOKUP($A220,'Data shares'!$C:$FB,62)</f>
        <v>636834700</v>
      </c>
      <c r="N220" s="49">
        <f>VLOOKUP($A220,'Data shares'!$C:$FB,63)</f>
        <v>318028600</v>
      </c>
      <c r="O220" s="140">
        <f>VLOOKUP($A220,'Data shares'!$C:$FB,65)*100</f>
        <v>100.24</v>
      </c>
    </row>
    <row r="221" spans="1:15" x14ac:dyDescent="0.25">
      <c r="A221" s="101" t="str">
        <f>'Data Vlaue (Cr)'!C216</f>
        <v>ZYDUSLIFE</v>
      </c>
      <c r="B221" s="50">
        <f>VLOOKUP($A221,'Data shares'!$C:$FB,7)</f>
        <v>938.8</v>
      </c>
      <c r="C221" s="50">
        <f>VLOOKUP($A221,'Data shares'!$C:$FB,10)*100</f>
        <v>2.91</v>
      </c>
      <c r="D221" s="49">
        <f>VLOOKUP($A221,'Data shares'!$C:$FB,66)</f>
        <v>13939200</v>
      </c>
      <c r="E221" s="49">
        <f>VLOOKUP($A221,'Data shares'!$C:$FB,67)</f>
        <v>4421700</v>
      </c>
      <c r="F221" s="50">
        <f>VLOOKUP($A221,'Data shares'!$C:$FB,69)*100</f>
        <v>215.25</v>
      </c>
      <c r="G221" s="49">
        <f>VLOOKUP($A221,'Data shares'!$C:$FB,42)</f>
        <v>2377800</v>
      </c>
      <c r="H221" s="49">
        <f>VLOOKUP($A221,'Data shares'!$C:$FB,43)</f>
        <v>1180800</v>
      </c>
      <c r="I221" s="50">
        <f>VLOOKUP($A221,'Data shares'!$C:$FB,45)*100</f>
        <v>101.37</v>
      </c>
      <c r="J221" s="49">
        <f>VLOOKUP($A221,'Data shares'!$C:$FB,58)</f>
        <v>9071100</v>
      </c>
      <c r="K221" s="49">
        <f>VLOOKUP($A221,'Data shares'!$C:$FB,59)</f>
        <v>2409300</v>
      </c>
      <c r="L221" s="50">
        <f>VLOOKUP($A221,'Data shares'!$C:$FB,61)*100</f>
        <v>276.5</v>
      </c>
      <c r="M221" s="49">
        <f>VLOOKUP($A221,'Data shares'!$C:$FB,62)</f>
        <v>2490300</v>
      </c>
      <c r="N221" s="49">
        <f>VLOOKUP($A221,'Data shares'!$C:$FB,63)</f>
        <v>831600</v>
      </c>
      <c r="O221" s="140">
        <f>VLOOKUP($A221,'Data shares'!$C:$FB,65)*100</f>
        <v>199.45999999999998</v>
      </c>
    </row>
    <row r="222" spans="1:15" x14ac:dyDescent="0.25">
      <c r="A222" s="101"/>
      <c r="B222" s="50"/>
      <c r="C222" s="50"/>
      <c r="D222" s="49"/>
      <c r="E222" s="49"/>
      <c r="F222" s="50"/>
      <c r="G222" s="49"/>
      <c r="H222" s="49"/>
      <c r="I222" s="50"/>
      <c r="J222" s="49"/>
      <c r="K222" s="49"/>
      <c r="L222" s="50"/>
      <c r="M222" s="49"/>
      <c r="N222" s="49"/>
      <c r="O222" s="140"/>
    </row>
    <row r="223" spans="1:15" x14ac:dyDescent="0.25">
      <c r="A223" s="101"/>
      <c r="B223" s="50"/>
      <c r="C223" s="50"/>
      <c r="D223" s="49"/>
      <c r="E223" s="49"/>
      <c r="F223" s="50"/>
      <c r="G223" s="49"/>
      <c r="H223" s="49"/>
      <c r="I223" s="50"/>
      <c r="J223" s="49"/>
      <c r="K223" s="49"/>
      <c r="L223" s="50"/>
      <c r="M223" s="49"/>
      <c r="N223" s="49"/>
      <c r="O223" s="140"/>
    </row>
    <row r="224" spans="1:15" x14ac:dyDescent="0.25">
      <c r="A224" s="101"/>
      <c r="B224" s="50"/>
      <c r="C224" s="50"/>
      <c r="D224" s="49"/>
      <c r="E224" s="49"/>
      <c r="F224" s="50"/>
      <c r="G224" s="49"/>
      <c r="H224" s="49"/>
      <c r="I224" s="50"/>
      <c r="J224" s="49"/>
      <c r="K224" s="49"/>
      <c r="L224" s="50"/>
      <c r="M224" s="49"/>
      <c r="N224" s="49"/>
      <c r="O224" s="140"/>
    </row>
    <row r="225" spans="1:15" x14ac:dyDescent="0.25">
      <c r="A225" s="101"/>
      <c r="B225" s="50"/>
      <c r="C225" s="50"/>
      <c r="D225" s="49"/>
      <c r="E225" s="49"/>
      <c r="F225" s="50"/>
      <c r="G225" s="49"/>
      <c r="H225" s="49"/>
      <c r="I225" s="50"/>
      <c r="J225" s="49"/>
      <c r="K225" s="49"/>
      <c r="L225" s="50"/>
      <c r="M225" s="49"/>
      <c r="N225" s="49"/>
      <c r="O225" s="140"/>
    </row>
    <row r="226" spans="1:15" x14ac:dyDescent="0.25">
      <c r="A226" s="101"/>
      <c r="B226" s="50"/>
      <c r="C226" s="50"/>
      <c r="D226" s="49"/>
      <c r="E226" s="49"/>
      <c r="F226" s="50"/>
      <c r="G226" s="49"/>
      <c r="H226" s="49"/>
      <c r="I226" s="50"/>
      <c r="J226" s="49"/>
      <c r="K226" s="49"/>
      <c r="L226" s="50"/>
      <c r="M226" s="49"/>
      <c r="N226" s="49"/>
      <c r="O226" s="140"/>
    </row>
    <row r="227" spans="1:15" x14ac:dyDescent="0.25">
      <c r="A227" s="101"/>
      <c r="B227" s="50"/>
      <c r="C227" s="50"/>
      <c r="D227" s="49"/>
      <c r="E227" s="49"/>
      <c r="F227" s="50"/>
      <c r="G227" s="49"/>
      <c r="H227" s="49"/>
      <c r="I227" s="50"/>
      <c r="J227" s="49"/>
      <c r="K227" s="49"/>
      <c r="L227" s="50"/>
      <c r="M227" s="49"/>
      <c r="N227" s="49"/>
      <c r="O227" s="140"/>
    </row>
    <row r="228" spans="1:15" x14ac:dyDescent="0.25">
      <c r="A228" s="101"/>
      <c r="B228" s="50"/>
      <c r="C228" s="50"/>
      <c r="D228" s="49"/>
      <c r="E228" s="49"/>
      <c r="F228" s="50"/>
      <c r="G228" s="49"/>
      <c r="H228" s="49"/>
      <c r="I228" s="50"/>
      <c r="J228" s="49"/>
      <c r="K228" s="49"/>
      <c r="L228" s="50"/>
      <c r="M228" s="49"/>
      <c r="N228" s="49"/>
      <c r="O228" s="140"/>
    </row>
    <row r="229" spans="1:15" x14ac:dyDescent="0.25">
      <c r="A229" s="101"/>
      <c r="B229" s="17"/>
      <c r="C229" s="17"/>
      <c r="D229" s="17"/>
      <c r="E229" s="17"/>
      <c r="F229" s="17"/>
      <c r="G229" s="17"/>
      <c r="H229" s="17"/>
      <c r="I229" s="17"/>
      <c r="J229" s="17"/>
      <c r="K229" s="17"/>
      <c r="L229" s="17"/>
      <c r="M229" s="17"/>
      <c r="N229" s="17"/>
      <c r="O229" s="17"/>
    </row>
    <row r="230" spans="1:15" x14ac:dyDescent="0.25">
      <c r="A230" s="102"/>
      <c r="B230" s="17"/>
      <c r="C230" s="17"/>
      <c r="D230" s="17"/>
      <c r="E230" s="17"/>
      <c r="F230" s="17"/>
      <c r="G230" s="17"/>
      <c r="H230" s="17"/>
      <c r="I230" s="17"/>
      <c r="J230" s="17"/>
      <c r="K230" s="17"/>
      <c r="L230" s="17"/>
      <c r="M230" s="17"/>
      <c r="N230" s="17"/>
      <c r="O230" s="17"/>
    </row>
    <row r="231" spans="1:15" x14ac:dyDescent="0.25">
      <c r="A231" s="133" t="s">
        <v>391</v>
      </c>
      <c r="B231" s="133"/>
      <c r="C231" s="133"/>
      <c r="D231" s="133">
        <f>SUM(D7:D225)</f>
        <v>20429900311</v>
      </c>
      <c r="E231" s="133">
        <f>SUM(E7:E225)</f>
        <v>41887581148</v>
      </c>
      <c r="F231" s="134">
        <f>(D231-E231)/E231</f>
        <v>-0.51226832032110636</v>
      </c>
      <c r="G231" s="133">
        <f>SUM(G7:G225)</f>
        <v>3242205944</v>
      </c>
      <c r="H231" s="133">
        <f>SUM(H7:H225)</f>
        <v>2585193981</v>
      </c>
      <c r="I231" s="134">
        <f>(G231-H231)/H231</f>
        <v>0.25414416396941164</v>
      </c>
      <c r="J231" s="133">
        <f>SUM(J7:J225)</f>
        <v>11382040286</v>
      </c>
      <c r="K231" s="133">
        <f>SUM(K7:K225)</f>
        <v>22777813230</v>
      </c>
      <c r="L231" s="134">
        <f>(J231-K231)/K231</f>
        <v>-0.50030144812105826</v>
      </c>
      <c r="M231" s="133">
        <f>SUM(M7:M225)</f>
        <v>5805654081</v>
      </c>
      <c r="N231" s="133">
        <f>SUM(N7:N225)</f>
        <v>16524573937</v>
      </c>
      <c r="O231" s="134">
        <f>(M231-N231)/N231</f>
        <v>-0.64866542985410225</v>
      </c>
    </row>
    <row r="232" spans="1:15" x14ac:dyDescent="0.25">
      <c r="A232" s="133" t="s">
        <v>398</v>
      </c>
      <c r="B232" s="133"/>
      <c r="C232" s="133"/>
      <c r="D232" s="133">
        <f>D231/10000000</f>
        <v>2042.9900310999999</v>
      </c>
      <c r="E232" s="133">
        <f>E231/10000000</f>
        <v>4188.7581147999999</v>
      </c>
      <c r="F232" s="134">
        <f>(D232-E232)/E232</f>
        <v>-0.51226832032110636</v>
      </c>
      <c r="G232" s="133">
        <f>G231/10000000</f>
        <v>324.22059439999998</v>
      </c>
      <c r="H232" s="133">
        <f>H231/10000000</f>
        <v>258.51939809999999</v>
      </c>
      <c r="I232" s="134">
        <f>(G232-H232)/H232</f>
        <v>0.25414416396941159</v>
      </c>
      <c r="J232" s="133">
        <f>J231/10000000</f>
        <v>1138.2040285999999</v>
      </c>
      <c r="K232" s="133">
        <f>K231/10000000</f>
        <v>2277.7813230000002</v>
      </c>
      <c r="L232" s="134">
        <f>(J232-K232)/K232</f>
        <v>-0.50030144812105837</v>
      </c>
      <c r="M232" s="133">
        <f>M231/10000000</f>
        <v>580.56540810000001</v>
      </c>
      <c r="N232" s="133">
        <f>N231/10000000</f>
        <v>1652.4573937</v>
      </c>
      <c r="O232" s="134">
        <f>(M232-N232)/N232</f>
        <v>-0.64866542985410225</v>
      </c>
    </row>
    <row r="233" spans="1:15" x14ac:dyDescent="0.25">
      <c r="A233" s="17"/>
      <c r="B233" s="17"/>
      <c r="C233" s="17"/>
      <c r="D233" s="17"/>
      <c r="E233" s="17"/>
      <c r="F233" s="17"/>
      <c r="G233" s="17"/>
      <c r="H233" s="17"/>
      <c r="I233" s="17"/>
      <c r="J233" s="17"/>
      <c r="K233" s="17"/>
      <c r="L233" s="17"/>
      <c r="M233" s="17"/>
      <c r="N233" s="17"/>
      <c r="O233"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2"/>
  <sheetViews>
    <sheetView workbookViewId="0">
      <pane ySplit="6" topLeftCell="A7" activePane="bottomLeft" state="frozen"/>
      <selection pane="bottomLeft" activeCell="Q27" sqref="Q27"/>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7" t="s">
        <v>311</v>
      </c>
      <c r="B3" s="308"/>
      <c r="C3" s="308"/>
      <c r="D3" s="308"/>
      <c r="E3" s="308"/>
      <c r="F3" s="308"/>
      <c r="G3" s="308"/>
      <c r="H3" s="308"/>
      <c r="I3" s="308"/>
      <c r="J3" s="308"/>
      <c r="K3" s="308"/>
      <c r="L3" s="267"/>
      <c r="M3" s="267"/>
      <c r="N3" s="267"/>
      <c r="O3" s="309"/>
    </row>
    <row r="4" spans="1:19" s="104" customFormat="1" x14ac:dyDescent="0.25">
      <c r="A4" s="286" t="s">
        <v>330</v>
      </c>
      <c r="B4" s="286" t="s">
        <v>311</v>
      </c>
      <c r="C4" s="286"/>
      <c r="D4" s="286"/>
      <c r="E4" s="286"/>
      <c r="F4" s="286"/>
      <c r="G4" s="286"/>
      <c r="H4" s="286" t="s">
        <v>365</v>
      </c>
      <c r="I4" s="286"/>
      <c r="J4" s="286"/>
      <c r="K4" s="286"/>
      <c r="L4" s="286" t="s">
        <v>309</v>
      </c>
      <c r="M4" s="286"/>
      <c r="N4" s="286"/>
      <c r="O4" s="286"/>
    </row>
    <row r="5" spans="1:19" s="104" customFormat="1" x14ac:dyDescent="0.25">
      <c r="A5" s="305"/>
      <c r="B5" s="305" t="s">
        <v>316</v>
      </c>
      <c r="C5" s="305"/>
      <c r="D5" s="305"/>
      <c r="E5" s="305" t="s">
        <v>317</v>
      </c>
      <c r="F5" s="305"/>
      <c r="G5" s="305"/>
      <c r="H5" s="305" t="s">
        <v>336</v>
      </c>
      <c r="I5" s="305"/>
      <c r="J5" s="305" t="s">
        <v>342</v>
      </c>
      <c r="K5" s="305"/>
      <c r="L5" s="305" t="s">
        <v>336</v>
      </c>
      <c r="M5" s="305"/>
      <c r="N5" s="305" t="s">
        <v>342</v>
      </c>
      <c r="O5" s="306"/>
    </row>
    <row r="6" spans="1:19" s="104" customFormat="1" x14ac:dyDescent="0.25">
      <c r="A6" s="76" t="s">
        <v>318</v>
      </c>
      <c r="B6" s="3">
        <f>'Total Valume'!B6</f>
        <v>46148</v>
      </c>
      <c r="C6" s="76" t="s">
        <v>322</v>
      </c>
      <c r="D6" s="76" t="s">
        <v>328</v>
      </c>
      <c r="E6" s="3">
        <f>B6</f>
        <v>46148</v>
      </c>
      <c r="F6" s="76" t="s">
        <v>322</v>
      </c>
      <c r="G6" s="76" t="s">
        <v>328</v>
      </c>
      <c r="H6" s="3">
        <f>E6</f>
        <v>46148</v>
      </c>
      <c r="I6" s="76" t="s">
        <v>333</v>
      </c>
      <c r="J6" s="3">
        <f>E6</f>
        <v>46148</v>
      </c>
      <c r="K6" s="76" t="s">
        <v>333</v>
      </c>
      <c r="L6" s="3">
        <f>E6</f>
        <v>46148</v>
      </c>
      <c r="M6" s="76" t="s">
        <v>333</v>
      </c>
      <c r="N6" s="3">
        <f>E6</f>
        <v>46148</v>
      </c>
      <c r="O6" s="76" t="s">
        <v>333</v>
      </c>
    </row>
    <row r="7" spans="1:19" x14ac:dyDescent="0.25">
      <c r="A7" s="105" t="str">
        <f>'Data Vlaue (Cr)'!C2</f>
        <v>360ONE</v>
      </c>
      <c r="B7" s="143">
        <f>VLOOKUP($A7,'Data shares'!$C:$FA,118)</f>
        <v>0.57999999999999996</v>
      </c>
      <c r="C7" s="143">
        <f>VLOOKUP($A7,'Data shares'!$C:$FA,119)</f>
        <v>0.55000000000000004</v>
      </c>
      <c r="D7" s="143">
        <f>VLOOKUP($A7,'Data shares'!$C:$FA,121)*100</f>
        <v>5.45</v>
      </c>
      <c r="E7" s="143">
        <f>VLOOKUP($A7,'Data shares'!$C:$FA,124)</f>
        <v>0.24</v>
      </c>
      <c r="F7" s="143">
        <f>VLOOKUP($A7,'Data shares'!$C:$FA,125)</f>
        <v>0.41</v>
      </c>
      <c r="G7" s="143">
        <f>VLOOKUP($A7,'Data shares'!$C:$FA,127)*100</f>
        <v>-41.46</v>
      </c>
      <c r="H7" s="103">
        <f>VLOOKUP($A7,'OI(Volume)'!$A$7:$O$445,8)</f>
        <v>1010000</v>
      </c>
      <c r="I7" s="103">
        <f>VLOOKUP($A7,'OI(Volume)'!$A$7:$O$445,9)</f>
        <v>-74500</v>
      </c>
      <c r="J7" s="103">
        <f>VLOOKUP($A7,'OI(Volume)'!$A$7:$O$445,11)</f>
        <v>581500</v>
      </c>
      <c r="K7" s="103">
        <f>VLOOKUP($A7,'OI(Volume)'!$A$7:$O$445,12)</f>
        <v>-12000</v>
      </c>
      <c r="L7" s="103">
        <f>VLOOKUP($A7,'OI(Value)'!$A$7:$O$329,8,0)</f>
        <v>110</v>
      </c>
      <c r="M7" s="103">
        <f>VLOOKUP($A7,'OI(Value)'!$A$7:$O$329,9,0)</f>
        <v>-8</v>
      </c>
      <c r="N7" s="103">
        <f>VLOOKUP($A7,'OI(Value)'!$A$7:$O$329,11,0)</f>
        <v>63</v>
      </c>
      <c r="O7" s="103">
        <f>VLOOKUP($A7,'OI(Value)'!$A$7:$O$329,12,0)</f>
        <v>-1</v>
      </c>
      <c r="P7" s="179">
        <f>VLOOKUP(A7,'OI(Value)'!A7:O182,8,0)</f>
        <v>110</v>
      </c>
      <c r="Q7" s="179">
        <f>VLOOKUP(A7,'OI(Value)'!A7:O182,9,0)</f>
        <v>-8</v>
      </c>
      <c r="R7" s="179">
        <f>VLOOKUP(A7,'OI(Value)'!A7:O182,11,0)</f>
        <v>63</v>
      </c>
      <c r="S7" s="179">
        <f>VLOOKUP(A7,'OI(Value)'!A7:O182,12,0)</f>
        <v>-1</v>
      </c>
    </row>
    <row r="8" spans="1:19" x14ac:dyDescent="0.25">
      <c r="A8" s="105" t="str">
        <f>'Data Vlaue (Cr)'!C3</f>
        <v>ABB</v>
      </c>
      <c r="B8" s="143">
        <f>VLOOKUP($A8,'Data shares'!$C:$FA,118)</f>
        <v>0.5</v>
      </c>
      <c r="C8" s="143">
        <f>VLOOKUP($A8,'Data shares'!$C:$FA,119)</f>
        <v>0.5</v>
      </c>
      <c r="D8" s="143">
        <f>VLOOKUP($A8,'Data shares'!$C:$FA,121)*100</f>
        <v>0</v>
      </c>
      <c r="E8" s="143">
        <f>VLOOKUP($A8,'Data shares'!$C:$FA,124)</f>
        <v>0.4</v>
      </c>
      <c r="F8" s="143">
        <f>VLOOKUP($A8,'Data shares'!$C:$FA,125)</f>
        <v>0.25</v>
      </c>
      <c r="G8" s="143">
        <f>VLOOKUP($A8,'Data shares'!$C:$FA,127)*100</f>
        <v>60</v>
      </c>
      <c r="H8" s="103">
        <f>VLOOKUP($A8,'OI(Volume)'!$A$7:$O$445,8)</f>
        <v>1099250</v>
      </c>
      <c r="I8" s="103">
        <f>VLOOKUP($A8,'OI(Volume)'!$A$7:$O$445,9)</f>
        <v>78500</v>
      </c>
      <c r="J8" s="103">
        <f>VLOOKUP($A8,'OI(Volume)'!$A$7:$O$445,11)</f>
        <v>550500</v>
      </c>
      <c r="K8" s="103">
        <f>VLOOKUP($A8,'OI(Volume)'!$A$7:$O$445,12)</f>
        <v>39750</v>
      </c>
      <c r="L8" s="103">
        <f>VLOOKUP($A8,'OI(Value)'!$A$7:$O$329,8,0)</f>
        <v>789</v>
      </c>
      <c r="M8" s="103">
        <f>VLOOKUP($A8,'OI(Value)'!$A$7:$O$329,9,0)</f>
        <v>56</v>
      </c>
      <c r="N8" s="103">
        <f>VLOOKUP($A8,'OI(Value)'!$A$7:$O$329,11,0)</f>
        <v>395</v>
      </c>
      <c r="O8" s="103">
        <f>VLOOKUP($A8,'OI(Value)'!$A$7:$O$329,12,0)</f>
        <v>29</v>
      </c>
      <c r="P8" s="179">
        <f>VLOOKUP(A8,'OI(Value)'!A8:O232,8,0)</f>
        <v>789</v>
      </c>
      <c r="Q8" s="179">
        <f>VLOOKUP(A8,'OI(Value)'!A8:O232,9,0)</f>
        <v>56</v>
      </c>
      <c r="R8" s="179">
        <f>VLOOKUP(A8,'OI(Value)'!A8:O232,11,0)</f>
        <v>395</v>
      </c>
      <c r="S8" s="179">
        <f>VLOOKUP(A8,'OI(Value)'!A8:O232,11,0)</f>
        <v>395</v>
      </c>
    </row>
    <row r="9" spans="1:19" x14ac:dyDescent="0.25">
      <c r="A9" s="105" t="str">
        <f>'Data Vlaue (Cr)'!C4</f>
        <v>ABCAPITAL</v>
      </c>
      <c r="B9" s="143">
        <f>VLOOKUP($A9,'Data shares'!$C:$FA,118)</f>
        <v>0.87</v>
      </c>
      <c r="C9" s="143">
        <f>VLOOKUP($A9,'Data shares'!$C:$FA,119)</f>
        <v>0.78</v>
      </c>
      <c r="D9" s="143">
        <f>VLOOKUP($A9,'Data shares'!$C:$FA,121)*100</f>
        <v>11.540000000000001</v>
      </c>
      <c r="E9" s="143">
        <f>VLOOKUP($A9,'Data shares'!$C:$FA,124)</f>
        <v>0.56000000000000005</v>
      </c>
      <c r="F9" s="143">
        <f>VLOOKUP($A9,'Data shares'!$C:$FA,125)</f>
        <v>0.45</v>
      </c>
      <c r="G9" s="143">
        <f>VLOOKUP($A9,'Data shares'!$C:$FA,127)*100</f>
        <v>24.44</v>
      </c>
      <c r="H9" s="103">
        <f>VLOOKUP($A9,'OI(Volume)'!$A$7:$O$445,8)</f>
        <v>14024400</v>
      </c>
      <c r="I9" s="103">
        <f>VLOOKUP($A9,'OI(Volume)'!$A$7:$O$445,9)</f>
        <v>-1205900</v>
      </c>
      <c r="J9" s="103">
        <f>VLOOKUP($A9,'OI(Volume)'!$A$7:$O$445,11)</f>
        <v>12235700</v>
      </c>
      <c r="K9" s="103">
        <f>VLOOKUP($A9,'OI(Volume)'!$A$7:$O$445,12)</f>
        <v>365800</v>
      </c>
      <c r="L9" s="103">
        <f>VLOOKUP($A9,'OI(Value)'!$A$7:$O$329,8,0)</f>
        <v>521</v>
      </c>
      <c r="M9" s="103">
        <f>VLOOKUP($A9,'OI(Value)'!$A$7:$O$329,9,0)</f>
        <v>-45</v>
      </c>
      <c r="N9" s="103">
        <f>VLOOKUP($A9,'OI(Value)'!$A$7:$O$329,11,0)</f>
        <v>454</v>
      </c>
      <c r="O9" s="103">
        <f>VLOOKUP($A9,'OI(Value)'!$A$7:$O$329,12,0)</f>
        <v>14</v>
      </c>
      <c r="P9" s="179">
        <f>VLOOKUP(A9,'OI(Value)'!A9:O233,8,0)</f>
        <v>521</v>
      </c>
      <c r="Q9" s="179">
        <f>VLOOKUP(A9,'OI(Value)'!A9:O233,9,0)</f>
        <v>-45</v>
      </c>
      <c r="R9" s="179">
        <f>VLOOKUP(A9,'OI(Value)'!A9:O233,11,0)</f>
        <v>454</v>
      </c>
      <c r="S9" s="179">
        <f>VLOOKUP(A9,'OI(Value)'!A9:O233,11,0)</f>
        <v>454</v>
      </c>
    </row>
    <row r="10" spans="1:19" x14ac:dyDescent="0.25">
      <c r="A10" s="105" t="str">
        <f>'Data Vlaue (Cr)'!C5</f>
        <v>ADANIENSOL</v>
      </c>
      <c r="B10" s="143">
        <f>VLOOKUP($A10,'Data shares'!$C:$FA,118)</f>
        <v>0.78</v>
      </c>
      <c r="C10" s="143">
        <f>VLOOKUP($A10,'Data shares'!$C:$FA,119)</f>
        <v>0.78</v>
      </c>
      <c r="D10" s="143">
        <f>VLOOKUP($A10,'Data shares'!$C:$FA,121)*100</f>
        <v>0</v>
      </c>
      <c r="E10" s="143">
        <f>VLOOKUP($A10,'Data shares'!$C:$FA,124)</f>
        <v>0.44</v>
      </c>
      <c r="F10" s="143">
        <f>VLOOKUP($A10,'Data shares'!$C:$FA,125)</f>
        <v>0.51</v>
      </c>
      <c r="G10" s="143">
        <f>VLOOKUP($A10,'Data shares'!$C:$FA,127)*100</f>
        <v>-13.73</v>
      </c>
      <c r="H10" s="103">
        <f>VLOOKUP($A10,'OI(Volume)'!$A$7:$O$445,8)</f>
        <v>5528925</v>
      </c>
      <c r="I10" s="103">
        <f>VLOOKUP($A10,'OI(Volume)'!$A$7:$O$445,9)</f>
        <v>167400</v>
      </c>
      <c r="J10" s="103">
        <f>VLOOKUP($A10,'OI(Volume)'!$A$7:$O$445,11)</f>
        <v>4300425</v>
      </c>
      <c r="K10" s="103">
        <f>VLOOKUP($A10,'OI(Volume)'!$A$7:$O$445,12)</f>
        <v>108000</v>
      </c>
      <c r="L10" s="103">
        <f>VLOOKUP($A10,'OI(Value)'!$A$7:$O$329,8,0)</f>
        <v>783</v>
      </c>
      <c r="M10" s="103">
        <f>VLOOKUP($A10,'OI(Value)'!$A$7:$O$329,9,0)</f>
        <v>24</v>
      </c>
      <c r="N10" s="103">
        <f>VLOOKUP($A10,'OI(Value)'!$A$7:$O$329,11,0)</f>
        <v>609</v>
      </c>
      <c r="O10" s="103">
        <f>VLOOKUP($A10,'OI(Value)'!$A$7:$O$329,12,0)</f>
        <v>15</v>
      </c>
      <c r="P10" s="179">
        <f>VLOOKUP(A10,'OI(Value)'!A10:O234,8,0)</f>
        <v>783</v>
      </c>
      <c r="Q10" s="179">
        <f>VLOOKUP(A10,'OI(Value)'!A10:O234,9,0)</f>
        <v>24</v>
      </c>
      <c r="R10" s="179">
        <f>VLOOKUP(A10,'OI(Value)'!A10:O234,11,0)</f>
        <v>609</v>
      </c>
      <c r="S10" s="179">
        <f>VLOOKUP(A10,'OI(Value)'!A10:O234,11,0)</f>
        <v>609</v>
      </c>
    </row>
    <row r="11" spans="1:19" x14ac:dyDescent="0.25">
      <c r="A11" s="105" t="str">
        <f>'Data Vlaue (Cr)'!C6</f>
        <v>ADANIENT</v>
      </c>
      <c r="B11" s="143">
        <f>VLOOKUP($A11,'Data shares'!$C:$FA,118)</f>
        <v>0.84</v>
      </c>
      <c r="C11" s="143">
        <f>VLOOKUP($A11,'Data shares'!$C:$FA,119)</f>
        <v>0.74</v>
      </c>
      <c r="D11" s="143">
        <f>VLOOKUP($A11,'Data shares'!$C:$FA,121)*100</f>
        <v>13.51</v>
      </c>
      <c r="E11" s="143">
        <f>VLOOKUP($A11,'Data shares'!$C:$FA,124)</f>
        <v>0.56999999999999995</v>
      </c>
      <c r="F11" s="143">
        <f>VLOOKUP($A11,'Data shares'!$C:$FA,125)</f>
        <v>0.72</v>
      </c>
      <c r="G11" s="143">
        <f>VLOOKUP($A11,'Data shares'!$C:$FA,127)*100</f>
        <v>-20.830000000000002</v>
      </c>
      <c r="H11" s="103">
        <f>VLOOKUP($A11,'OI(Volume)'!$A$7:$O$445,8)</f>
        <v>7301670</v>
      </c>
      <c r="I11" s="103">
        <f>VLOOKUP($A11,'OI(Volume)'!$A$7:$O$445,9)</f>
        <v>-286752</v>
      </c>
      <c r="J11" s="103">
        <f>VLOOKUP($A11,'OI(Volume)'!$A$7:$O$445,11)</f>
        <v>6136122</v>
      </c>
      <c r="K11" s="103">
        <f>VLOOKUP($A11,'OI(Volume)'!$A$7:$O$445,12)</f>
        <v>538896</v>
      </c>
      <c r="L11" s="103">
        <f>VLOOKUP($A11,'OI(Value)'!$A$7:$O$329,8,0)</f>
        <v>1864</v>
      </c>
      <c r="M11" s="103">
        <f>VLOOKUP($A11,'OI(Value)'!$A$7:$O$329,9,0)</f>
        <v>-73</v>
      </c>
      <c r="N11" s="103">
        <f>VLOOKUP($A11,'OI(Value)'!$A$7:$O$329,11,0)</f>
        <v>1567</v>
      </c>
      <c r="O11" s="103">
        <f>VLOOKUP($A11,'OI(Value)'!$A$7:$O$329,12,0)</f>
        <v>138</v>
      </c>
      <c r="P11" s="179">
        <f>VLOOKUP(A11,'OI(Value)'!A11:O235,8,0)</f>
        <v>1864</v>
      </c>
      <c r="Q11" s="179">
        <f>VLOOKUP(A11,'OI(Value)'!A11:O235,9,0)</f>
        <v>-73</v>
      </c>
      <c r="R11" s="179">
        <f>VLOOKUP(A11,'OI(Value)'!A11:O235,11,0)</f>
        <v>1567</v>
      </c>
      <c r="S11" s="179">
        <f>VLOOKUP(A11,'OI(Value)'!A11:O235,11,0)</f>
        <v>1567</v>
      </c>
    </row>
    <row r="12" spans="1:19" x14ac:dyDescent="0.25">
      <c r="A12" s="105" t="str">
        <f>'Data Vlaue (Cr)'!C7</f>
        <v>ADANIGREEN</v>
      </c>
      <c r="B12" s="143">
        <f>VLOOKUP($A12,'Data shares'!$C:$FA,118)</f>
        <v>0.72</v>
      </c>
      <c r="C12" s="143">
        <f>VLOOKUP($A12,'Data shares'!$C:$FA,119)</f>
        <v>0.72</v>
      </c>
      <c r="D12" s="143">
        <f>VLOOKUP($A12,'Data shares'!$C:$FA,121)*100</f>
        <v>0</v>
      </c>
      <c r="E12" s="143">
        <f>VLOOKUP($A12,'Data shares'!$C:$FA,124)</f>
        <v>0.42</v>
      </c>
      <c r="F12" s="143">
        <f>VLOOKUP($A12,'Data shares'!$C:$FA,125)</f>
        <v>0.43</v>
      </c>
      <c r="G12" s="143">
        <f>VLOOKUP($A12,'Data shares'!$C:$FA,127)*100</f>
        <v>-2.33</v>
      </c>
      <c r="H12" s="103">
        <f>VLOOKUP($A12,'OI(Volume)'!$A$7:$O$445,8)</f>
        <v>7850400</v>
      </c>
      <c r="I12" s="103">
        <f>VLOOKUP($A12,'OI(Volume)'!$A$7:$O$445,9)</f>
        <v>655200</v>
      </c>
      <c r="J12" s="103">
        <f>VLOOKUP($A12,'OI(Volume)'!$A$7:$O$445,11)</f>
        <v>5628600</v>
      </c>
      <c r="K12" s="103">
        <f>VLOOKUP($A12,'OI(Volume)'!$A$7:$O$445,12)</f>
        <v>412200</v>
      </c>
      <c r="L12" s="103">
        <f>VLOOKUP($A12,'OI(Value)'!$A$7:$O$329,8,0)</f>
        <v>1069</v>
      </c>
      <c r="M12" s="103">
        <f>VLOOKUP($A12,'OI(Value)'!$A$7:$O$329,9,0)</f>
        <v>89</v>
      </c>
      <c r="N12" s="103">
        <f>VLOOKUP($A12,'OI(Value)'!$A$7:$O$329,11,0)</f>
        <v>767</v>
      </c>
      <c r="O12" s="103">
        <f>VLOOKUP($A12,'OI(Value)'!$A$7:$O$329,12,0)</f>
        <v>56</v>
      </c>
      <c r="P12" s="179">
        <f>VLOOKUP(A12,'OI(Value)'!A12:O236,8,0)</f>
        <v>1069</v>
      </c>
      <c r="Q12" s="179">
        <f>VLOOKUP(A12,'OI(Value)'!A12:O236,9,0)</f>
        <v>89</v>
      </c>
      <c r="R12" s="179">
        <f>VLOOKUP(A12,'OI(Value)'!A12:O236,11,0)</f>
        <v>767</v>
      </c>
      <c r="S12" s="179">
        <f>VLOOKUP(A12,'OI(Value)'!A12:O236,11,0)</f>
        <v>767</v>
      </c>
    </row>
    <row r="13" spans="1:19" x14ac:dyDescent="0.25">
      <c r="A13" s="105" t="str">
        <f>'Data Vlaue (Cr)'!C8</f>
        <v>ADANIPORTS</v>
      </c>
      <c r="B13" s="143">
        <f>VLOOKUP($A13,'Data shares'!$C:$FA,118)</f>
        <v>0.79</v>
      </c>
      <c r="C13" s="143">
        <f>VLOOKUP($A13,'Data shares'!$C:$FA,119)</f>
        <v>0.76</v>
      </c>
      <c r="D13" s="143">
        <f>VLOOKUP($A13,'Data shares'!$C:$FA,121)*100</f>
        <v>3.95</v>
      </c>
      <c r="E13" s="143">
        <f>VLOOKUP($A13,'Data shares'!$C:$FA,124)</f>
        <v>0.57999999999999996</v>
      </c>
      <c r="F13" s="143">
        <f>VLOOKUP($A13,'Data shares'!$C:$FA,125)</f>
        <v>0.56000000000000005</v>
      </c>
      <c r="G13" s="143">
        <f>VLOOKUP($A13,'Data shares'!$C:$FA,127)*100</f>
        <v>3.5700000000000003</v>
      </c>
      <c r="H13" s="103">
        <f>VLOOKUP($A13,'OI(Volume)'!$A$7:$O$445,8)</f>
        <v>8611750</v>
      </c>
      <c r="I13" s="103">
        <f>VLOOKUP($A13,'OI(Volume)'!$A$7:$O$445,9)</f>
        <v>-93575</v>
      </c>
      <c r="J13" s="103">
        <f>VLOOKUP($A13,'OI(Volume)'!$A$7:$O$445,11)</f>
        <v>6781575</v>
      </c>
      <c r="K13" s="103">
        <f>VLOOKUP($A13,'OI(Volume)'!$A$7:$O$445,12)</f>
        <v>138225</v>
      </c>
      <c r="L13" s="103">
        <f>VLOOKUP($A13,'OI(Value)'!$A$7:$O$329,8,0)</f>
        <v>1514</v>
      </c>
      <c r="M13" s="103">
        <f>VLOOKUP($A13,'OI(Value)'!$A$7:$O$329,9,0)</f>
        <v>-16</v>
      </c>
      <c r="N13" s="103">
        <f>VLOOKUP($A13,'OI(Value)'!$A$7:$O$329,11,0)</f>
        <v>1192</v>
      </c>
      <c r="O13" s="103">
        <f>VLOOKUP($A13,'OI(Value)'!$A$7:$O$329,12,0)</f>
        <v>24</v>
      </c>
      <c r="P13" s="179">
        <f>VLOOKUP(A13,'OI(Value)'!A13:O237,8,0)</f>
        <v>1514</v>
      </c>
      <c r="Q13" s="179">
        <f>VLOOKUP(A13,'OI(Value)'!A13:O237,9,0)</f>
        <v>-16</v>
      </c>
      <c r="R13" s="179">
        <f>VLOOKUP(A13,'OI(Value)'!A13:O237,11,0)</f>
        <v>1192</v>
      </c>
      <c r="S13" s="179">
        <f>VLOOKUP(A13,'OI(Value)'!A13:O237,11,0)</f>
        <v>1192</v>
      </c>
    </row>
    <row r="14" spans="1:19" x14ac:dyDescent="0.25">
      <c r="A14" s="105" t="str">
        <f>'Data Vlaue (Cr)'!C9</f>
        <v>ADANIPOWER</v>
      </c>
      <c r="B14" s="143">
        <f>VLOOKUP($A14,'Data shares'!$C:$FA,118)</f>
        <v>0.7</v>
      </c>
      <c r="C14" s="143">
        <f>VLOOKUP($A14,'Data shares'!$C:$FA,119)</f>
        <v>0.68</v>
      </c>
      <c r="D14" s="143">
        <f>VLOOKUP($A14,'Data shares'!$C:$FA,121)*100</f>
        <v>2.94</v>
      </c>
      <c r="E14" s="143">
        <f>VLOOKUP($A14,'Data shares'!$C:$FA,124)</f>
        <v>0.43</v>
      </c>
      <c r="F14" s="143">
        <f>VLOOKUP($A14,'Data shares'!$C:$FA,125)</f>
        <v>0.34</v>
      </c>
      <c r="G14" s="143">
        <f>VLOOKUP($A14,'Data shares'!$C:$FA,127)*100</f>
        <v>26.47</v>
      </c>
      <c r="H14" s="103">
        <f>VLOOKUP($A14,'OI(Volume)'!$A$7:$O$445,8)</f>
        <v>33100200</v>
      </c>
      <c r="I14" s="103">
        <f>VLOOKUP($A14,'OI(Volume)'!$A$7:$O$445,9)</f>
        <v>1405800</v>
      </c>
      <c r="J14" s="103">
        <f>VLOOKUP($A14,'OI(Volume)'!$A$7:$O$445,11)</f>
        <v>23334150</v>
      </c>
      <c r="K14" s="103">
        <f>VLOOKUP($A14,'OI(Volume)'!$A$7:$O$445,12)</f>
        <v>1775000</v>
      </c>
      <c r="L14" s="103">
        <f>VLOOKUP($A14,'OI(Value)'!$A$7:$O$329,8,0)</f>
        <v>763</v>
      </c>
      <c r="M14" s="103">
        <f>VLOOKUP($A14,'OI(Value)'!$A$7:$O$329,9,0)</f>
        <v>32</v>
      </c>
      <c r="N14" s="103">
        <f>VLOOKUP($A14,'OI(Value)'!$A$7:$O$329,11,0)</f>
        <v>538</v>
      </c>
      <c r="O14" s="103">
        <f>VLOOKUP($A14,'OI(Value)'!$A$7:$O$329,12,0)</f>
        <v>41</v>
      </c>
      <c r="P14" s="179">
        <f>VLOOKUP(A14,'OI(Value)'!A14:O238,8,0)</f>
        <v>763</v>
      </c>
      <c r="Q14" s="179">
        <f>VLOOKUP(A14,'OI(Value)'!A14:O238,9,0)</f>
        <v>32</v>
      </c>
      <c r="R14" s="179">
        <f>VLOOKUP(A14,'OI(Value)'!A14:O238,11,0)</f>
        <v>538</v>
      </c>
      <c r="S14" s="179">
        <f>VLOOKUP(A14,'OI(Value)'!A14:O238,11,0)</f>
        <v>538</v>
      </c>
    </row>
    <row r="15" spans="1:19" x14ac:dyDescent="0.25">
      <c r="A15" s="105" t="str">
        <f>'Data Vlaue (Cr)'!C10</f>
        <v>ALKEM</v>
      </c>
      <c r="B15" s="143">
        <f>VLOOKUP($A15,'Data shares'!$C:$FA,118)</f>
        <v>0.65</v>
      </c>
      <c r="C15" s="143">
        <f>VLOOKUP($A15,'Data shares'!$C:$FA,119)</f>
        <v>0.7</v>
      </c>
      <c r="D15" s="143">
        <f>VLOOKUP($A15,'Data shares'!$C:$FA,121)*100</f>
        <v>-7.1400000000000006</v>
      </c>
      <c r="E15" s="143">
        <f>VLOOKUP($A15,'Data shares'!$C:$FA,124)</f>
        <v>0.28999999999999998</v>
      </c>
      <c r="F15" s="143">
        <f>VLOOKUP($A15,'Data shares'!$C:$FA,125)</f>
        <v>0.37</v>
      </c>
      <c r="G15" s="143">
        <f>VLOOKUP($A15,'Data shares'!$C:$FA,127)*100</f>
        <v>-21.62</v>
      </c>
      <c r="H15" s="103">
        <f>VLOOKUP($A15,'OI(Volume)'!$A$7:$O$445,8)</f>
        <v>245875</v>
      </c>
      <c r="I15" s="103">
        <f>VLOOKUP($A15,'OI(Volume)'!$A$7:$O$445,9)</f>
        <v>29875</v>
      </c>
      <c r="J15" s="103">
        <f>VLOOKUP($A15,'OI(Volume)'!$A$7:$O$445,11)</f>
        <v>160750</v>
      </c>
      <c r="K15" s="103">
        <f>VLOOKUP($A15,'OI(Volume)'!$A$7:$O$445,12)</f>
        <v>10500</v>
      </c>
      <c r="L15" s="103">
        <f>VLOOKUP($A15,'OI(Value)'!$A$7:$O$329,8,0)</f>
        <v>136</v>
      </c>
      <c r="M15" s="103">
        <f>VLOOKUP($A15,'OI(Value)'!$A$7:$O$329,9,0)</f>
        <v>17</v>
      </c>
      <c r="N15" s="103">
        <f>VLOOKUP($A15,'OI(Value)'!$A$7:$O$329,11,0)</f>
        <v>89</v>
      </c>
      <c r="O15" s="103">
        <f>VLOOKUP($A15,'OI(Value)'!$A$7:$O$329,12,0)</f>
        <v>6</v>
      </c>
      <c r="P15" s="179">
        <f>VLOOKUP(A15,'OI(Value)'!A15:O239,8,0)</f>
        <v>136</v>
      </c>
      <c r="Q15" s="179">
        <f>VLOOKUP(A15,'OI(Value)'!A15:O239,9,0)</f>
        <v>17</v>
      </c>
      <c r="R15" s="179">
        <f>VLOOKUP(A15,'OI(Value)'!A15:O239,11,0)</f>
        <v>89</v>
      </c>
      <c r="S15" s="179">
        <f>VLOOKUP(A15,'OI(Value)'!A15:O239,11,0)</f>
        <v>89</v>
      </c>
    </row>
    <row r="16" spans="1:19" x14ac:dyDescent="0.25">
      <c r="A16" s="105" t="str">
        <f>'Data Vlaue (Cr)'!C11</f>
        <v>AMBER</v>
      </c>
      <c r="B16" s="143">
        <f>VLOOKUP($A16,'Data shares'!$C:$FA,118)</f>
        <v>0.51</v>
      </c>
      <c r="C16" s="143">
        <f>VLOOKUP($A16,'Data shares'!$C:$FA,119)</f>
        <v>0.5</v>
      </c>
      <c r="D16" s="143">
        <f>VLOOKUP($A16,'Data shares'!$C:$FA,121)*100</f>
        <v>2</v>
      </c>
      <c r="E16" s="143">
        <f>VLOOKUP($A16,'Data shares'!$C:$FA,124)</f>
        <v>0.4</v>
      </c>
      <c r="F16" s="143">
        <f>VLOOKUP($A16,'Data shares'!$C:$FA,125)</f>
        <v>0.35</v>
      </c>
      <c r="G16" s="143">
        <f>VLOOKUP($A16,'Data shares'!$C:$FA,127)*100</f>
        <v>14.29</v>
      </c>
      <c r="H16" s="103">
        <f>VLOOKUP($A16,'OI(Volume)'!$A$7:$O$445,8)</f>
        <v>849400</v>
      </c>
      <c r="I16" s="103">
        <f>VLOOKUP($A16,'OI(Volume)'!$A$7:$O$445,9)</f>
        <v>386400</v>
      </c>
      <c r="J16" s="103">
        <f>VLOOKUP($A16,'OI(Volume)'!$A$7:$O$445,11)</f>
        <v>429100</v>
      </c>
      <c r="K16" s="103">
        <f>VLOOKUP($A16,'OI(Volume)'!$A$7:$O$445,12)</f>
        <v>195800</v>
      </c>
      <c r="L16" s="103">
        <f>VLOOKUP($A16,'OI(Value)'!$A$7:$O$329,8,0)</f>
        <v>742</v>
      </c>
      <c r="M16" s="103">
        <f>VLOOKUP($A16,'OI(Value)'!$A$7:$O$329,9,0)</f>
        <v>338</v>
      </c>
      <c r="N16" s="103">
        <f>VLOOKUP($A16,'OI(Value)'!$A$7:$O$329,11,0)</f>
        <v>375</v>
      </c>
      <c r="O16" s="103">
        <f>VLOOKUP($A16,'OI(Value)'!$A$7:$O$329,12,0)</f>
        <v>171</v>
      </c>
      <c r="P16" s="179">
        <f>VLOOKUP(A16,'OI(Value)'!A16:O240,8,0)</f>
        <v>742</v>
      </c>
      <c r="Q16" s="179">
        <f>VLOOKUP(A16,'OI(Value)'!A16:O240,9,0)</f>
        <v>338</v>
      </c>
      <c r="R16" s="179">
        <f>VLOOKUP(A16,'OI(Value)'!A16:O240,11,0)</f>
        <v>375</v>
      </c>
      <c r="S16" s="179">
        <f>VLOOKUP(A16,'OI(Value)'!A16:O240,11,0)</f>
        <v>375</v>
      </c>
    </row>
    <row r="17" spans="1:19" x14ac:dyDescent="0.25">
      <c r="A17" s="105" t="str">
        <f>'Data Vlaue (Cr)'!C12</f>
        <v>AMBUJACEM</v>
      </c>
      <c r="B17" s="143">
        <f>VLOOKUP($A17,'Data shares'!$C:$FA,118)</f>
        <v>0.56999999999999995</v>
      </c>
      <c r="C17" s="143">
        <f>VLOOKUP($A17,'Data shares'!$C:$FA,119)</f>
        <v>0.54</v>
      </c>
      <c r="D17" s="143">
        <f>VLOOKUP($A17,'Data shares'!$C:$FA,121)*100</f>
        <v>5.56</v>
      </c>
      <c r="E17" s="143">
        <f>VLOOKUP($A17,'Data shares'!$C:$FA,124)</f>
        <v>0.33</v>
      </c>
      <c r="F17" s="143">
        <f>VLOOKUP($A17,'Data shares'!$C:$FA,125)</f>
        <v>0.45</v>
      </c>
      <c r="G17" s="143">
        <f>VLOOKUP($A17,'Data shares'!$C:$FA,127)*100</f>
        <v>-26.669999999999998</v>
      </c>
      <c r="H17" s="103">
        <f>VLOOKUP($A17,'OI(Volume)'!$A$7:$O$445,8)</f>
        <v>21333900</v>
      </c>
      <c r="I17" s="103">
        <f>VLOOKUP($A17,'OI(Volume)'!$A$7:$O$445,9)</f>
        <v>-108150</v>
      </c>
      <c r="J17" s="103">
        <f>VLOOKUP($A17,'OI(Volume)'!$A$7:$O$445,11)</f>
        <v>12153900</v>
      </c>
      <c r="K17" s="103">
        <f>VLOOKUP($A17,'OI(Volume)'!$A$7:$O$445,12)</f>
        <v>554550</v>
      </c>
      <c r="L17" s="103">
        <f>VLOOKUP($A17,'OI(Value)'!$A$7:$O$329,8,0)</f>
        <v>958</v>
      </c>
      <c r="M17" s="103">
        <f>VLOOKUP($A17,'OI(Value)'!$A$7:$O$329,9,0)</f>
        <v>-5</v>
      </c>
      <c r="N17" s="103">
        <f>VLOOKUP($A17,'OI(Value)'!$A$7:$O$329,11,0)</f>
        <v>546</v>
      </c>
      <c r="O17" s="103">
        <f>VLOOKUP($A17,'OI(Value)'!$A$7:$O$329,12,0)</f>
        <v>25</v>
      </c>
      <c r="P17" s="179">
        <f>VLOOKUP(A17,'OI(Value)'!A17:O241,8,0)</f>
        <v>958</v>
      </c>
      <c r="Q17" s="179">
        <f>VLOOKUP(A17,'OI(Value)'!A17:O241,9,0)</f>
        <v>-5</v>
      </c>
      <c r="R17" s="179">
        <f>VLOOKUP(A17,'OI(Value)'!A17:O241,11,0)</f>
        <v>546</v>
      </c>
      <c r="S17" s="179">
        <f>VLOOKUP(A17,'OI(Value)'!A17:O241,11,0)</f>
        <v>546</v>
      </c>
    </row>
    <row r="18" spans="1:19" x14ac:dyDescent="0.25">
      <c r="A18" s="105" t="str">
        <f>'Data Vlaue (Cr)'!C13</f>
        <v>ANGELONE</v>
      </c>
      <c r="B18" s="143">
        <f>VLOOKUP($A18,'Data shares'!$C:$FA,118)</f>
        <v>0.49</v>
      </c>
      <c r="C18" s="143">
        <f>VLOOKUP($A18,'Data shares'!$C:$FA,119)</f>
        <v>0.52</v>
      </c>
      <c r="D18" s="143">
        <f>VLOOKUP($A18,'Data shares'!$C:$FA,121)*100</f>
        <v>-5.7700000000000005</v>
      </c>
      <c r="E18" s="143">
        <f>VLOOKUP($A18,'Data shares'!$C:$FA,124)</f>
        <v>0.32</v>
      </c>
      <c r="F18" s="143">
        <f>VLOOKUP($A18,'Data shares'!$C:$FA,125)</f>
        <v>0.42</v>
      </c>
      <c r="G18" s="143">
        <f>VLOOKUP($A18,'Data shares'!$C:$FA,127)*100</f>
        <v>-23.810000000000002</v>
      </c>
      <c r="H18" s="103">
        <f>VLOOKUP($A18,'OI(Volume)'!$A$7:$O$445,8)</f>
        <v>15965000</v>
      </c>
      <c r="I18" s="103">
        <f>VLOOKUP($A18,'OI(Volume)'!$A$7:$O$445,9)</f>
        <v>1147500</v>
      </c>
      <c r="J18" s="103">
        <f>VLOOKUP($A18,'OI(Volume)'!$A$7:$O$445,11)</f>
        <v>7890000</v>
      </c>
      <c r="K18" s="103">
        <f>VLOOKUP($A18,'OI(Volume)'!$A$7:$O$445,12)</f>
        <v>255000</v>
      </c>
      <c r="L18" s="103">
        <f>VLOOKUP($A18,'OI(Value)'!$A$7:$O$329,8,0)</f>
        <v>508</v>
      </c>
      <c r="M18" s="103">
        <f>VLOOKUP($A18,'OI(Value)'!$A$7:$O$329,9,0)</f>
        <v>37</v>
      </c>
      <c r="N18" s="103">
        <f>VLOOKUP($A18,'OI(Value)'!$A$7:$O$329,11,0)</f>
        <v>251</v>
      </c>
      <c r="O18" s="103">
        <f>VLOOKUP($A18,'OI(Value)'!$A$7:$O$329,12,0)</f>
        <v>8</v>
      </c>
      <c r="P18" s="179">
        <f>VLOOKUP(A18,'OI(Value)'!A18:O242,8,0)</f>
        <v>508</v>
      </c>
      <c r="Q18" s="179">
        <f>VLOOKUP(A18,'OI(Value)'!A18:O242,9,0)</f>
        <v>37</v>
      </c>
      <c r="R18" s="179">
        <f>VLOOKUP(A18,'OI(Value)'!A18:O242,11,0)</f>
        <v>251</v>
      </c>
      <c r="S18" s="179">
        <f>VLOOKUP(A18,'OI(Value)'!A18:O242,11,0)</f>
        <v>251</v>
      </c>
    </row>
    <row r="19" spans="1:19" x14ac:dyDescent="0.25">
      <c r="A19" s="105" t="str">
        <f>'Data Vlaue (Cr)'!C14</f>
        <v>APLAPOLLO</v>
      </c>
      <c r="B19" s="143">
        <f>VLOOKUP($A19,'Data shares'!$C:$FA,118)</f>
        <v>0.53</v>
      </c>
      <c r="C19" s="143">
        <f>VLOOKUP($A19,'Data shares'!$C:$FA,119)</f>
        <v>0.55000000000000004</v>
      </c>
      <c r="D19" s="143">
        <f>VLOOKUP($A19,'Data shares'!$C:$FA,121)*100</f>
        <v>-3.64</v>
      </c>
      <c r="E19" s="143">
        <f>VLOOKUP($A19,'Data shares'!$C:$FA,124)</f>
        <v>0.26</v>
      </c>
      <c r="F19" s="143">
        <f>VLOOKUP($A19,'Data shares'!$C:$FA,125)</f>
        <v>0.52</v>
      </c>
      <c r="G19" s="143">
        <f>VLOOKUP($A19,'Data shares'!$C:$FA,127)*100</f>
        <v>-50</v>
      </c>
      <c r="H19" s="103">
        <f>VLOOKUP($A19,'OI(Volume)'!$A$7:$O$445,8)</f>
        <v>1899100</v>
      </c>
      <c r="I19" s="103">
        <f>VLOOKUP($A19,'OI(Volume)'!$A$7:$O$445,9)</f>
        <v>107450</v>
      </c>
      <c r="J19" s="103">
        <f>VLOOKUP($A19,'OI(Volume)'!$A$7:$O$445,11)</f>
        <v>999600</v>
      </c>
      <c r="K19" s="103">
        <f>VLOOKUP($A19,'OI(Volume)'!$A$7:$O$445,12)</f>
        <v>14000</v>
      </c>
      <c r="L19" s="103">
        <f>VLOOKUP($A19,'OI(Value)'!$A$7:$O$329,8,0)</f>
        <v>366</v>
      </c>
      <c r="M19" s="103">
        <f>VLOOKUP($A19,'OI(Value)'!$A$7:$O$329,9,0)</f>
        <v>21</v>
      </c>
      <c r="N19" s="103">
        <f>VLOOKUP($A19,'OI(Value)'!$A$7:$O$329,11,0)</f>
        <v>193</v>
      </c>
      <c r="O19" s="103">
        <f>VLOOKUP($A19,'OI(Value)'!$A$7:$O$329,12,0)</f>
        <v>3</v>
      </c>
      <c r="P19" s="179">
        <f>VLOOKUP(A19,'OI(Value)'!A19:O243,8,0)</f>
        <v>366</v>
      </c>
      <c r="Q19" s="179">
        <f>VLOOKUP(A19,'OI(Value)'!A19:O243,9,0)</f>
        <v>21</v>
      </c>
      <c r="R19" s="179">
        <f>VLOOKUP(A19,'OI(Value)'!A19:O243,11,0)</f>
        <v>193</v>
      </c>
      <c r="S19" s="179">
        <f>VLOOKUP(A19,'OI(Value)'!A19:O243,11,0)</f>
        <v>193</v>
      </c>
    </row>
    <row r="20" spans="1:19" x14ac:dyDescent="0.25">
      <c r="A20" s="105" t="str">
        <f>'Data Vlaue (Cr)'!C15</f>
        <v>APOLLOHOSP</v>
      </c>
      <c r="B20" s="143">
        <f>VLOOKUP($A20,'Data shares'!$C:$FA,118)</f>
        <v>0.6</v>
      </c>
      <c r="C20" s="143">
        <f>VLOOKUP($A20,'Data shares'!$C:$FA,119)</f>
        <v>0.63</v>
      </c>
      <c r="D20" s="143">
        <f>VLOOKUP($A20,'Data shares'!$C:$FA,121)*100</f>
        <v>-4.7600000000000007</v>
      </c>
      <c r="E20" s="143">
        <f>VLOOKUP($A20,'Data shares'!$C:$FA,124)</f>
        <v>0.41</v>
      </c>
      <c r="F20" s="143">
        <f>VLOOKUP($A20,'Data shares'!$C:$FA,125)</f>
        <v>0.53</v>
      </c>
      <c r="G20" s="143">
        <f>VLOOKUP($A20,'Data shares'!$C:$FA,127)*100</f>
        <v>-22.64</v>
      </c>
      <c r="H20" s="103">
        <f>VLOOKUP($A20,'OI(Volume)'!$A$7:$O$445,8)</f>
        <v>770500</v>
      </c>
      <c r="I20" s="103">
        <f>VLOOKUP($A20,'OI(Volume)'!$A$7:$O$445,9)</f>
        <v>64000</v>
      </c>
      <c r="J20" s="103">
        <f>VLOOKUP($A20,'OI(Volume)'!$A$7:$O$445,11)</f>
        <v>460875</v>
      </c>
      <c r="K20" s="103">
        <f>VLOOKUP($A20,'OI(Volume)'!$A$7:$O$445,12)</f>
        <v>17875</v>
      </c>
      <c r="L20" s="103">
        <f>VLOOKUP($A20,'OI(Value)'!$A$7:$O$329,8,0)</f>
        <v>602</v>
      </c>
      <c r="M20" s="103">
        <f>VLOOKUP($A20,'OI(Value)'!$A$7:$O$329,9,0)</f>
        <v>50</v>
      </c>
      <c r="N20" s="103">
        <f>VLOOKUP($A20,'OI(Value)'!$A$7:$O$329,11,0)</f>
        <v>360</v>
      </c>
      <c r="O20" s="103">
        <f>VLOOKUP($A20,'OI(Value)'!$A$7:$O$329,12,0)</f>
        <v>14</v>
      </c>
      <c r="P20" s="179">
        <f>VLOOKUP(A20,'OI(Value)'!A20:O244,8,0)</f>
        <v>602</v>
      </c>
      <c r="Q20" s="179">
        <f>VLOOKUP(A20,'OI(Value)'!A20:O244,9,0)</f>
        <v>50</v>
      </c>
      <c r="R20" s="179">
        <f>VLOOKUP(A20,'OI(Value)'!A20:O244,11,0)</f>
        <v>360</v>
      </c>
      <c r="S20" s="179">
        <f>VLOOKUP(A20,'OI(Value)'!A20:O244,11,0)</f>
        <v>360</v>
      </c>
    </row>
    <row r="21" spans="1:19" x14ac:dyDescent="0.25">
      <c r="A21" s="105" t="str">
        <f>'Data Vlaue (Cr)'!C16</f>
        <v>ASHOKLEY</v>
      </c>
      <c r="B21" s="143">
        <f>VLOOKUP($A21,'Data shares'!$C:$FA,118)</f>
        <v>0.56000000000000005</v>
      </c>
      <c r="C21" s="143">
        <f>VLOOKUP($A21,'Data shares'!$C:$FA,119)</f>
        <v>0.56999999999999995</v>
      </c>
      <c r="D21" s="143">
        <f>VLOOKUP($A21,'Data shares'!$C:$FA,121)*100</f>
        <v>-1.7500000000000002</v>
      </c>
      <c r="E21" s="143">
        <f>VLOOKUP($A21,'Data shares'!$C:$FA,124)</f>
        <v>0.33</v>
      </c>
      <c r="F21" s="143">
        <f>VLOOKUP($A21,'Data shares'!$C:$FA,125)</f>
        <v>0.56999999999999995</v>
      </c>
      <c r="G21" s="143">
        <f>VLOOKUP($A21,'Data shares'!$C:$FA,127)*100</f>
        <v>-42.11</v>
      </c>
      <c r="H21" s="103">
        <f>VLOOKUP($A21,'OI(Volume)'!$A$7:$O$445,8)</f>
        <v>91810000</v>
      </c>
      <c r="I21" s="103">
        <f>VLOOKUP($A21,'OI(Volume)'!$A$7:$O$445,9)</f>
        <v>3850000</v>
      </c>
      <c r="J21" s="103">
        <f>VLOOKUP($A21,'OI(Volume)'!$A$7:$O$445,11)</f>
        <v>51400000</v>
      </c>
      <c r="K21" s="103">
        <f>VLOOKUP($A21,'OI(Volume)'!$A$7:$O$445,12)</f>
        <v>930000</v>
      </c>
      <c r="L21" s="103">
        <f>VLOOKUP($A21,'OI(Value)'!$A$7:$O$329,8,0)</f>
        <v>1550</v>
      </c>
      <c r="M21" s="103">
        <f>VLOOKUP($A21,'OI(Value)'!$A$7:$O$329,9,0)</f>
        <v>65</v>
      </c>
      <c r="N21" s="103">
        <f>VLOOKUP($A21,'OI(Value)'!$A$7:$O$329,11,0)</f>
        <v>868</v>
      </c>
      <c r="O21" s="103">
        <f>VLOOKUP($A21,'OI(Value)'!$A$7:$O$329,12,0)</f>
        <v>16</v>
      </c>
      <c r="P21" s="179">
        <f>VLOOKUP(A21,'OI(Value)'!A21:O245,8,0)</f>
        <v>1550</v>
      </c>
      <c r="Q21" s="179">
        <f>VLOOKUP(A21,'OI(Value)'!A21:O245,9,0)</f>
        <v>65</v>
      </c>
      <c r="R21" s="179">
        <f>VLOOKUP(A21,'OI(Value)'!A21:O245,11,0)</f>
        <v>868</v>
      </c>
      <c r="S21" s="179">
        <f>VLOOKUP(A21,'OI(Value)'!A21:O245,11,0)</f>
        <v>868</v>
      </c>
    </row>
    <row r="22" spans="1:19" x14ac:dyDescent="0.25">
      <c r="A22" s="105" t="str">
        <f>'Data Vlaue (Cr)'!C17</f>
        <v>ASIANPAINT</v>
      </c>
      <c r="B22" s="143">
        <f>VLOOKUP($A22,'Data shares'!$C:$FA,118)</f>
        <v>0.78</v>
      </c>
      <c r="C22" s="143">
        <f>VLOOKUP($A22,'Data shares'!$C:$FA,119)</f>
        <v>0.85</v>
      </c>
      <c r="D22" s="143">
        <f>VLOOKUP($A22,'Data shares'!$C:$FA,121)*100</f>
        <v>-8.24</v>
      </c>
      <c r="E22" s="143">
        <f>VLOOKUP($A22,'Data shares'!$C:$FA,124)</f>
        <v>0.6</v>
      </c>
      <c r="F22" s="143">
        <f>VLOOKUP($A22,'Data shares'!$C:$FA,125)</f>
        <v>0.72</v>
      </c>
      <c r="G22" s="143">
        <f>VLOOKUP($A22,'Data shares'!$C:$FA,127)*100</f>
        <v>-16.669999999999998</v>
      </c>
      <c r="H22" s="103">
        <f>VLOOKUP($A22,'OI(Volume)'!$A$7:$O$445,8)</f>
        <v>4351000</v>
      </c>
      <c r="I22" s="103">
        <f>VLOOKUP($A22,'OI(Volume)'!$A$7:$O$445,9)</f>
        <v>468250</v>
      </c>
      <c r="J22" s="103">
        <f>VLOOKUP($A22,'OI(Volume)'!$A$7:$O$445,11)</f>
        <v>3411000</v>
      </c>
      <c r="K22" s="103">
        <f>VLOOKUP($A22,'OI(Volume)'!$A$7:$O$445,12)</f>
        <v>99750</v>
      </c>
      <c r="L22" s="103">
        <f>VLOOKUP($A22,'OI(Value)'!$A$7:$O$329,8,0)</f>
        <v>1101</v>
      </c>
      <c r="M22" s="103">
        <f>VLOOKUP($A22,'OI(Value)'!$A$7:$O$329,9,0)</f>
        <v>118</v>
      </c>
      <c r="N22" s="103">
        <f>VLOOKUP($A22,'OI(Value)'!$A$7:$O$329,11,0)</f>
        <v>863</v>
      </c>
      <c r="O22" s="103">
        <f>VLOOKUP($A22,'OI(Value)'!$A$7:$O$329,12,0)</f>
        <v>25</v>
      </c>
      <c r="P22" s="179">
        <f>VLOOKUP(A22,'OI(Value)'!A22:O246,8,0)</f>
        <v>1101</v>
      </c>
      <c r="Q22" s="179">
        <f>VLOOKUP(A22,'OI(Value)'!A22:O246,9,0)</f>
        <v>118</v>
      </c>
      <c r="R22" s="179">
        <f>VLOOKUP(A22,'OI(Value)'!A22:O246,11,0)</f>
        <v>863</v>
      </c>
      <c r="S22" s="179">
        <f>VLOOKUP(A22,'OI(Value)'!A22:O246,11,0)</f>
        <v>863</v>
      </c>
    </row>
    <row r="23" spans="1:19" x14ac:dyDescent="0.25">
      <c r="A23" s="105" t="str">
        <f>'Data Vlaue (Cr)'!C18</f>
        <v>ASTRAL</v>
      </c>
      <c r="B23" s="143">
        <f>VLOOKUP($A23,'Data shares'!$C:$FA,118)</f>
        <v>0.57999999999999996</v>
      </c>
      <c r="C23" s="143">
        <f>VLOOKUP($A23,'Data shares'!$C:$FA,119)</f>
        <v>0.6</v>
      </c>
      <c r="D23" s="143">
        <f>VLOOKUP($A23,'Data shares'!$C:$FA,121)*100</f>
        <v>-3.3300000000000005</v>
      </c>
      <c r="E23" s="143">
        <f>VLOOKUP($A23,'Data shares'!$C:$FA,124)</f>
        <v>0.31</v>
      </c>
      <c r="F23" s="143">
        <f>VLOOKUP($A23,'Data shares'!$C:$FA,125)</f>
        <v>0.35</v>
      </c>
      <c r="G23" s="143">
        <f>VLOOKUP($A23,'Data shares'!$C:$FA,127)*100</f>
        <v>-11.43</v>
      </c>
      <c r="H23" s="103">
        <f>VLOOKUP($A23,'OI(Volume)'!$A$7:$O$445,8)</f>
        <v>1773950</v>
      </c>
      <c r="I23" s="103">
        <f>VLOOKUP($A23,'OI(Volume)'!$A$7:$O$445,9)</f>
        <v>186575</v>
      </c>
      <c r="J23" s="103">
        <f>VLOOKUP($A23,'OI(Volume)'!$A$7:$O$445,11)</f>
        <v>1023825</v>
      </c>
      <c r="K23" s="103">
        <f>VLOOKUP($A23,'OI(Volume)'!$A$7:$O$445,12)</f>
        <v>64175</v>
      </c>
      <c r="L23" s="103">
        <f>VLOOKUP($A23,'OI(Value)'!$A$7:$O$329,8,0)</f>
        <v>281</v>
      </c>
      <c r="M23" s="103">
        <f>VLOOKUP($A23,'OI(Value)'!$A$7:$O$329,9,0)</f>
        <v>30</v>
      </c>
      <c r="N23" s="103">
        <f>VLOOKUP($A23,'OI(Value)'!$A$7:$O$329,11,0)</f>
        <v>162</v>
      </c>
      <c r="O23" s="103">
        <f>VLOOKUP($A23,'OI(Value)'!$A$7:$O$329,12,0)</f>
        <v>10</v>
      </c>
      <c r="P23" s="179">
        <f>VLOOKUP(A23,'OI(Value)'!A23:O247,8,0)</f>
        <v>281</v>
      </c>
      <c r="Q23" s="179">
        <f>VLOOKUP(A23,'OI(Value)'!A23:O247,9,0)</f>
        <v>30</v>
      </c>
      <c r="R23" s="179">
        <f>VLOOKUP(A23,'OI(Value)'!A23:O247,11,0)</f>
        <v>162</v>
      </c>
      <c r="S23" s="179">
        <f>VLOOKUP(A23,'OI(Value)'!A23:O247,11,0)</f>
        <v>162</v>
      </c>
    </row>
    <row r="24" spans="1:19" x14ac:dyDescent="0.25">
      <c r="A24" s="105" t="str">
        <f>'Data Vlaue (Cr)'!C19</f>
        <v>AUBANK</v>
      </c>
      <c r="B24" s="143">
        <f>VLOOKUP($A24,'Data shares'!$C:$FA,118)</f>
        <v>0.55000000000000004</v>
      </c>
      <c r="C24" s="143">
        <f>VLOOKUP($A24,'Data shares'!$C:$FA,119)</f>
        <v>0.52</v>
      </c>
      <c r="D24" s="143">
        <f>VLOOKUP($A24,'Data shares'!$C:$FA,121)*100</f>
        <v>5.7700000000000005</v>
      </c>
      <c r="E24" s="143">
        <f>VLOOKUP($A24,'Data shares'!$C:$FA,124)</f>
        <v>0.43</v>
      </c>
      <c r="F24" s="143">
        <f>VLOOKUP($A24,'Data shares'!$C:$FA,125)</f>
        <v>0.41</v>
      </c>
      <c r="G24" s="143">
        <f>VLOOKUP($A24,'Data shares'!$C:$FA,127)*100</f>
        <v>4.88</v>
      </c>
      <c r="H24" s="103">
        <f>VLOOKUP($A24,'OI(Volume)'!$A$7:$O$445,8)</f>
        <v>8129000</v>
      </c>
      <c r="I24" s="103">
        <f>VLOOKUP($A24,'OI(Volume)'!$A$7:$O$445,9)</f>
        <v>-30000</v>
      </c>
      <c r="J24" s="103">
        <f>VLOOKUP($A24,'OI(Volume)'!$A$7:$O$445,11)</f>
        <v>4473000</v>
      </c>
      <c r="K24" s="103">
        <f>VLOOKUP($A24,'OI(Volume)'!$A$7:$O$445,12)</f>
        <v>197000</v>
      </c>
      <c r="L24" s="103">
        <f>VLOOKUP($A24,'OI(Value)'!$A$7:$O$329,8,0)</f>
        <v>838</v>
      </c>
      <c r="M24" s="103">
        <f>VLOOKUP($A24,'OI(Value)'!$A$7:$O$329,9,0)</f>
        <v>-3</v>
      </c>
      <c r="N24" s="103">
        <f>VLOOKUP($A24,'OI(Value)'!$A$7:$O$329,11,0)</f>
        <v>461</v>
      </c>
      <c r="O24" s="103">
        <f>VLOOKUP($A24,'OI(Value)'!$A$7:$O$329,12,0)</f>
        <v>20</v>
      </c>
      <c r="P24" s="179">
        <f>VLOOKUP(A24,'OI(Value)'!A24:O248,8,0)</f>
        <v>838</v>
      </c>
      <c r="Q24" s="179">
        <f>VLOOKUP(A24,'OI(Value)'!A24:O248,9,0)</f>
        <v>-3</v>
      </c>
      <c r="R24" s="179">
        <f>VLOOKUP(A24,'OI(Value)'!A24:O248,11,0)</f>
        <v>461</v>
      </c>
      <c r="S24" s="179">
        <f>VLOOKUP(A24,'OI(Value)'!A24:O248,11,0)</f>
        <v>461</v>
      </c>
    </row>
    <row r="25" spans="1:19" x14ac:dyDescent="0.25">
      <c r="A25" s="105" t="str">
        <f>'Data Vlaue (Cr)'!C20</f>
        <v>AUROPHARMA</v>
      </c>
      <c r="B25" s="143">
        <f>VLOOKUP($A25,'Data shares'!$C:$FA,118)</f>
        <v>0.8</v>
      </c>
      <c r="C25" s="143">
        <f>VLOOKUP($A25,'Data shares'!$C:$FA,119)</f>
        <v>0.6</v>
      </c>
      <c r="D25" s="143">
        <f>VLOOKUP($A25,'Data shares'!$C:$FA,121)*100</f>
        <v>33.33</v>
      </c>
      <c r="E25" s="143">
        <f>VLOOKUP($A25,'Data shares'!$C:$FA,124)</f>
        <v>0.41</v>
      </c>
      <c r="F25" s="143">
        <f>VLOOKUP($A25,'Data shares'!$C:$FA,125)</f>
        <v>0.25</v>
      </c>
      <c r="G25" s="143">
        <f>VLOOKUP($A25,'Data shares'!$C:$FA,127)*100</f>
        <v>64</v>
      </c>
      <c r="H25" s="103">
        <f>VLOOKUP($A25,'OI(Volume)'!$A$7:$O$445,8)</f>
        <v>3065150</v>
      </c>
      <c r="I25" s="103">
        <f>VLOOKUP($A25,'OI(Volume)'!$A$7:$O$445,9)</f>
        <v>221650</v>
      </c>
      <c r="J25" s="103">
        <f>VLOOKUP($A25,'OI(Volume)'!$A$7:$O$445,11)</f>
        <v>2463450</v>
      </c>
      <c r="K25" s="103">
        <f>VLOOKUP($A25,'OI(Volume)'!$A$7:$O$445,12)</f>
        <v>769450</v>
      </c>
      <c r="L25" s="103">
        <f>VLOOKUP($A25,'OI(Value)'!$A$7:$O$329,8,0)</f>
        <v>457</v>
      </c>
      <c r="M25" s="103">
        <f>VLOOKUP($A25,'OI(Value)'!$A$7:$O$329,9,0)</f>
        <v>33</v>
      </c>
      <c r="N25" s="103">
        <f>VLOOKUP($A25,'OI(Value)'!$A$7:$O$329,11,0)</f>
        <v>367</v>
      </c>
      <c r="O25" s="103">
        <f>VLOOKUP($A25,'OI(Value)'!$A$7:$O$329,12,0)</f>
        <v>115</v>
      </c>
      <c r="P25" s="179">
        <f>VLOOKUP(A25,'OI(Value)'!A25:O249,8,0)</f>
        <v>457</v>
      </c>
      <c r="Q25" s="179">
        <f>VLOOKUP(A25,'OI(Value)'!A25:O249,9,0)</f>
        <v>33</v>
      </c>
      <c r="R25" s="179">
        <f>VLOOKUP(A25,'OI(Value)'!A25:O249,11,0)</f>
        <v>367</v>
      </c>
      <c r="S25" s="179">
        <f>VLOOKUP(A25,'OI(Value)'!A25:O249,11,0)</f>
        <v>367</v>
      </c>
    </row>
    <row r="26" spans="1:19" x14ac:dyDescent="0.25">
      <c r="A26" s="105" t="str">
        <f>'Data Vlaue (Cr)'!C21</f>
        <v>AXISBANK</v>
      </c>
      <c r="B26" s="143">
        <f>VLOOKUP($A26,'Data shares'!$C:$FA,118)</f>
        <v>0.73</v>
      </c>
      <c r="C26" s="143">
        <f>VLOOKUP($A26,'Data shares'!$C:$FA,119)</f>
        <v>0.66</v>
      </c>
      <c r="D26" s="143">
        <f>VLOOKUP($A26,'Data shares'!$C:$FA,121)*100</f>
        <v>10.61</v>
      </c>
      <c r="E26" s="143">
        <f>VLOOKUP($A26,'Data shares'!$C:$FA,124)</f>
        <v>0.56000000000000005</v>
      </c>
      <c r="F26" s="143">
        <f>VLOOKUP($A26,'Data shares'!$C:$FA,125)</f>
        <v>0.48</v>
      </c>
      <c r="G26" s="143">
        <f>VLOOKUP($A26,'Data shares'!$C:$FA,127)*100</f>
        <v>16.669999999999998</v>
      </c>
      <c r="H26" s="103">
        <f>VLOOKUP($A26,'OI(Volume)'!$A$7:$O$445,8)</f>
        <v>15970000</v>
      </c>
      <c r="I26" s="103">
        <f>VLOOKUP($A26,'OI(Volume)'!$A$7:$O$445,9)</f>
        <v>-891875</v>
      </c>
      <c r="J26" s="103">
        <f>VLOOKUP($A26,'OI(Volume)'!$A$7:$O$445,11)</f>
        <v>11578750</v>
      </c>
      <c r="K26" s="103">
        <f>VLOOKUP($A26,'OI(Volume)'!$A$7:$O$445,12)</f>
        <v>396250</v>
      </c>
      <c r="L26" s="103">
        <f>VLOOKUP($A26,'OI(Value)'!$A$7:$O$329,8,0)</f>
        <v>2083</v>
      </c>
      <c r="M26" s="103">
        <f>VLOOKUP($A26,'OI(Value)'!$A$7:$O$329,9,0)</f>
        <v>-116</v>
      </c>
      <c r="N26" s="103">
        <f>VLOOKUP($A26,'OI(Value)'!$A$7:$O$329,11,0)</f>
        <v>1510</v>
      </c>
      <c r="O26" s="103">
        <f>VLOOKUP($A26,'OI(Value)'!$A$7:$O$329,12,0)</f>
        <v>52</v>
      </c>
      <c r="P26" s="179">
        <f>VLOOKUP(A26,'OI(Value)'!A26:O250,8,0)</f>
        <v>2083</v>
      </c>
      <c r="Q26" s="179">
        <f>VLOOKUP(A26,'OI(Value)'!A26:O250,9,0)</f>
        <v>-116</v>
      </c>
      <c r="R26" s="179">
        <f>VLOOKUP(A26,'OI(Value)'!A26:O250,11,0)</f>
        <v>1510</v>
      </c>
      <c r="S26" s="179">
        <f>VLOOKUP(A26,'OI(Value)'!A26:O250,11,0)</f>
        <v>1510</v>
      </c>
    </row>
    <row r="27" spans="1:19" x14ac:dyDescent="0.25">
      <c r="A27" s="105" t="str">
        <f>'Data Vlaue (Cr)'!C22</f>
        <v>BAJAJ-AUTO</v>
      </c>
      <c r="B27" s="143">
        <f>VLOOKUP($A27,'Data shares'!$C:$FA,118)</f>
        <v>0.77</v>
      </c>
      <c r="C27" s="143">
        <f>VLOOKUP($A27,'Data shares'!$C:$FA,119)</f>
        <v>0.79</v>
      </c>
      <c r="D27" s="143">
        <f>VLOOKUP($A27,'Data shares'!$C:$FA,121)*100</f>
        <v>-2.5299999999999998</v>
      </c>
      <c r="E27" s="143">
        <f>VLOOKUP($A27,'Data shares'!$C:$FA,124)</f>
        <v>0.43</v>
      </c>
      <c r="F27" s="143">
        <f>VLOOKUP($A27,'Data shares'!$C:$FA,125)</f>
        <v>0.69</v>
      </c>
      <c r="G27" s="143">
        <f>VLOOKUP($A27,'Data shares'!$C:$FA,127)*100</f>
        <v>-37.68</v>
      </c>
      <c r="H27" s="103">
        <f>VLOOKUP($A27,'OI(Volume)'!$A$7:$O$445,8)</f>
        <v>1755150</v>
      </c>
      <c r="I27" s="103">
        <f>VLOOKUP($A27,'OI(Volume)'!$A$7:$O$445,9)</f>
        <v>265125</v>
      </c>
      <c r="J27" s="103">
        <f>VLOOKUP($A27,'OI(Volume)'!$A$7:$O$445,11)</f>
        <v>1343625</v>
      </c>
      <c r="K27" s="103">
        <f>VLOOKUP($A27,'OI(Volume)'!$A$7:$O$445,12)</f>
        <v>169050</v>
      </c>
      <c r="L27" s="103">
        <f>VLOOKUP($A27,'OI(Value)'!$A$7:$O$329,8,0)</f>
        <v>1819</v>
      </c>
      <c r="M27" s="103">
        <f>VLOOKUP($A27,'OI(Value)'!$A$7:$O$329,9,0)</f>
        <v>275</v>
      </c>
      <c r="N27" s="103">
        <f>VLOOKUP($A27,'OI(Value)'!$A$7:$O$329,11,0)</f>
        <v>1392</v>
      </c>
      <c r="O27" s="103">
        <f>VLOOKUP($A27,'OI(Value)'!$A$7:$O$329,12,0)</f>
        <v>175</v>
      </c>
      <c r="P27" s="179">
        <f>VLOOKUP(A27,'OI(Value)'!A27:O251,8,0)</f>
        <v>1819</v>
      </c>
      <c r="Q27" s="179">
        <f>VLOOKUP(A27,'OI(Value)'!A27:O251,9,0)</f>
        <v>275</v>
      </c>
      <c r="R27" s="179">
        <f>VLOOKUP(A27,'OI(Value)'!A27:O251,11,0)</f>
        <v>1392</v>
      </c>
      <c r="S27" s="179">
        <f>VLOOKUP(A27,'OI(Value)'!A27:O251,11,0)</f>
        <v>1392</v>
      </c>
    </row>
    <row r="28" spans="1:19" x14ac:dyDescent="0.25">
      <c r="A28" s="105" t="str">
        <f>'Data Vlaue (Cr)'!C23</f>
        <v>BAJAJFINSV</v>
      </c>
      <c r="B28" s="143">
        <f>VLOOKUP($A28,'Data shares'!$C:$FA,118)</f>
        <v>0.99</v>
      </c>
      <c r="C28" s="143">
        <f>VLOOKUP($A28,'Data shares'!$C:$FA,119)</f>
        <v>0.97</v>
      </c>
      <c r="D28" s="143">
        <f>VLOOKUP($A28,'Data shares'!$C:$FA,121)*100</f>
        <v>2.06</v>
      </c>
      <c r="E28" s="143">
        <f>VLOOKUP($A28,'Data shares'!$C:$FA,124)</f>
        <v>0.5</v>
      </c>
      <c r="F28" s="143">
        <f>VLOOKUP($A28,'Data shares'!$C:$FA,125)</f>
        <v>0.68</v>
      </c>
      <c r="G28" s="143">
        <f>VLOOKUP($A28,'Data shares'!$C:$FA,127)*100</f>
        <v>-26.47</v>
      </c>
      <c r="H28" s="103">
        <f>VLOOKUP($A28,'OI(Volume)'!$A$7:$O$445,8)</f>
        <v>2966250</v>
      </c>
      <c r="I28" s="103">
        <f>VLOOKUP($A28,'OI(Volume)'!$A$7:$O$445,9)</f>
        <v>-46250</v>
      </c>
      <c r="J28" s="103">
        <f>VLOOKUP($A28,'OI(Volume)'!$A$7:$O$445,11)</f>
        <v>2923250</v>
      </c>
      <c r="K28" s="103">
        <f>VLOOKUP($A28,'OI(Volume)'!$A$7:$O$445,12)</f>
        <v>1750</v>
      </c>
      <c r="L28" s="103">
        <f>VLOOKUP($A28,'OI(Value)'!$A$7:$O$329,8,0)</f>
        <v>548</v>
      </c>
      <c r="M28" s="103">
        <f>VLOOKUP($A28,'OI(Value)'!$A$7:$O$329,9,0)</f>
        <v>-9</v>
      </c>
      <c r="N28" s="103">
        <f>VLOOKUP($A28,'OI(Value)'!$A$7:$O$329,11,0)</f>
        <v>540</v>
      </c>
      <c r="O28" s="103">
        <f>VLOOKUP($A28,'OI(Value)'!$A$7:$O$329,12,0)</f>
        <v>0</v>
      </c>
      <c r="P28" s="179">
        <f>VLOOKUP(A28,'OI(Value)'!A28:O252,8,0)</f>
        <v>548</v>
      </c>
      <c r="Q28" s="179">
        <f>VLOOKUP(A28,'OI(Value)'!A28:O252,9,0)</f>
        <v>-9</v>
      </c>
      <c r="R28" s="179">
        <f>VLOOKUP(A28,'OI(Value)'!A28:O252,11,0)</f>
        <v>540</v>
      </c>
      <c r="S28" s="179">
        <f>VLOOKUP(A28,'OI(Value)'!A28:O252,11,0)</f>
        <v>540</v>
      </c>
    </row>
    <row r="29" spans="1:19" x14ac:dyDescent="0.25">
      <c r="A29" s="105" t="str">
        <f>'Data Vlaue (Cr)'!C24</f>
        <v>BAJAJHLDNG</v>
      </c>
      <c r="B29" s="143">
        <f>VLOOKUP($A29,'Data shares'!$C:$FA,118)</f>
        <v>0.44</v>
      </c>
      <c r="C29" s="143">
        <f>VLOOKUP($A29,'Data shares'!$C:$FA,119)</f>
        <v>0.4</v>
      </c>
      <c r="D29" s="143">
        <f>VLOOKUP($A29,'Data shares'!$C:$FA,121)*100</f>
        <v>10</v>
      </c>
      <c r="E29" s="143">
        <f>VLOOKUP($A29,'Data shares'!$C:$FA,124)</f>
        <v>0.11</v>
      </c>
      <c r="F29" s="143">
        <f>VLOOKUP($A29,'Data shares'!$C:$FA,125)</f>
        <v>0.27</v>
      </c>
      <c r="G29" s="143">
        <f>VLOOKUP($A29,'Data shares'!$C:$FA,127)*100</f>
        <v>-59.260000000000005</v>
      </c>
      <c r="H29" s="103">
        <f>VLOOKUP($A29,'OI(Volume)'!$A$7:$O$445,8)</f>
        <v>69150</v>
      </c>
      <c r="I29" s="103">
        <f>VLOOKUP($A29,'OI(Volume)'!$A$7:$O$445,9)</f>
        <v>6650</v>
      </c>
      <c r="J29" s="103">
        <f>VLOOKUP($A29,'OI(Volume)'!$A$7:$O$445,11)</f>
        <v>30200</v>
      </c>
      <c r="K29" s="103">
        <f>VLOOKUP($A29,'OI(Volume)'!$A$7:$O$445,12)</f>
        <v>5050</v>
      </c>
      <c r="L29" s="103">
        <f>VLOOKUP($A29,'OI(Value)'!$A$7:$O$329,8,0)</f>
        <v>74</v>
      </c>
      <c r="M29" s="103">
        <f>VLOOKUP($A29,'OI(Value)'!$A$7:$O$329,9,0)</f>
        <v>7</v>
      </c>
      <c r="N29" s="103">
        <f>VLOOKUP($A29,'OI(Value)'!$A$7:$O$329,11,0)</f>
        <v>32</v>
      </c>
      <c r="O29" s="103">
        <f>VLOOKUP($A29,'OI(Value)'!$A$7:$O$329,12,0)</f>
        <v>5</v>
      </c>
      <c r="P29" s="179">
        <f>VLOOKUP(A29,'OI(Value)'!A29:O253,8,0)</f>
        <v>74</v>
      </c>
      <c r="Q29" s="179">
        <f>VLOOKUP(A29,'OI(Value)'!A29:O253,9,0)</f>
        <v>7</v>
      </c>
      <c r="R29" s="179">
        <f>VLOOKUP(A29,'OI(Value)'!A29:O253,11,0)</f>
        <v>32</v>
      </c>
      <c r="S29" s="179">
        <f>VLOOKUP(A29,'OI(Value)'!A29:O253,11,0)</f>
        <v>32</v>
      </c>
    </row>
    <row r="30" spans="1:19" x14ac:dyDescent="0.25">
      <c r="A30" s="105" t="str">
        <f>'Data Vlaue (Cr)'!C25</f>
        <v>BAJFINANCE</v>
      </c>
      <c r="B30" s="143">
        <f>VLOOKUP($A30,'Data shares'!$C:$FA,118)</f>
        <v>0.86</v>
      </c>
      <c r="C30" s="143">
        <f>VLOOKUP($A30,'Data shares'!$C:$FA,119)</f>
        <v>0.78</v>
      </c>
      <c r="D30" s="143">
        <f>VLOOKUP($A30,'Data shares'!$C:$FA,121)*100</f>
        <v>10.26</v>
      </c>
      <c r="E30" s="143">
        <f>VLOOKUP($A30,'Data shares'!$C:$FA,124)</f>
        <v>0.51</v>
      </c>
      <c r="F30" s="143">
        <f>VLOOKUP($A30,'Data shares'!$C:$FA,125)</f>
        <v>0.74</v>
      </c>
      <c r="G30" s="143">
        <f>VLOOKUP($A30,'Data shares'!$C:$FA,127)*100</f>
        <v>-31.080000000000002</v>
      </c>
      <c r="H30" s="103">
        <f>VLOOKUP($A30,'OI(Volume)'!$A$7:$O$445,8)</f>
        <v>16050750</v>
      </c>
      <c r="I30" s="103">
        <f>VLOOKUP($A30,'OI(Volume)'!$A$7:$O$445,9)</f>
        <v>-566250</v>
      </c>
      <c r="J30" s="103">
        <f>VLOOKUP($A30,'OI(Volume)'!$A$7:$O$445,11)</f>
        <v>13792500</v>
      </c>
      <c r="K30" s="103">
        <f>VLOOKUP($A30,'OI(Volume)'!$A$7:$O$445,12)</f>
        <v>831750</v>
      </c>
      <c r="L30" s="103">
        <f>VLOOKUP($A30,'OI(Value)'!$A$7:$O$329,8,0)</f>
        <v>1582</v>
      </c>
      <c r="M30" s="103">
        <f>VLOOKUP($A30,'OI(Value)'!$A$7:$O$329,9,0)</f>
        <v>-56</v>
      </c>
      <c r="N30" s="103">
        <f>VLOOKUP($A30,'OI(Value)'!$A$7:$O$329,11,0)</f>
        <v>1359</v>
      </c>
      <c r="O30" s="103">
        <f>VLOOKUP($A30,'OI(Value)'!$A$7:$O$329,12,0)</f>
        <v>82</v>
      </c>
      <c r="P30" s="179">
        <f>VLOOKUP(A30,'OI(Value)'!A30:O254,8,0)</f>
        <v>1582</v>
      </c>
      <c r="Q30" s="179">
        <f>VLOOKUP(A30,'OI(Value)'!A30:O254,9,0)</f>
        <v>-56</v>
      </c>
      <c r="R30" s="179">
        <f>VLOOKUP(A30,'OI(Value)'!A30:O254,11,0)</f>
        <v>1359</v>
      </c>
      <c r="S30" s="179">
        <f>VLOOKUP(A30,'OI(Value)'!A30:O254,11,0)</f>
        <v>1359</v>
      </c>
    </row>
    <row r="31" spans="1:19" x14ac:dyDescent="0.25">
      <c r="A31" s="105" t="str">
        <f>'Data Vlaue (Cr)'!C26</f>
        <v>BANDHANBNK</v>
      </c>
      <c r="B31" s="143">
        <f>VLOOKUP($A31,'Data shares'!$C:$FA,118)</f>
        <v>0.76</v>
      </c>
      <c r="C31" s="143">
        <f>VLOOKUP($A31,'Data shares'!$C:$FA,119)</f>
        <v>0.76</v>
      </c>
      <c r="D31" s="143">
        <f>VLOOKUP($A31,'Data shares'!$C:$FA,121)*100</f>
        <v>0</v>
      </c>
      <c r="E31" s="143">
        <f>VLOOKUP($A31,'Data shares'!$C:$FA,124)</f>
        <v>0.63</v>
      </c>
      <c r="F31" s="143">
        <f>VLOOKUP($A31,'Data shares'!$C:$FA,125)</f>
        <v>0.81</v>
      </c>
      <c r="G31" s="143">
        <f>VLOOKUP($A31,'Data shares'!$C:$FA,127)*100</f>
        <v>-22.220000000000002</v>
      </c>
      <c r="H31" s="103">
        <f>VLOOKUP($A31,'OI(Volume)'!$A$7:$O$445,8)</f>
        <v>43106400</v>
      </c>
      <c r="I31" s="103">
        <f>VLOOKUP($A31,'OI(Volume)'!$A$7:$O$445,9)</f>
        <v>-1911600</v>
      </c>
      <c r="J31" s="103">
        <f>VLOOKUP($A31,'OI(Volume)'!$A$7:$O$445,11)</f>
        <v>32623200</v>
      </c>
      <c r="K31" s="103">
        <f>VLOOKUP($A31,'OI(Volume)'!$A$7:$O$445,12)</f>
        <v>-1576800</v>
      </c>
      <c r="L31" s="103">
        <f>VLOOKUP($A31,'OI(Value)'!$A$7:$O$329,8,0)</f>
        <v>907</v>
      </c>
      <c r="M31" s="103">
        <f>VLOOKUP($A31,'OI(Value)'!$A$7:$O$329,9,0)</f>
        <v>-40</v>
      </c>
      <c r="N31" s="103">
        <f>VLOOKUP($A31,'OI(Value)'!$A$7:$O$329,11,0)</f>
        <v>686</v>
      </c>
      <c r="O31" s="103">
        <f>VLOOKUP($A31,'OI(Value)'!$A$7:$O$329,12,0)</f>
        <v>-33</v>
      </c>
      <c r="P31" s="179">
        <f>VLOOKUP(A31,'OI(Value)'!A31:O255,8,0)</f>
        <v>907</v>
      </c>
      <c r="Q31" s="179">
        <f>VLOOKUP(A31,'OI(Value)'!A31:O255,9,0)</f>
        <v>-40</v>
      </c>
      <c r="R31" s="179">
        <f>VLOOKUP(A31,'OI(Value)'!A31:O255,11,0)</f>
        <v>686</v>
      </c>
      <c r="S31" s="179">
        <f>VLOOKUP(A31,'OI(Value)'!A31:O255,11,0)</f>
        <v>686</v>
      </c>
    </row>
    <row r="32" spans="1:19" x14ac:dyDescent="0.25">
      <c r="A32" s="105" t="str">
        <f>'Data Vlaue (Cr)'!C27</f>
        <v>BANKBARODA</v>
      </c>
      <c r="B32" s="143">
        <f>VLOOKUP($A32,'Data shares'!$C:$FA,118)</f>
        <v>0.79</v>
      </c>
      <c r="C32" s="143">
        <f>VLOOKUP($A32,'Data shares'!$C:$FA,119)</f>
        <v>0.78</v>
      </c>
      <c r="D32" s="143">
        <f>VLOOKUP($A32,'Data shares'!$C:$FA,121)*100</f>
        <v>1.28</v>
      </c>
      <c r="E32" s="143">
        <f>VLOOKUP($A32,'Data shares'!$C:$FA,124)</f>
        <v>0.35</v>
      </c>
      <c r="F32" s="143">
        <f>VLOOKUP($A32,'Data shares'!$C:$FA,125)</f>
        <v>0.38</v>
      </c>
      <c r="G32" s="143">
        <f>VLOOKUP($A32,'Data shares'!$C:$FA,127)*100</f>
        <v>-7.89</v>
      </c>
      <c r="H32" s="103">
        <f>VLOOKUP($A32,'OI(Volume)'!$A$7:$O$445,8)</f>
        <v>33684300</v>
      </c>
      <c r="I32" s="103">
        <f>VLOOKUP($A32,'OI(Volume)'!$A$7:$O$445,9)</f>
        <v>175500</v>
      </c>
      <c r="J32" s="103">
        <f>VLOOKUP($A32,'OI(Volume)'!$A$7:$O$445,11)</f>
        <v>26690625</v>
      </c>
      <c r="K32" s="103">
        <f>VLOOKUP($A32,'OI(Volume)'!$A$7:$O$445,12)</f>
        <v>643500</v>
      </c>
      <c r="L32" s="103">
        <f>VLOOKUP($A32,'OI(Value)'!$A$7:$O$329,8,0)</f>
        <v>918</v>
      </c>
      <c r="M32" s="103">
        <f>VLOOKUP($A32,'OI(Value)'!$A$7:$O$329,9,0)</f>
        <v>5</v>
      </c>
      <c r="N32" s="103">
        <f>VLOOKUP($A32,'OI(Value)'!$A$7:$O$329,11,0)</f>
        <v>727</v>
      </c>
      <c r="O32" s="103">
        <f>VLOOKUP($A32,'OI(Value)'!$A$7:$O$329,12,0)</f>
        <v>18</v>
      </c>
      <c r="P32" s="179">
        <f>VLOOKUP(A32,'OI(Value)'!A32:O256,8,0)</f>
        <v>918</v>
      </c>
      <c r="Q32" s="179">
        <f>VLOOKUP(A32,'OI(Value)'!A32:O256,9,0)</f>
        <v>5</v>
      </c>
      <c r="R32" s="179">
        <f>VLOOKUP(A32,'OI(Value)'!A32:O256,11,0)</f>
        <v>727</v>
      </c>
      <c r="S32" s="179">
        <f>VLOOKUP(A32,'OI(Value)'!A32:O256,11,0)</f>
        <v>727</v>
      </c>
    </row>
    <row r="33" spans="1:19" x14ac:dyDescent="0.25">
      <c r="A33" s="105" t="str">
        <f>'Data Vlaue (Cr)'!C28</f>
        <v>BANKINDIA</v>
      </c>
      <c r="B33" s="143">
        <f>VLOOKUP($A33,'Data shares'!$C:$FA,118)</f>
        <v>0.71</v>
      </c>
      <c r="C33" s="143">
        <f>VLOOKUP($A33,'Data shares'!$C:$FA,119)</f>
        <v>0.78</v>
      </c>
      <c r="D33" s="143">
        <f>VLOOKUP($A33,'Data shares'!$C:$FA,121)*100</f>
        <v>-8.9700000000000006</v>
      </c>
      <c r="E33" s="143">
        <f>VLOOKUP($A33,'Data shares'!$C:$FA,124)</f>
        <v>0.47</v>
      </c>
      <c r="F33" s="143">
        <f>VLOOKUP($A33,'Data shares'!$C:$FA,125)</f>
        <v>0.4</v>
      </c>
      <c r="G33" s="143">
        <f>VLOOKUP($A33,'Data shares'!$C:$FA,127)*100</f>
        <v>17.5</v>
      </c>
      <c r="H33" s="103">
        <f>VLOOKUP($A33,'OI(Volume)'!$A$7:$O$445,8)</f>
        <v>21008000</v>
      </c>
      <c r="I33" s="103">
        <f>VLOOKUP($A33,'OI(Volume)'!$A$7:$O$445,9)</f>
        <v>2007200</v>
      </c>
      <c r="J33" s="103">
        <f>VLOOKUP($A33,'OI(Volume)'!$A$7:$O$445,11)</f>
        <v>14872000</v>
      </c>
      <c r="K33" s="103">
        <f>VLOOKUP($A33,'OI(Volume)'!$A$7:$O$445,12)</f>
        <v>31200</v>
      </c>
      <c r="L33" s="103">
        <f>VLOOKUP($A33,'OI(Value)'!$A$7:$O$329,8,0)</f>
        <v>301</v>
      </c>
      <c r="M33" s="103">
        <f>VLOOKUP($A33,'OI(Value)'!$A$7:$O$329,9,0)</f>
        <v>29</v>
      </c>
      <c r="N33" s="103">
        <f>VLOOKUP($A33,'OI(Value)'!$A$7:$O$329,11,0)</f>
        <v>213</v>
      </c>
      <c r="O33" s="103">
        <f>VLOOKUP($A33,'OI(Value)'!$A$7:$O$329,12,0)</f>
        <v>0</v>
      </c>
      <c r="P33" s="179">
        <f>VLOOKUP(A33,'OI(Value)'!A33:O257,8,0)</f>
        <v>301</v>
      </c>
      <c r="Q33" s="179">
        <f>VLOOKUP(A33,'OI(Value)'!A33:O257,9,0)</f>
        <v>29</v>
      </c>
      <c r="R33" s="179">
        <f>VLOOKUP(A33,'OI(Value)'!A33:O257,11,0)</f>
        <v>213</v>
      </c>
      <c r="S33" s="179">
        <f>VLOOKUP(A33,'OI(Value)'!A33:O257,11,0)</f>
        <v>213</v>
      </c>
    </row>
    <row r="34" spans="1:19" x14ac:dyDescent="0.25">
      <c r="A34" s="105" t="str">
        <f>'Data Vlaue (Cr)'!C29</f>
        <v>BANKNIFTY</v>
      </c>
      <c r="B34" s="143">
        <f>VLOOKUP($A34,'Data shares'!$C:$FA,118)</f>
        <v>0.95</v>
      </c>
      <c r="C34" s="143">
        <f>VLOOKUP($A34,'Data shares'!$C:$FA,119)</f>
        <v>0.85</v>
      </c>
      <c r="D34" s="143">
        <f>VLOOKUP($A34,'Data shares'!$C:$FA,121)*100</f>
        <v>11.76</v>
      </c>
      <c r="E34" s="143">
        <f>VLOOKUP($A34,'Data shares'!$C:$FA,124)</f>
        <v>0.85</v>
      </c>
      <c r="F34" s="143">
        <f>VLOOKUP($A34,'Data shares'!$C:$FA,125)</f>
        <v>0.84</v>
      </c>
      <c r="G34" s="143">
        <f>VLOOKUP($A34,'Data shares'!$C:$FA,127)*100</f>
        <v>1.1900000000000002</v>
      </c>
      <c r="H34" s="103">
        <f>VLOOKUP($A34,'OI(Volume)'!$A$7:$O$445,8)</f>
        <v>13784910</v>
      </c>
      <c r="I34" s="103">
        <f>VLOOKUP($A34,'OI(Volume)'!$A$7:$O$445,9)</f>
        <v>-654150</v>
      </c>
      <c r="J34" s="103">
        <f>VLOOKUP($A34,'OI(Volume)'!$A$7:$O$445,11)</f>
        <v>13094130</v>
      </c>
      <c r="K34" s="103">
        <f>VLOOKUP($A34,'OI(Volume)'!$A$7:$O$445,12)</f>
        <v>846480</v>
      </c>
      <c r="L34" s="103">
        <f>VLOOKUP($A34,'OI(Value)'!$A$7:$O$329,8,0)</f>
        <v>77676</v>
      </c>
      <c r="M34" s="103">
        <f>VLOOKUP($A34,'OI(Value)'!$A$7:$O$329,9,0)</f>
        <v>-3686</v>
      </c>
      <c r="N34" s="103">
        <f>VLOOKUP($A34,'OI(Value)'!$A$7:$O$329,11,0)</f>
        <v>73784</v>
      </c>
      <c r="O34" s="103">
        <f>VLOOKUP($A34,'OI(Value)'!$A$7:$O$329,12,0)</f>
        <v>4770</v>
      </c>
      <c r="P34" s="179">
        <f>VLOOKUP(A34,'OI(Value)'!A34:O258,8,0)</f>
        <v>77676</v>
      </c>
      <c r="Q34" s="179">
        <f>VLOOKUP(A34,'OI(Value)'!A34:O258,9,0)</f>
        <v>-3686</v>
      </c>
      <c r="R34" s="179">
        <f>VLOOKUP(A34,'OI(Value)'!A34:O258,11,0)</f>
        <v>73784</v>
      </c>
      <c r="S34" s="179">
        <f>VLOOKUP(A34,'OI(Value)'!A34:O258,11,0)</f>
        <v>73784</v>
      </c>
    </row>
    <row r="35" spans="1:19" x14ac:dyDescent="0.25">
      <c r="A35" s="105" t="str">
        <f>'Data Vlaue (Cr)'!C30</f>
        <v>BDL</v>
      </c>
      <c r="B35" s="143">
        <f>VLOOKUP($A35,'Data shares'!$C:$FA,118)</f>
        <v>0.53</v>
      </c>
      <c r="C35" s="143">
        <f>VLOOKUP($A35,'Data shares'!$C:$FA,119)</f>
        <v>0.59</v>
      </c>
      <c r="D35" s="143">
        <f>VLOOKUP($A35,'Data shares'!$C:$FA,121)*100</f>
        <v>-10.17</v>
      </c>
      <c r="E35" s="143">
        <f>VLOOKUP($A35,'Data shares'!$C:$FA,124)</f>
        <v>0.25</v>
      </c>
      <c r="F35" s="143">
        <f>VLOOKUP($A35,'Data shares'!$C:$FA,125)</f>
        <v>0.3</v>
      </c>
      <c r="G35" s="143">
        <f>VLOOKUP($A35,'Data shares'!$C:$FA,127)*100</f>
        <v>-16.669999999999998</v>
      </c>
      <c r="H35" s="103">
        <f>VLOOKUP($A35,'OI(Volume)'!$A$7:$O$445,8)</f>
        <v>2464700</v>
      </c>
      <c r="I35" s="103">
        <f>VLOOKUP($A35,'OI(Volume)'!$A$7:$O$445,9)</f>
        <v>366450</v>
      </c>
      <c r="J35" s="103">
        <f>VLOOKUP($A35,'OI(Volume)'!$A$7:$O$445,11)</f>
        <v>1312150</v>
      </c>
      <c r="K35" s="103">
        <f>VLOOKUP($A35,'OI(Volume)'!$A$7:$O$445,12)</f>
        <v>74900</v>
      </c>
      <c r="L35" s="103">
        <f>VLOOKUP($A35,'OI(Value)'!$A$7:$O$329,8,0)</f>
        <v>346</v>
      </c>
      <c r="M35" s="103">
        <f>VLOOKUP($A35,'OI(Value)'!$A$7:$O$329,9,0)</f>
        <v>51</v>
      </c>
      <c r="N35" s="103">
        <f>VLOOKUP($A35,'OI(Value)'!$A$7:$O$329,11,0)</f>
        <v>184</v>
      </c>
      <c r="O35" s="103">
        <f>VLOOKUP($A35,'OI(Value)'!$A$7:$O$329,12,0)</f>
        <v>11</v>
      </c>
      <c r="P35" s="179">
        <f>VLOOKUP(A35,'OI(Value)'!A35:O259,8,0)</f>
        <v>346</v>
      </c>
      <c r="Q35" s="179">
        <f>VLOOKUP(A35,'OI(Value)'!A35:O259,9,0)</f>
        <v>51</v>
      </c>
      <c r="R35" s="179">
        <f>VLOOKUP(A35,'OI(Value)'!A35:O259,11,0)</f>
        <v>184</v>
      </c>
      <c r="S35" s="179">
        <f>VLOOKUP(A35,'OI(Value)'!A35:O259,11,0)</f>
        <v>184</v>
      </c>
    </row>
    <row r="36" spans="1:19" x14ac:dyDescent="0.25">
      <c r="A36" s="105" t="str">
        <f>'Data Vlaue (Cr)'!C31</f>
        <v>BEL</v>
      </c>
      <c r="B36" s="143">
        <f>VLOOKUP($A36,'Data shares'!$C:$FA,118)</f>
        <v>0.57999999999999996</v>
      </c>
      <c r="C36" s="143">
        <f>VLOOKUP($A36,'Data shares'!$C:$FA,119)</f>
        <v>0.63</v>
      </c>
      <c r="D36" s="143">
        <f>VLOOKUP($A36,'Data shares'!$C:$FA,121)*100</f>
        <v>-7.9399999999999995</v>
      </c>
      <c r="E36" s="143">
        <f>VLOOKUP($A36,'Data shares'!$C:$FA,124)</f>
        <v>0.43</v>
      </c>
      <c r="F36" s="143">
        <f>VLOOKUP($A36,'Data shares'!$C:$FA,125)</f>
        <v>0.34</v>
      </c>
      <c r="G36" s="143">
        <f>VLOOKUP($A36,'Data shares'!$C:$FA,127)*100</f>
        <v>26.47</v>
      </c>
      <c r="H36" s="103">
        <f>VLOOKUP($A36,'OI(Volume)'!$A$7:$O$445,8)</f>
        <v>44065275</v>
      </c>
      <c r="I36" s="103">
        <f>VLOOKUP($A36,'OI(Volume)'!$A$7:$O$445,9)</f>
        <v>3421425</v>
      </c>
      <c r="J36" s="103">
        <f>VLOOKUP($A36,'OI(Volume)'!$A$7:$O$445,11)</f>
        <v>25353600</v>
      </c>
      <c r="K36" s="103">
        <f>VLOOKUP($A36,'OI(Volume)'!$A$7:$O$445,12)</f>
        <v>-123975</v>
      </c>
      <c r="L36" s="103">
        <f>VLOOKUP($A36,'OI(Value)'!$A$7:$O$329,8,0)</f>
        <v>1939</v>
      </c>
      <c r="M36" s="103">
        <f>VLOOKUP($A36,'OI(Value)'!$A$7:$O$329,9,0)</f>
        <v>151</v>
      </c>
      <c r="N36" s="103">
        <f>VLOOKUP($A36,'OI(Value)'!$A$7:$O$329,11,0)</f>
        <v>1115</v>
      </c>
      <c r="O36" s="103">
        <f>VLOOKUP($A36,'OI(Value)'!$A$7:$O$329,12,0)</f>
        <v>-5</v>
      </c>
      <c r="P36" s="179">
        <f>VLOOKUP(A36,'OI(Value)'!A36:O260,8,0)</f>
        <v>1939</v>
      </c>
      <c r="Q36" s="179">
        <f>VLOOKUP(A36,'OI(Value)'!A36:O260,9,0)</f>
        <v>151</v>
      </c>
      <c r="R36" s="179">
        <f>VLOOKUP(A36,'OI(Value)'!A36:O260,11,0)</f>
        <v>1115</v>
      </c>
      <c r="S36" s="179">
        <f>VLOOKUP(A36,'OI(Value)'!A36:O260,11,0)</f>
        <v>1115</v>
      </c>
    </row>
    <row r="37" spans="1:19" x14ac:dyDescent="0.25">
      <c r="A37" s="105" t="str">
        <f>'Data Vlaue (Cr)'!C32</f>
        <v>BHARATFORG</v>
      </c>
      <c r="B37" s="143">
        <f>VLOOKUP($A37,'Data shares'!$C:$FA,118)</f>
        <v>0.55000000000000004</v>
      </c>
      <c r="C37" s="143">
        <f>VLOOKUP($A37,'Data shares'!$C:$FA,119)</f>
        <v>0.6</v>
      </c>
      <c r="D37" s="143">
        <f>VLOOKUP($A37,'Data shares'!$C:$FA,121)*100</f>
        <v>-8.33</v>
      </c>
      <c r="E37" s="143">
        <f>VLOOKUP($A37,'Data shares'!$C:$FA,124)</f>
        <v>0.61</v>
      </c>
      <c r="F37" s="143">
        <f>VLOOKUP($A37,'Data shares'!$C:$FA,125)</f>
        <v>0.61</v>
      </c>
      <c r="G37" s="143">
        <f>VLOOKUP($A37,'Data shares'!$C:$FA,127)*100</f>
        <v>0</v>
      </c>
      <c r="H37" s="103">
        <f>VLOOKUP($A37,'OI(Volume)'!$A$7:$O$445,8)</f>
        <v>3197000</v>
      </c>
      <c r="I37" s="103">
        <f>VLOOKUP($A37,'OI(Volume)'!$A$7:$O$445,9)</f>
        <v>555500</v>
      </c>
      <c r="J37" s="103">
        <f>VLOOKUP($A37,'OI(Volume)'!$A$7:$O$445,11)</f>
        <v>1750500</v>
      </c>
      <c r="K37" s="103">
        <f>VLOOKUP($A37,'OI(Volume)'!$A$7:$O$445,12)</f>
        <v>171500</v>
      </c>
      <c r="L37" s="103">
        <f>VLOOKUP($A37,'OI(Value)'!$A$7:$O$329,8,0)</f>
        <v>602</v>
      </c>
      <c r="M37" s="103">
        <f>VLOOKUP($A37,'OI(Value)'!$A$7:$O$329,9,0)</f>
        <v>105</v>
      </c>
      <c r="N37" s="103">
        <f>VLOOKUP($A37,'OI(Value)'!$A$7:$O$329,11,0)</f>
        <v>330</v>
      </c>
      <c r="O37" s="103">
        <f>VLOOKUP($A37,'OI(Value)'!$A$7:$O$329,12,0)</f>
        <v>32</v>
      </c>
      <c r="P37" s="179">
        <f>VLOOKUP(A37,'OI(Value)'!A37:O261,8,0)</f>
        <v>602</v>
      </c>
      <c r="Q37" s="179">
        <f>VLOOKUP(A37,'OI(Value)'!A37:O261,9,0)</f>
        <v>105</v>
      </c>
      <c r="R37" s="179">
        <f>VLOOKUP(A37,'OI(Value)'!A37:O261,11,0)</f>
        <v>330</v>
      </c>
      <c r="S37" s="179">
        <f>VLOOKUP(A37,'OI(Value)'!A37:O261,11,0)</f>
        <v>330</v>
      </c>
    </row>
    <row r="38" spans="1:19" x14ac:dyDescent="0.25">
      <c r="A38" s="105" t="str">
        <f>'Data Vlaue (Cr)'!C33</f>
        <v>BHARTIARTL</v>
      </c>
      <c r="B38" s="143">
        <f>VLOOKUP($A38,'Data shares'!$C:$FA,118)</f>
        <v>0.56999999999999995</v>
      </c>
      <c r="C38" s="143">
        <f>VLOOKUP($A38,'Data shares'!$C:$FA,119)</f>
        <v>0.56000000000000005</v>
      </c>
      <c r="D38" s="143">
        <f>VLOOKUP($A38,'Data shares'!$C:$FA,121)*100</f>
        <v>1.79</v>
      </c>
      <c r="E38" s="143">
        <f>VLOOKUP($A38,'Data shares'!$C:$FA,124)</f>
        <v>0.53</v>
      </c>
      <c r="F38" s="143">
        <f>VLOOKUP($A38,'Data shares'!$C:$FA,125)</f>
        <v>0.43</v>
      </c>
      <c r="G38" s="143">
        <f>VLOOKUP($A38,'Data shares'!$C:$FA,127)*100</f>
        <v>23.26</v>
      </c>
      <c r="H38" s="103">
        <f>VLOOKUP($A38,'OI(Volume)'!$A$7:$O$445,8)</f>
        <v>12585600</v>
      </c>
      <c r="I38" s="103">
        <f>VLOOKUP($A38,'OI(Volume)'!$A$7:$O$445,9)</f>
        <v>-246050</v>
      </c>
      <c r="J38" s="103">
        <f>VLOOKUP($A38,'OI(Volume)'!$A$7:$O$445,11)</f>
        <v>7138300</v>
      </c>
      <c r="K38" s="103">
        <f>VLOOKUP($A38,'OI(Volume)'!$A$7:$O$445,12)</f>
        <v>-15200</v>
      </c>
      <c r="L38" s="103">
        <f>VLOOKUP($A38,'OI(Value)'!$A$7:$O$329,8,0)</f>
        <v>2321</v>
      </c>
      <c r="M38" s="103">
        <f>VLOOKUP($A38,'OI(Value)'!$A$7:$O$329,9,0)</f>
        <v>-45</v>
      </c>
      <c r="N38" s="103">
        <f>VLOOKUP($A38,'OI(Value)'!$A$7:$O$329,11,0)</f>
        <v>1316</v>
      </c>
      <c r="O38" s="103">
        <f>VLOOKUP($A38,'OI(Value)'!$A$7:$O$329,12,0)</f>
        <v>-3</v>
      </c>
      <c r="P38" s="179">
        <f>VLOOKUP(A38,'OI(Value)'!A38:O262,8,0)</f>
        <v>2321</v>
      </c>
      <c r="Q38" s="179">
        <f>VLOOKUP(A38,'OI(Value)'!A38:O262,9,0)</f>
        <v>-45</v>
      </c>
      <c r="R38" s="179">
        <f>VLOOKUP(A38,'OI(Value)'!A38:O262,11,0)</f>
        <v>1316</v>
      </c>
      <c r="S38" s="179">
        <f>VLOOKUP(A38,'OI(Value)'!A38:O262,11,0)</f>
        <v>1316</v>
      </c>
    </row>
    <row r="39" spans="1:19" x14ac:dyDescent="0.25">
      <c r="A39" s="105" t="str">
        <f>'Data Vlaue (Cr)'!C34</f>
        <v>BHEL</v>
      </c>
      <c r="B39" s="143">
        <f>VLOOKUP($A39,'Data shares'!$C:$FA,118)</f>
        <v>0.9</v>
      </c>
      <c r="C39" s="143">
        <f>VLOOKUP($A39,'Data shares'!$C:$FA,119)</f>
        <v>0.75</v>
      </c>
      <c r="D39" s="143">
        <f>VLOOKUP($A39,'Data shares'!$C:$FA,121)*100</f>
        <v>20</v>
      </c>
      <c r="E39" s="143">
        <f>VLOOKUP($A39,'Data shares'!$C:$FA,124)</f>
        <v>0.63</v>
      </c>
      <c r="F39" s="143">
        <f>VLOOKUP($A39,'Data shares'!$C:$FA,125)</f>
        <v>0.56999999999999995</v>
      </c>
      <c r="G39" s="143">
        <f>VLOOKUP($A39,'Data shares'!$C:$FA,127)*100</f>
        <v>10.530000000000001</v>
      </c>
      <c r="H39" s="103">
        <f>VLOOKUP($A39,'OI(Volume)'!$A$7:$O$445,8)</f>
        <v>51725625</v>
      </c>
      <c r="I39" s="103">
        <f>VLOOKUP($A39,'OI(Volume)'!$A$7:$O$445,9)</f>
        <v>-3010875</v>
      </c>
      <c r="J39" s="103">
        <f>VLOOKUP($A39,'OI(Volume)'!$A$7:$O$445,11)</f>
        <v>46809000</v>
      </c>
      <c r="K39" s="103">
        <f>VLOOKUP($A39,'OI(Volume)'!$A$7:$O$445,12)</f>
        <v>5538750</v>
      </c>
      <c r="L39" s="103">
        <f>VLOOKUP($A39,'OI(Value)'!$A$7:$O$329,8,0)</f>
        <v>2005</v>
      </c>
      <c r="M39" s="103">
        <f>VLOOKUP($A39,'OI(Value)'!$A$7:$O$329,9,0)</f>
        <v>-117</v>
      </c>
      <c r="N39" s="103">
        <f>VLOOKUP($A39,'OI(Value)'!$A$7:$O$329,11,0)</f>
        <v>1815</v>
      </c>
      <c r="O39" s="103">
        <f>VLOOKUP($A39,'OI(Value)'!$A$7:$O$329,12,0)</f>
        <v>215</v>
      </c>
      <c r="P39" s="179">
        <f>VLOOKUP(A39,'OI(Value)'!A39:O263,8,0)</f>
        <v>2005</v>
      </c>
      <c r="Q39" s="179">
        <f>VLOOKUP(A39,'OI(Value)'!A39:O263,9,0)</f>
        <v>-117</v>
      </c>
      <c r="R39" s="179">
        <f>VLOOKUP(A39,'OI(Value)'!A39:O263,11,0)</f>
        <v>1815</v>
      </c>
      <c r="S39" s="179">
        <f>VLOOKUP(A39,'OI(Value)'!A39:O263,11,0)</f>
        <v>1815</v>
      </c>
    </row>
    <row r="40" spans="1:19" x14ac:dyDescent="0.25">
      <c r="A40" s="105" t="str">
        <f>'Data Vlaue (Cr)'!C35</f>
        <v>BIOCON</v>
      </c>
      <c r="B40" s="143">
        <f>VLOOKUP($A40,'Data shares'!$C:$FA,118)</f>
        <v>0.67</v>
      </c>
      <c r="C40" s="143">
        <f>VLOOKUP($A40,'Data shares'!$C:$FA,119)</f>
        <v>0.5</v>
      </c>
      <c r="D40" s="143">
        <f>VLOOKUP($A40,'Data shares'!$C:$FA,121)*100</f>
        <v>34</v>
      </c>
      <c r="E40" s="143">
        <f>VLOOKUP($A40,'Data shares'!$C:$FA,124)</f>
        <v>0.39</v>
      </c>
      <c r="F40" s="143">
        <f>VLOOKUP($A40,'Data shares'!$C:$FA,125)</f>
        <v>0.37</v>
      </c>
      <c r="G40" s="143">
        <f>VLOOKUP($A40,'Data shares'!$C:$FA,127)*100</f>
        <v>5.41</v>
      </c>
      <c r="H40" s="103">
        <f>VLOOKUP($A40,'OI(Volume)'!$A$7:$O$445,8)</f>
        <v>16950000</v>
      </c>
      <c r="I40" s="103">
        <f>VLOOKUP($A40,'OI(Volume)'!$A$7:$O$445,9)</f>
        <v>-5445000</v>
      </c>
      <c r="J40" s="103">
        <f>VLOOKUP($A40,'OI(Volume)'!$A$7:$O$445,11)</f>
        <v>11312500</v>
      </c>
      <c r="K40" s="103">
        <f>VLOOKUP($A40,'OI(Volume)'!$A$7:$O$445,12)</f>
        <v>157500</v>
      </c>
      <c r="L40" s="103">
        <f>VLOOKUP($A40,'OI(Value)'!$A$7:$O$329,8,0)</f>
        <v>648</v>
      </c>
      <c r="M40" s="103">
        <f>VLOOKUP($A40,'OI(Value)'!$A$7:$O$329,9,0)</f>
        <v>-208</v>
      </c>
      <c r="N40" s="103">
        <f>VLOOKUP($A40,'OI(Value)'!$A$7:$O$329,11,0)</f>
        <v>432</v>
      </c>
      <c r="O40" s="103">
        <f>VLOOKUP($A40,'OI(Value)'!$A$7:$O$329,12,0)</f>
        <v>6</v>
      </c>
      <c r="P40" s="179">
        <f>VLOOKUP(A40,'OI(Value)'!A40:O264,8,0)</f>
        <v>648</v>
      </c>
      <c r="Q40" s="179">
        <f>VLOOKUP(A40,'OI(Value)'!A40:O264,9,0)</f>
        <v>-208</v>
      </c>
      <c r="R40" s="179">
        <f>VLOOKUP(A40,'OI(Value)'!A40:O264,11,0)</f>
        <v>432</v>
      </c>
      <c r="S40" s="179">
        <f>VLOOKUP(A40,'OI(Value)'!A40:O264,11,0)</f>
        <v>432</v>
      </c>
    </row>
    <row r="41" spans="1:19" x14ac:dyDescent="0.25">
      <c r="A41" s="105" t="str">
        <f>'Data Vlaue (Cr)'!C36</f>
        <v>BLUESTARCO</v>
      </c>
      <c r="B41" s="143">
        <f>VLOOKUP($A41,'Data shares'!$C:$FA,118)</f>
        <v>0.61</v>
      </c>
      <c r="C41" s="143">
        <f>VLOOKUP($A41,'Data shares'!$C:$FA,119)</f>
        <v>0.64</v>
      </c>
      <c r="D41" s="143">
        <f>VLOOKUP($A41,'Data shares'!$C:$FA,121)*100</f>
        <v>-4.6899999999999995</v>
      </c>
      <c r="E41" s="143">
        <f>VLOOKUP($A41,'Data shares'!$C:$FA,124)</f>
        <v>0.34</v>
      </c>
      <c r="F41" s="143">
        <f>VLOOKUP($A41,'Data shares'!$C:$FA,125)</f>
        <v>0.4</v>
      </c>
      <c r="G41" s="143">
        <f>VLOOKUP($A41,'Data shares'!$C:$FA,127)*100</f>
        <v>-15</v>
      </c>
      <c r="H41" s="103">
        <f>VLOOKUP($A41,'OI(Volume)'!$A$7:$O$445,8)</f>
        <v>1571375</v>
      </c>
      <c r="I41" s="103">
        <f>VLOOKUP($A41,'OI(Volume)'!$A$7:$O$445,9)</f>
        <v>459875</v>
      </c>
      <c r="J41" s="103">
        <f>VLOOKUP($A41,'OI(Volume)'!$A$7:$O$445,11)</f>
        <v>953875</v>
      </c>
      <c r="K41" s="103">
        <f>VLOOKUP($A41,'OI(Volume)'!$A$7:$O$445,12)</f>
        <v>244075</v>
      </c>
      <c r="L41" s="103">
        <f>VLOOKUP($A41,'OI(Value)'!$A$7:$O$329,8,0)</f>
        <v>285</v>
      </c>
      <c r="M41" s="103">
        <f>VLOOKUP($A41,'OI(Value)'!$A$7:$O$329,9,0)</f>
        <v>83</v>
      </c>
      <c r="N41" s="103">
        <f>VLOOKUP($A41,'OI(Value)'!$A$7:$O$329,11,0)</f>
        <v>173</v>
      </c>
      <c r="O41" s="103">
        <f>VLOOKUP($A41,'OI(Value)'!$A$7:$O$329,12,0)</f>
        <v>44</v>
      </c>
      <c r="P41" s="179">
        <f>VLOOKUP(A41,'OI(Value)'!A41:O265,8,0)</f>
        <v>285</v>
      </c>
      <c r="Q41" s="179">
        <f>VLOOKUP(A41,'OI(Value)'!A41:O265,9,0)</f>
        <v>83</v>
      </c>
      <c r="R41" s="179">
        <f>VLOOKUP(A41,'OI(Value)'!A41:O265,11,0)</f>
        <v>173</v>
      </c>
      <c r="S41" s="179">
        <f>VLOOKUP(A41,'OI(Value)'!A41:O265,11,0)</f>
        <v>173</v>
      </c>
    </row>
    <row r="42" spans="1:19" x14ac:dyDescent="0.25">
      <c r="A42" s="105" t="str">
        <f>'Data Vlaue (Cr)'!C37</f>
        <v>BOSCHLTD</v>
      </c>
      <c r="B42" s="143">
        <f>VLOOKUP($A42,'Data shares'!$C:$FA,118)</f>
        <v>0.72</v>
      </c>
      <c r="C42" s="143">
        <f>VLOOKUP($A42,'Data shares'!$C:$FA,119)</f>
        <v>0.79</v>
      </c>
      <c r="D42" s="143">
        <f>VLOOKUP($A42,'Data shares'!$C:$FA,121)*100</f>
        <v>-8.86</v>
      </c>
      <c r="E42" s="143">
        <f>VLOOKUP($A42,'Data shares'!$C:$FA,124)</f>
        <v>0.36</v>
      </c>
      <c r="F42" s="143">
        <f>VLOOKUP($A42,'Data shares'!$C:$FA,125)</f>
        <v>0.55000000000000004</v>
      </c>
      <c r="G42" s="143">
        <f>VLOOKUP($A42,'Data shares'!$C:$FA,127)*100</f>
        <v>-34.549999999999997</v>
      </c>
      <c r="H42" s="103">
        <f>VLOOKUP($A42,'OI(Volume)'!$A$7:$O$445,8)</f>
        <v>54775</v>
      </c>
      <c r="I42" s="103">
        <f>VLOOKUP($A42,'OI(Volume)'!$A$7:$O$445,9)</f>
        <v>6225</v>
      </c>
      <c r="J42" s="103">
        <f>VLOOKUP($A42,'OI(Volume)'!$A$7:$O$445,11)</f>
        <v>39200</v>
      </c>
      <c r="K42" s="103">
        <f>VLOOKUP($A42,'OI(Volume)'!$A$7:$O$445,12)</f>
        <v>725</v>
      </c>
      <c r="L42" s="103">
        <f>VLOOKUP($A42,'OI(Value)'!$A$7:$O$329,8,0)</f>
        <v>202</v>
      </c>
      <c r="M42" s="103">
        <f>VLOOKUP($A42,'OI(Value)'!$A$7:$O$329,9,0)</f>
        <v>23</v>
      </c>
      <c r="N42" s="103">
        <f>VLOOKUP($A42,'OI(Value)'!$A$7:$O$329,11,0)</f>
        <v>145</v>
      </c>
      <c r="O42" s="103">
        <f>VLOOKUP($A42,'OI(Value)'!$A$7:$O$329,12,0)</f>
        <v>3</v>
      </c>
      <c r="P42" s="179">
        <f>VLOOKUP(A42,'OI(Value)'!A42:O266,8,0)</f>
        <v>202</v>
      </c>
      <c r="Q42" s="179">
        <f>VLOOKUP(A42,'OI(Value)'!A42:O266,9,0)</f>
        <v>23</v>
      </c>
      <c r="R42" s="179">
        <f>VLOOKUP(A42,'OI(Value)'!A42:O266,11,0)</f>
        <v>145</v>
      </c>
      <c r="S42" s="179">
        <f>VLOOKUP(A42,'OI(Value)'!A42:O266,11,0)</f>
        <v>145</v>
      </c>
    </row>
    <row r="43" spans="1:19" x14ac:dyDescent="0.25">
      <c r="A43" s="105" t="str">
        <f>'Data Vlaue (Cr)'!C38</f>
        <v>BPCL</v>
      </c>
      <c r="B43" s="143">
        <f>VLOOKUP($A43,'Data shares'!$C:$FA,118)</f>
        <v>0.67</v>
      </c>
      <c r="C43" s="143">
        <f>VLOOKUP($A43,'Data shares'!$C:$FA,119)</f>
        <v>0.67</v>
      </c>
      <c r="D43" s="143">
        <f>VLOOKUP($A43,'Data shares'!$C:$FA,121)*100</f>
        <v>0</v>
      </c>
      <c r="E43" s="143">
        <f>VLOOKUP($A43,'Data shares'!$C:$FA,124)</f>
        <v>0.42</v>
      </c>
      <c r="F43" s="143">
        <f>VLOOKUP($A43,'Data shares'!$C:$FA,125)</f>
        <v>0.84</v>
      </c>
      <c r="G43" s="143">
        <f>VLOOKUP($A43,'Data shares'!$C:$FA,127)*100</f>
        <v>-50</v>
      </c>
      <c r="H43" s="103">
        <f>VLOOKUP($A43,'OI(Volume)'!$A$7:$O$445,8)</f>
        <v>23050225</v>
      </c>
      <c r="I43" s="103">
        <f>VLOOKUP($A43,'OI(Volume)'!$A$7:$O$445,9)</f>
        <v>1502975</v>
      </c>
      <c r="J43" s="103">
        <f>VLOOKUP($A43,'OI(Volume)'!$A$7:$O$445,11)</f>
        <v>15470175</v>
      </c>
      <c r="K43" s="103">
        <f>VLOOKUP($A43,'OI(Volume)'!$A$7:$O$445,12)</f>
        <v>1009225</v>
      </c>
      <c r="L43" s="103">
        <f>VLOOKUP($A43,'OI(Value)'!$A$7:$O$329,8,0)</f>
        <v>729</v>
      </c>
      <c r="M43" s="103">
        <f>VLOOKUP($A43,'OI(Value)'!$A$7:$O$329,9,0)</f>
        <v>48</v>
      </c>
      <c r="N43" s="103">
        <f>VLOOKUP($A43,'OI(Value)'!$A$7:$O$329,11,0)</f>
        <v>489</v>
      </c>
      <c r="O43" s="103">
        <f>VLOOKUP($A43,'OI(Value)'!$A$7:$O$329,12,0)</f>
        <v>32</v>
      </c>
      <c r="P43" s="179">
        <f>VLOOKUP(A43,'OI(Value)'!A43:O267,8,0)</f>
        <v>729</v>
      </c>
      <c r="Q43" s="179">
        <f>VLOOKUP(A43,'OI(Value)'!A43:O267,9,0)</f>
        <v>48</v>
      </c>
      <c r="R43" s="179">
        <f>VLOOKUP(A43,'OI(Value)'!A43:O267,11,0)</f>
        <v>489</v>
      </c>
      <c r="S43" s="179">
        <f>VLOOKUP(A43,'OI(Value)'!A43:O267,11,0)</f>
        <v>489</v>
      </c>
    </row>
    <row r="44" spans="1:19" x14ac:dyDescent="0.25">
      <c r="A44" s="105" t="str">
        <f>'Data Vlaue (Cr)'!C39</f>
        <v>BRITANNIA</v>
      </c>
      <c r="B44" s="143">
        <f>VLOOKUP($A44,'Data shares'!$C:$FA,118)</f>
        <v>0.78</v>
      </c>
      <c r="C44" s="143">
        <f>VLOOKUP($A44,'Data shares'!$C:$FA,119)</f>
        <v>0.64</v>
      </c>
      <c r="D44" s="143">
        <f>VLOOKUP($A44,'Data shares'!$C:$FA,121)*100</f>
        <v>21.88</v>
      </c>
      <c r="E44" s="143">
        <f>VLOOKUP($A44,'Data shares'!$C:$FA,124)</f>
        <v>0.75</v>
      </c>
      <c r="F44" s="143">
        <f>VLOOKUP($A44,'Data shares'!$C:$FA,125)</f>
        <v>0.47</v>
      </c>
      <c r="G44" s="143">
        <f>VLOOKUP($A44,'Data shares'!$C:$FA,127)*100</f>
        <v>59.57</v>
      </c>
      <c r="H44" s="103">
        <f>VLOOKUP($A44,'OI(Volume)'!$A$7:$O$445,8)</f>
        <v>855875</v>
      </c>
      <c r="I44" s="103">
        <f>VLOOKUP($A44,'OI(Volume)'!$A$7:$O$445,9)</f>
        <v>73125</v>
      </c>
      <c r="J44" s="103">
        <f>VLOOKUP($A44,'OI(Volume)'!$A$7:$O$445,11)</f>
        <v>667125</v>
      </c>
      <c r="K44" s="103">
        <f>VLOOKUP($A44,'OI(Volume)'!$A$7:$O$445,12)</f>
        <v>167125</v>
      </c>
      <c r="L44" s="103">
        <f>VLOOKUP($A44,'OI(Value)'!$A$7:$O$329,8,0)</f>
        <v>496</v>
      </c>
      <c r="M44" s="103">
        <f>VLOOKUP($A44,'OI(Value)'!$A$7:$O$329,9,0)</f>
        <v>42</v>
      </c>
      <c r="N44" s="103">
        <f>VLOOKUP($A44,'OI(Value)'!$A$7:$O$329,11,0)</f>
        <v>387</v>
      </c>
      <c r="O44" s="103">
        <f>VLOOKUP($A44,'OI(Value)'!$A$7:$O$329,12,0)</f>
        <v>97</v>
      </c>
      <c r="P44" s="179">
        <f>VLOOKUP(A44,'OI(Value)'!A44:O268,8,0)</f>
        <v>496</v>
      </c>
      <c r="Q44" s="179">
        <f>VLOOKUP(A44,'OI(Value)'!A44:O268,9,0)</f>
        <v>42</v>
      </c>
      <c r="R44" s="179">
        <f>VLOOKUP(A44,'OI(Value)'!A44:O268,11,0)</f>
        <v>387</v>
      </c>
      <c r="S44" s="179">
        <f>VLOOKUP(A44,'OI(Value)'!A44:O268,11,0)</f>
        <v>387</v>
      </c>
    </row>
    <row r="45" spans="1:19" x14ac:dyDescent="0.25">
      <c r="A45" s="105" t="str">
        <f>'Data Vlaue (Cr)'!C40</f>
        <v>BSE</v>
      </c>
      <c r="B45" s="143">
        <f>VLOOKUP($A45,'Data shares'!$C:$FA,118)</f>
        <v>0.93</v>
      </c>
      <c r="C45" s="143">
        <f>VLOOKUP($A45,'Data shares'!$C:$FA,119)</f>
        <v>0.85</v>
      </c>
      <c r="D45" s="143">
        <f>VLOOKUP($A45,'Data shares'!$C:$FA,121)*100</f>
        <v>9.41</v>
      </c>
      <c r="E45" s="143">
        <f>VLOOKUP($A45,'Data shares'!$C:$FA,124)</f>
        <v>0.65</v>
      </c>
      <c r="F45" s="143">
        <f>VLOOKUP($A45,'Data shares'!$C:$FA,125)</f>
        <v>0.65</v>
      </c>
      <c r="G45" s="143">
        <f>VLOOKUP($A45,'Data shares'!$C:$FA,127)*100</f>
        <v>0</v>
      </c>
      <c r="H45" s="103">
        <f>VLOOKUP($A45,'OI(Volume)'!$A$7:$O$445,8)</f>
        <v>5690825</v>
      </c>
      <c r="I45" s="103">
        <f>VLOOKUP($A45,'OI(Volume)'!$A$7:$O$445,9)</f>
        <v>572075</v>
      </c>
      <c r="J45" s="103">
        <f>VLOOKUP($A45,'OI(Volume)'!$A$7:$O$445,11)</f>
        <v>5301750</v>
      </c>
      <c r="K45" s="103">
        <f>VLOOKUP($A45,'OI(Volume)'!$A$7:$O$445,12)</f>
        <v>953250</v>
      </c>
      <c r="L45" s="103">
        <f>VLOOKUP($A45,'OI(Value)'!$A$7:$O$329,8,0)</f>
        <v>2197</v>
      </c>
      <c r="M45" s="103">
        <f>VLOOKUP($A45,'OI(Value)'!$A$7:$O$329,9,0)</f>
        <v>221</v>
      </c>
      <c r="N45" s="103">
        <f>VLOOKUP($A45,'OI(Value)'!$A$7:$O$329,11,0)</f>
        <v>2047</v>
      </c>
      <c r="O45" s="103">
        <f>VLOOKUP($A45,'OI(Value)'!$A$7:$O$329,12,0)</f>
        <v>368</v>
      </c>
      <c r="P45" s="179">
        <f>VLOOKUP(A45,'OI(Value)'!A45:O269,8,0)</f>
        <v>2197</v>
      </c>
      <c r="Q45" s="179">
        <f>VLOOKUP(A45,'OI(Value)'!A45:O269,9,0)</f>
        <v>221</v>
      </c>
      <c r="R45" s="179">
        <f>VLOOKUP(A45,'OI(Value)'!A45:O269,11,0)</f>
        <v>2047</v>
      </c>
      <c r="S45" s="179">
        <f>VLOOKUP(A45,'OI(Value)'!A45:O269,11,0)</f>
        <v>2047</v>
      </c>
    </row>
    <row r="46" spans="1:19" x14ac:dyDescent="0.25">
      <c r="A46" s="105" t="str">
        <f>'Data Vlaue (Cr)'!C41</f>
        <v>CAMS</v>
      </c>
      <c r="B46" s="143">
        <f>VLOOKUP($A46,'Data shares'!$C:$FA,118)</f>
        <v>0.95</v>
      </c>
      <c r="C46" s="143">
        <f>VLOOKUP($A46,'Data shares'!$C:$FA,119)</f>
        <v>1.04</v>
      </c>
      <c r="D46" s="143">
        <f>VLOOKUP($A46,'Data shares'!$C:$FA,121)*100</f>
        <v>-8.6499999999999986</v>
      </c>
      <c r="E46" s="143">
        <f>VLOOKUP($A46,'Data shares'!$C:$FA,124)</f>
        <v>0.56000000000000005</v>
      </c>
      <c r="F46" s="143">
        <f>VLOOKUP($A46,'Data shares'!$C:$FA,125)</f>
        <v>0.36</v>
      </c>
      <c r="G46" s="143">
        <f>VLOOKUP($A46,'Data shares'!$C:$FA,127)*100</f>
        <v>55.559999999999995</v>
      </c>
      <c r="H46" s="103">
        <f>VLOOKUP($A46,'OI(Volume)'!$A$7:$O$445,8)</f>
        <v>4407000</v>
      </c>
      <c r="I46" s="103">
        <f>VLOOKUP($A46,'OI(Volume)'!$A$7:$O$445,9)</f>
        <v>51750</v>
      </c>
      <c r="J46" s="103">
        <f>VLOOKUP($A46,'OI(Volume)'!$A$7:$O$445,11)</f>
        <v>4202250</v>
      </c>
      <c r="K46" s="103">
        <f>VLOOKUP($A46,'OI(Volume)'!$A$7:$O$445,12)</f>
        <v>-309750</v>
      </c>
      <c r="L46" s="103">
        <f>VLOOKUP($A46,'OI(Value)'!$A$7:$O$329,8,0)</f>
        <v>359</v>
      </c>
      <c r="M46" s="103">
        <f>VLOOKUP($A46,'OI(Value)'!$A$7:$O$329,9,0)</f>
        <v>4</v>
      </c>
      <c r="N46" s="103">
        <f>VLOOKUP($A46,'OI(Value)'!$A$7:$O$329,11,0)</f>
        <v>342</v>
      </c>
      <c r="O46" s="103">
        <f>VLOOKUP($A46,'OI(Value)'!$A$7:$O$329,12,0)</f>
        <v>-25</v>
      </c>
      <c r="P46" s="179">
        <f>VLOOKUP(A46,'OI(Value)'!A46:O270,8,0)</f>
        <v>359</v>
      </c>
      <c r="Q46" s="179">
        <f>VLOOKUP(A46,'OI(Value)'!A46:O270,9,0)</f>
        <v>4</v>
      </c>
      <c r="R46" s="179">
        <f>VLOOKUP(A46,'OI(Value)'!A46:O270,11,0)</f>
        <v>342</v>
      </c>
      <c r="S46" s="179">
        <f>VLOOKUP(A46,'OI(Value)'!A46:O270,11,0)</f>
        <v>342</v>
      </c>
    </row>
    <row r="47" spans="1:19" x14ac:dyDescent="0.25">
      <c r="A47" s="105" t="str">
        <f>'Data Vlaue (Cr)'!C42</f>
        <v>CANBK</v>
      </c>
      <c r="B47" s="143">
        <f>VLOOKUP($A47,'Data shares'!$C:$FA,118)</f>
        <v>0.95</v>
      </c>
      <c r="C47" s="143">
        <f>VLOOKUP($A47,'Data shares'!$C:$FA,119)</f>
        <v>0.94</v>
      </c>
      <c r="D47" s="143">
        <f>VLOOKUP($A47,'Data shares'!$C:$FA,121)*100</f>
        <v>1.06</v>
      </c>
      <c r="E47" s="143">
        <f>VLOOKUP($A47,'Data shares'!$C:$FA,124)</f>
        <v>0.44</v>
      </c>
      <c r="F47" s="143">
        <f>VLOOKUP($A47,'Data shares'!$C:$FA,125)</f>
        <v>0.63</v>
      </c>
      <c r="G47" s="143">
        <f>VLOOKUP($A47,'Data shares'!$C:$FA,127)*100</f>
        <v>-30.159999999999997</v>
      </c>
      <c r="H47" s="103">
        <f>VLOOKUP($A47,'OI(Volume)'!$A$7:$O$445,8)</f>
        <v>70004250</v>
      </c>
      <c r="I47" s="103">
        <f>VLOOKUP($A47,'OI(Volume)'!$A$7:$O$445,9)</f>
        <v>2187000</v>
      </c>
      <c r="J47" s="103">
        <f>VLOOKUP($A47,'OI(Volume)'!$A$7:$O$445,11)</f>
        <v>66568500</v>
      </c>
      <c r="K47" s="103">
        <f>VLOOKUP($A47,'OI(Volume)'!$A$7:$O$445,12)</f>
        <v>2713500</v>
      </c>
      <c r="L47" s="103">
        <f>VLOOKUP($A47,'OI(Value)'!$A$7:$O$329,8,0)</f>
        <v>973</v>
      </c>
      <c r="M47" s="103">
        <f>VLOOKUP($A47,'OI(Value)'!$A$7:$O$329,9,0)</f>
        <v>30</v>
      </c>
      <c r="N47" s="103">
        <f>VLOOKUP($A47,'OI(Value)'!$A$7:$O$329,11,0)</f>
        <v>925</v>
      </c>
      <c r="O47" s="103">
        <f>VLOOKUP($A47,'OI(Value)'!$A$7:$O$329,12,0)</f>
        <v>38</v>
      </c>
      <c r="P47" s="179">
        <f>VLOOKUP(A47,'OI(Value)'!A47:O271,8,0)</f>
        <v>973</v>
      </c>
      <c r="Q47" s="179">
        <f>VLOOKUP(A47,'OI(Value)'!A47:O271,9,0)</f>
        <v>30</v>
      </c>
      <c r="R47" s="179">
        <f>VLOOKUP(A47,'OI(Value)'!A47:O271,11,0)</f>
        <v>925</v>
      </c>
      <c r="S47" s="179">
        <f>VLOOKUP(A47,'OI(Value)'!A47:O271,11,0)</f>
        <v>925</v>
      </c>
    </row>
    <row r="48" spans="1:19" x14ac:dyDescent="0.25">
      <c r="A48" s="105" t="str">
        <f>'Data Vlaue (Cr)'!C43</f>
        <v>CDSL</v>
      </c>
      <c r="B48" s="143">
        <f>VLOOKUP($A48,'Data shares'!$C:$FA,118)</f>
        <v>0.75</v>
      </c>
      <c r="C48" s="143">
        <f>VLOOKUP($A48,'Data shares'!$C:$FA,119)</f>
        <v>0.73</v>
      </c>
      <c r="D48" s="143">
        <f>VLOOKUP($A48,'Data shares'!$C:$FA,121)*100</f>
        <v>2.74</v>
      </c>
      <c r="E48" s="143">
        <f>VLOOKUP($A48,'Data shares'!$C:$FA,124)</f>
        <v>0.36</v>
      </c>
      <c r="F48" s="143">
        <f>VLOOKUP($A48,'Data shares'!$C:$FA,125)</f>
        <v>0.41</v>
      </c>
      <c r="G48" s="143">
        <f>VLOOKUP($A48,'Data shares'!$C:$FA,127)*100</f>
        <v>-12.2</v>
      </c>
      <c r="H48" s="103">
        <f>VLOOKUP($A48,'OI(Volume)'!$A$7:$O$445,8)</f>
        <v>6244350</v>
      </c>
      <c r="I48" s="103">
        <f>VLOOKUP($A48,'OI(Volume)'!$A$7:$O$445,9)</f>
        <v>105450</v>
      </c>
      <c r="J48" s="103">
        <f>VLOOKUP($A48,'OI(Volume)'!$A$7:$O$445,11)</f>
        <v>4684925</v>
      </c>
      <c r="K48" s="103">
        <f>VLOOKUP($A48,'OI(Volume)'!$A$7:$O$445,12)</f>
        <v>175275</v>
      </c>
      <c r="L48" s="103">
        <f>VLOOKUP($A48,'OI(Value)'!$A$7:$O$329,8,0)</f>
        <v>805</v>
      </c>
      <c r="M48" s="103">
        <f>VLOOKUP($A48,'OI(Value)'!$A$7:$O$329,9,0)</f>
        <v>14</v>
      </c>
      <c r="N48" s="103">
        <f>VLOOKUP($A48,'OI(Value)'!$A$7:$O$329,11,0)</f>
        <v>604</v>
      </c>
      <c r="O48" s="103">
        <f>VLOOKUP($A48,'OI(Value)'!$A$7:$O$329,12,0)</f>
        <v>23</v>
      </c>
      <c r="P48" s="179">
        <f>VLOOKUP(A48,'OI(Value)'!A48:O272,8,0)</f>
        <v>805</v>
      </c>
      <c r="Q48" s="179">
        <f>VLOOKUP(A48,'OI(Value)'!A48:O272,9,0)</f>
        <v>14</v>
      </c>
      <c r="R48" s="179">
        <f>VLOOKUP(A48,'OI(Value)'!A48:O272,11,0)</f>
        <v>604</v>
      </c>
      <c r="S48" s="179">
        <f>VLOOKUP(A48,'OI(Value)'!A48:O272,11,0)</f>
        <v>604</v>
      </c>
    </row>
    <row r="49" spans="1:19" x14ac:dyDescent="0.25">
      <c r="A49" s="105" t="str">
        <f>'Data Vlaue (Cr)'!C44</f>
        <v>CGPOWER</v>
      </c>
      <c r="B49" s="143">
        <f>VLOOKUP($A49,'Data shares'!$C:$FA,118)</f>
        <v>0.61</v>
      </c>
      <c r="C49" s="143">
        <f>VLOOKUP($A49,'Data shares'!$C:$FA,119)</f>
        <v>0.53</v>
      </c>
      <c r="D49" s="143">
        <f>VLOOKUP($A49,'Data shares'!$C:$FA,121)*100</f>
        <v>15.09</v>
      </c>
      <c r="E49" s="143">
        <f>VLOOKUP($A49,'Data shares'!$C:$FA,124)</f>
        <v>0.38</v>
      </c>
      <c r="F49" s="143">
        <f>VLOOKUP($A49,'Data shares'!$C:$FA,125)</f>
        <v>0.3</v>
      </c>
      <c r="G49" s="143">
        <f>VLOOKUP($A49,'Data shares'!$C:$FA,127)*100</f>
        <v>26.669999999999998</v>
      </c>
      <c r="H49" s="103">
        <f>VLOOKUP($A49,'OI(Volume)'!$A$7:$O$445,8)</f>
        <v>7487650</v>
      </c>
      <c r="I49" s="103">
        <f>VLOOKUP($A49,'OI(Volume)'!$A$7:$O$445,9)</f>
        <v>2615450</v>
      </c>
      <c r="J49" s="103">
        <f>VLOOKUP($A49,'OI(Volume)'!$A$7:$O$445,11)</f>
        <v>4603600</v>
      </c>
      <c r="K49" s="103">
        <f>VLOOKUP($A49,'OI(Volume)'!$A$7:$O$445,12)</f>
        <v>2037450</v>
      </c>
      <c r="L49" s="103">
        <f>VLOOKUP($A49,'OI(Value)'!$A$7:$O$329,8,0)</f>
        <v>624</v>
      </c>
      <c r="M49" s="103">
        <f>VLOOKUP($A49,'OI(Value)'!$A$7:$O$329,9,0)</f>
        <v>218</v>
      </c>
      <c r="N49" s="103">
        <f>VLOOKUP($A49,'OI(Value)'!$A$7:$O$329,11,0)</f>
        <v>384</v>
      </c>
      <c r="O49" s="103">
        <f>VLOOKUP($A49,'OI(Value)'!$A$7:$O$329,12,0)</f>
        <v>170</v>
      </c>
      <c r="P49" s="179">
        <f>VLOOKUP(A49,'OI(Value)'!A49:O273,8,0)</f>
        <v>624</v>
      </c>
      <c r="Q49" s="179">
        <f>VLOOKUP(A49,'OI(Value)'!A49:O273,9,0)</f>
        <v>218</v>
      </c>
      <c r="R49" s="179">
        <f>VLOOKUP(A49,'OI(Value)'!A49:O273,11,0)</f>
        <v>384</v>
      </c>
      <c r="S49" s="179">
        <f>VLOOKUP(A49,'OI(Value)'!A49:O273,11,0)</f>
        <v>384</v>
      </c>
    </row>
    <row r="50" spans="1:19" x14ac:dyDescent="0.25">
      <c r="A50" s="105" t="str">
        <f>'Data Vlaue (Cr)'!C45</f>
        <v>CHOLAFIN</v>
      </c>
      <c r="B50" s="143">
        <f>VLOOKUP($A50,'Data shares'!$C:$FA,118)</f>
        <v>0.88</v>
      </c>
      <c r="C50" s="143">
        <f>VLOOKUP($A50,'Data shares'!$C:$FA,119)</f>
        <v>0.9</v>
      </c>
      <c r="D50" s="143">
        <f>VLOOKUP($A50,'Data shares'!$C:$FA,121)*100</f>
        <v>-2.2200000000000002</v>
      </c>
      <c r="E50" s="143">
        <f>VLOOKUP($A50,'Data shares'!$C:$FA,124)</f>
        <v>0.7</v>
      </c>
      <c r="F50" s="143">
        <f>VLOOKUP($A50,'Data shares'!$C:$FA,125)</f>
        <v>0.69</v>
      </c>
      <c r="G50" s="143">
        <f>VLOOKUP($A50,'Data shares'!$C:$FA,127)*100</f>
        <v>1.4500000000000002</v>
      </c>
      <c r="H50" s="103">
        <f>VLOOKUP($A50,'OI(Volume)'!$A$7:$O$445,8)</f>
        <v>3047500</v>
      </c>
      <c r="I50" s="103">
        <f>VLOOKUP($A50,'OI(Volume)'!$A$7:$O$445,9)</f>
        <v>308750</v>
      </c>
      <c r="J50" s="103">
        <f>VLOOKUP($A50,'OI(Volume)'!$A$7:$O$445,11)</f>
        <v>2681875</v>
      </c>
      <c r="K50" s="103">
        <f>VLOOKUP($A50,'OI(Volume)'!$A$7:$O$445,12)</f>
        <v>228750</v>
      </c>
      <c r="L50" s="103">
        <f>VLOOKUP($A50,'OI(Value)'!$A$7:$O$329,8,0)</f>
        <v>525</v>
      </c>
      <c r="M50" s="103">
        <f>VLOOKUP($A50,'OI(Value)'!$A$7:$O$329,9,0)</f>
        <v>53</v>
      </c>
      <c r="N50" s="103">
        <f>VLOOKUP($A50,'OI(Value)'!$A$7:$O$329,11,0)</f>
        <v>462</v>
      </c>
      <c r="O50" s="103">
        <f>VLOOKUP($A50,'OI(Value)'!$A$7:$O$329,12,0)</f>
        <v>39</v>
      </c>
      <c r="P50" s="179">
        <f>VLOOKUP(A50,'OI(Value)'!A50:O274,8,0)</f>
        <v>525</v>
      </c>
      <c r="Q50" s="179">
        <f>VLOOKUP(A50,'OI(Value)'!A50:O274,9,0)</f>
        <v>53</v>
      </c>
      <c r="R50" s="179">
        <f>VLOOKUP(A50,'OI(Value)'!A50:O274,11,0)</f>
        <v>462</v>
      </c>
      <c r="S50" s="179">
        <f>VLOOKUP(A50,'OI(Value)'!A50:O274,11,0)</f>
        <v>462</v>
      </c>
    </row>
    <row r="51" spans="1:19" x14ac:dyDescent="0.25">
      <c r="A51" s="105" t="str">
        <f>'Data Vlaue (Cr)'!C46</f>
        <v>CIPLA</v>
      </c>
      <c r="B51" s="143">
        <f>VLOOKUP($A51,'Data shares'!$C:$FA,118)</f>
        <v>0.72</v>
      </c>
      <c r="C51" s="143">
        <f>VLOOKUP($A51,'Data shares'!$C:$FA,119)</f>
        <v>0.66</v>
      </c>
      <c r="D51" s="143">
        <f>VLOOKUP($A51,'Data shares'!$C:$FA,121)*100</f>
        <v>9.09</v>
      </c>
      <c r="E51" s="143">
        <f>VLOOKUP($A51,'Data shares'!$C:$FA,124)</f>
        <v>0.35</v>
      </c>
      <c r="F51" s="143">
        <f>VLOOKUP($A51,'Data shares'!$C:$FA,125)</f>
        <v>0.48</v>
      </c>
      <c r="G51" s="143">
        <f>VLOOKUP($A51,'Data shares'!$C:$FA,127)*100</f>
        <v>-27.08</v>
      </c>
      <c r="H51" s="103">
        <f>VLOOKUP($A51,'OI(Volume)'!$A$7:$O$445,8)</f>
        <v>5029700</v>
      </c>
      <c r="I51" s="103">
        <f>VLOOKUP($A51,'OI(Volume)'!$A$7:$O$445,9)</f>
        <v>193325</v>
      </c>
      <c r="J51" s="103">
        <f>VLOOKUP($A51,'OI(Volume)'!$A$7:$O$445,11)</f>
        <v>3642375</v>
      </c>
      <c r="K51" s="103">
        <f>VLOOKUP($A51,'OI(Volume)'!$A$7:$O$445,12)</f>
        <v>447000</v>
      </c>
      <c r="L51" s="103">
        <f>VLOOKUP($A51,'OI(Value)'!$A$7:$O$329,8,0)</f>
        <v>689</v>
      </c>
      <c r="M51" s="103">
        <f>VLOOKUP($A51,'OI(Value)'!$A$7:$O$329,9,0)</f>
        <v>26</v>
      </c>
      <c r="N51" s="103">
        <f>VLOOKUP($A51,'OI(Value)'!$A$7:$O$329,11,0)</f>
        <v>499</v>
      </c>
      <c r="O51" s="103">
        <f>VLOOKUP($A51,'OI(Value)'!$A$7:$O$329,12,0)</f>
        <v>61</v>
      </c>
      <c r="P51" s="179">
        <f>VLOOKUP(A51,'OI(Value)'!A51:O275,8,0)</f>
        <v>689</v>
      </c>
      <c r="Q51" s="179">
        <f>VLOOKUP(A51,'OI(Value)'!A51:O275,9,0)</f>
        <v>26</v>
      </c>
      <c r="R51" s="179">
        <f>VLOOKUP(A51,'OI(Value)'!A51:O275,11,0)</f>
        <v>499</v>
      </c>
      <c r="S51" s="179">
        <f>VLOOKUP(A51,'OI(Value)'!A51:O275,11,0)</f>
        <v>499</v>
      </c>
    </row>
    <row r="52" spans="1:19" x14ac:dyDescent="0.25">
      <c r="A52" s="105" t="str">
        <f>'Data Vlaue (Cr)'!C47</f>
        <v>COALINDIA</v>
      </c>
      <c r="B52" s="143">
        <f>VLOOKUP($A52,'Data shares'!$C:$FA,118)</f>
        <v>0.65</v>
      </c>
      <c r="C52" s="143">
        <f>VLOOKUP($A52,'Data shares'!$C:$FA,119)</f>
        <v>0.64</v>
      </c>
      <c r="D52" s="143">
        <f>VLOOKUP($A52,'Data shares'!$C:$FA,121)*100</f>
        <v>1.5599999999999998</v>
      </c>
      <c r="E52" s="143">
        <f>VLOOKUP($A52,'Data shares'!$C:$FA,124)</f>
        <v>0.62</v>
      </c>
      <c r="F52" s="143">
        <f>VLOOKUP($A52,'Data shares'!$C:$FA,125)</f>
        <v>0.59</v>
      </c>
      <c r="G52" s="143">
        <f>VLOOKUP($A52,'Data shares'!$C:$FA,127)*100</f>
        <v>5.08</v>
      </c>
      <c r="H52" s="103">
        <f>VLOOKUP($A52,'OI(Volume)'!$A$7:$O$445,8)</f>
        <v>29600100</v>
      </c>
      <c r="I52" s="103">
        <f>VLOOKUP($A52,'OI(Volume)'!$A$7:$O$445,9)</f>
        <v>1440450</v>
      </c>
      <c r="J52" s="103">
        <f>VLOOKUP($A52,'OI(Volume)'!$A$7:$O$445,11)</f>
        <v>19187550</v>
      </c>
      <c r="K52" s="103">
        <f>VLOOKUP($A52,'OI(Volume)'!$A$7:$O$445,12)</f>
        <v>1275750</v>
      </c>
      <c r="L52" s="103">
        <f>VLOOKUP($A52,'OI(Value)'!$A$7:$O$329,8,0)</f>
        <v>1395</v>
      </c>
      <c r="M52" s="103">
        <f>VLOOKUP($A52,'OI(Value)'!$A$7:$O$329,9,0)</f>
        <v>68</v>
      </c>
      <c r="N52" s="103">
        <f>VLOOKUP($A52,'OI(Value)'!$A$7:$O$329,11,0)</f>
        <v>904</v>
      </c>
      <c r="O52" s="103">
        <f>VLOOKUP($A52,'OI(Value)'!$A$7:$O$329,12,0)</f>
        <v>60</v>
      </c>
      <c r="P52" s="179">
        <f>VLOOKUP(A52,'OI(Value)'!A52:O276,8,0)</f>
        <v>1395</v>
      </c>
      <c r="Q52" s="179">
        <f>VLOOKUP(A52,'OI(Value)'!A52:O276,9,0)</f>
        <v>68</v>
      </c>
      <c r="R52" s="179">
        <f>VLOOKUP(A52,'OI(Value)'!A52:O276,11,0)</f>
        <v>904</v>
      </c>
      <c r="S52" s="179">
        <f>VLOOKUP(A52,'OI(Value)'!A52:O276,11,0)</f>
        <v>904</v>
      </c>
    </row>
    <row r="53" spans="1:19" x14ac:dyDescent="0.25">
      <c r="A53" s="105" t="str">
        <f>'Data Vlaue (Cr)'!C48</f>
        <v>COCHINSHIP</v>
      </c>
      <c r="B53" s="143">
        <f>VLOOKUP($A53,'Data shares'!$C:$FA,118)</f>
        <v>0.68</v>
      </c>
      <c r="C53" s="143">
        <f>VLOOKUP($A53,'Data shares'!$C:$FA,119)</f>
        <v>0.69</v>
      </c>
      <c r="D53" s="143">
        <f>VLOOKUP($A53,'Data shares'!$C:$FA,121)*100</f>
        <v>-1.4500000000000002</v>
      </c>
      <c r="E53" s="143">
        <f>VLOOKUP($A53,'Data shares'!$C:$FA,124)</f>
        <v>0.22</v>
      </c>
      <c r="F53" s="143">
        <f>VLOOKUP($A53,'Data shares'!$C:$FA,125)</f>
        <v>0.37</v>
      </c>
      <c r="G53" s="143">
        <f>VLOOKUP($A53,'Data shares'!$C:$FA,127)*100</f>
        <v>-40.54</v>
      </c>
      <c r="H53" s="103">
        <f>VLOOKUP($A53,'OI(Volume)'!$A$7:$O$445,8)</f>
        <v>1327200</v>
      </c>
      <c r="I53" s="103">
        <f>VLOOKUP($A53,'OI(Volume)'!$A$7:$O$445,9)</f>
        <v>111600</v>
      </c>
      <c r="J53" s="103">
        <f>VLOOKUP($A53,'OI(Volume)'!$A$7:$O$445,11)</f>
        <v>897200</v>
      </c>
      <c r="K53" s="103">
        <f>VLOOKUP($A53,'OI(Volume)'!$A$7:$O$445,12)</f>
        <v>56400</v>
      </c>
      <c r="L53" s="103">
        <f>VLOOKUP($A53,'OI(Value)'!$A$7:$O$329,8,0)</f>
        <v>234</v>
      </c>
      <c r="M53" s="103">
        <f>VLOOKUP($A53,'OI(Value)'!$A$7:$O$329,9,0)</f>
        <v>20</v>
      </c>
      <c r="N53" s="103">
        <f>VLOOKUP($A53,'OI(Value)'!$A$7:$O$329,11,0)</f>
        <v>158</v>
      </c>
      <c r="O53" s="103">
        <f>VLOOKUP($A53,'OI(Value)'!$A$7:$O$329,12,0)</f>
        <v>10</v>
      </c>
      <c r="P53" s="179">
        <f>VLOOKUP(A53,'OI(Value)'!A53:O277,8,0)</f>
        <v>234</v>
      </c>
      <c r="Q53" s="179">
        <f>VLOOKUP(A53,'OI(Value)'!A53:O277,9,0)</f>
        <v>20</v>
      </c>
      <c r="R53" s="179">
        <f>VLOOKUP(A53,'OI(Value)'!A53:O277,11,0)</f>
        <v>158</v>
      </c>
      <c r="S53" s="179">
        <f>VLOOKUP(A53,'OI(Value)'!A53:O277,11,0)</f>
        <v>158</v>
      </c>
    </row>
    <row r="54" spans="1:19" x14ac:dyDescent="0.25">
      <c r="A54" s="105" t="str">
        <f>'Data Vlaue (Cr)'!C49</f>
        <v>COFORGE</v>
      </c>
      <c r="B54" s="143">
        <f>VLOOKUP($A54,'Data shares'!$C:$FA,118)</f>
        <v>0.75</v>
      </c>
      <c r="C54" s="143">
        <f>VLOOKUP($A54,'Data shares'!$C:$FA,119)</f>
        <v>0.59</v>
      </c>
      <c r="D54" s="143">
        <f>VLOOKUP($A54,'Data shares'!$C:$FA,121)*100</f>
        <v>27.12</v>
      </c>
      <c r="E54" s="143">
        <f>VLOOKUP($A54,'Data shares'!$C:$FA,124)</f>
        <v>0.53</v>
      </c>
      <c r="F54" s="143">
        <f>VLOOKUP($A54,'Data shares'!$C:$FA,125)</f>
        <v>0.54</v>
      </c>
      <c r="G54" s="143">
        <f>VLOOKUP($A54,'Data shares'!$C:$FA,127)*100</f>
        <v>-1.8499999999999999</v>
      </c>
      <c r="H54" s="103">
        <f>VLOOKUP($A54,'OI(Volume)'!$A$7:$O$445,8)</f>
        <v>9934125</v>
      </c>
      <c r="I54" s="103">
        <f>VLOOKUP($A54,'OI(Volume)'!$A$7:$O$445,9)</f>
        <v>2372625</v>
      </c>
      <c r="J54" s="103">
        <f>VLOOKUP($A54,'OI(Volume)'!$A$7:$O$445,11)</f>
        <v>7411975</v>
      </c>
      <c r="K54" s="103">
        <f>VLOOKUP($A54,'OI(Volume)'!$A$7:$O$445,12)</f>
        <v>2985475</v>
      </c>
      <c r="L54" s="103">
        <f>VLOOKUP($A54,'OI(Value)'!$A$7:$O$329,8,0)</f>
        <v>1281</v>
      </c>
      <c r="M54" s="103">
        <f>VLOOKUP($A54,'OI(Value)'!$A$7:$O$329,9,0)</f>
        <v>306</v>
      </c>
      <c r="N54" s="103">
        <f>VLOOKUP($A54,'OI(Value)'!$A$7:$O$329,11,0)</f>
        <v>956</v>
      </c>
      <c r="O54" s="103">
        <f>VLOOKUP($A54,'OI(Value)'!$A$7:$O$329,12,0)</f>
        <v>385</v>
      </c>
      <c r="P54" s="179">
        <f>VLOOKUP(A54,'OI(Value)'!A54:O278,8,0)</f>
        <v>1281</v>
      </c>
      <c r="Q54" s="179">
        <f>VLOOKUP(A54,'OI(Value)'!A54:O278,9,0)</f>
        <v>306</v>
      </c>
      <c r="R54" s="179">
        <f>VLOOKUP(A54,'OI(Value)'!A54:O278,11,0)</f>
        <v>956</v>
      </c>
      <c r="S54" s="179">
        <f>VLOOKUP(A54,'OI(Value)'!A54:O278,11,0)</f>
        <v>956</v>
      </c>
    </row>
    <row r="55" spans="1:19" x14ac:dyDescent="0.25">
      <c r="A55" s="105" t="str">
        <f>'Data Vlaue (Cr)'!C50</f>
        <v>COLPAL</v>
      </c>
      <c r="B55" s="143">
        <f>VLOOKUP($A55,'Data shares'!$C:$FA,118)</f>
        <v>0.68</v>
      </c>
      <c r="C55" s="143">
        <f>VLOOKUP($A55,'Data shares'!$C:$FA,119)</f>
        <v>0.69</v>
      </c>
      <c r="D55" s="143">
        <f>VLOOKUP($A55,'Data shares'!$C:$FA,121)*100</f>
        <v>-1.4500000000000002</v>
      </c>
      <c r="E55" s="143">
        <f>VLOOKUP($A55,'Data shares'!$C:$FA,124)</f>
        <v>0.36</v>
      </c>
      <c r="F55" s="143">
        <f>VLOOKUP($A55,'Data shares'!$C:$FA,125)</f>
        <v>0.3</v>
      </c>
      <c r="G55" s="143">
        <f>VLOOKUP($A55,'Data shares'!$C:$FA,127)*100</f>
        <v>20</v>
      </c>
      <c r="H55" s="103">
        <f>VLOOKUP($A55,'OI(Volume)'!$A$7:$O$445,8)</f>
        <v>1327725</v>
      </c>
      <c r="I55" s="103">
        <f>VLOOKUP($A55,'OI(Volume)'!$A$7:$O$445,9)</f>
        <v>80550</v>
      </c>
      <c r="J55" s="103">
        <f>VLOOKUP($A55,'OI(Volume)'!$A$7:$O$445,11)</f>
        <v>909450</v>
      </c>
      <c r="K55" s="103">
        <f>VLOOKUP($A55,'OI(Volume)'!$A$7:$O$445,12)</f>
        <v>47925</v>
      </c>
      <c r="L55" s="103">
        <f>VLOOKUP($A55,'OI(Value)'!$A$7:$O$329,8,0)</f>
        <v>287</v>
      </c>
      <c r="M55" s="103">
        <f>VLOOKUP($A55,'OI(Value)'!$A$7:$O$329,9,0)</f>
        <v>17</v>
      </c>
      <c r="N55" s="103">
        <f>VLOOKUP($A55,'OI(Value)'!$A$7:$O$329,11,0)</f>
        <v>197</v>
      </c>
      <c r="O55" s="103">
        <f>VLOOKUP($A55,'OI(Value)'!$A$7:$O$329,12,0)</f>
        <v>10</v>
      </c>
      <c r="P55" s="179">
        <f>VLOOKUP(A55,'OI(Value)'!A55:O279,8,0)</f>
        <v>287</v>
      </c>
      <c r="Q55" s="179">
        <f>VLOOKUP(A55,'OI(Value)'!A55:O279,9,0)</f>
        <v>17</v>
      </c>
      <c r="R55" s="179">
        <f>VLOOKUP(A55,'OI(Value)'!A55:O279,11,0)</f>
        <v>197</v>
      </c>
      <c r="S55" s="179">
        <f>VLOOKUP(A55,'OI(Value)'!A55:O279,11,0)</f>
        <v>197</v>
      </c>
    </row>
    <row r="56" spans="1:19" x14ac:dyDescent="0.25">
      <c r="A56" s="105" t="str">
        <f>'Data Vlaue (Cr)'!C51</f>
        <v>CONCOR</v>
      </c>
      <c r="B56" s="143">
        <f>VLOOKUP($A56,'Data shares'!$C:$FA,118)</f>
        <v>0.73</v>
      </c>
      <c r="C56" s="143">
        <f>VLOOKUP($A56,'Data shares'!$C:$FA,119)</f>
        <v>0.66</v>
      </c>
      <c r="D56" s="143">
        <f>VLOOKUP($A56,'Data shares'!$C:$FA,121)*100</f>
        <v>10.61</v>
      </c>
      <c r="E56" s="143">
        <f>VLOOKUP($A56,'Data shares'!$C:$FA,124)</f>
        <v>0.31</v>
      </c>
      <c r="F56" s="143">
        <f>VLOOKUP($A56,'Data shares'!$C:$FA,125)</f>
        <v>0.21</v>
      </c>
      <c r="G56" s="143">
        <f>VLOOKUP($A56,'Data shares'!$C:$FA,127)*100</f>
        <v>47.620000000000005</v>
      </c>
      <c r="H56" s="103">
        <f>VLOOKUP($A56,'OI(Volume)'!$A$7:$O$445,8)</f>
        <v>5721250</v>
      </c>
      <c r="I56" s="103">
        <f>VLOOKUP($A56,'OI(Volume)'!$A$7:$O$445,9)</f>
        <v>530000</v>
      </c>
      <c r="J56" s="103">
        <f>VLOOKUP($A56,'OI(Volume)'!$A$7:$O$445,11)</f>
        <v>4202500</v>
      </c>
      <c r="K56" s="103">
        <f>VLOOKUP($A56,'OI(Volume)'!$A$7:$O$445,12)</f>
        <v>761250</v>
      </c>
      <c r="L56" s="103">
        <f>VLOOKUP($A56,'OI(Value)'!$A$7:$O$329,8,0)</f>
        <v>302</v>
      </c>
      <c r="M56" s="103">
        <f>VLOOKUP($A56,'OI(Value)'!$A$7:$O$329,9,0)</f>
        <v>28</v>
      </c>
      <c r="N56" s="103">
        <f>VLOOKUP($A56,'OI(Value)'!$A$7:$O$329,11,0)</f>
        <v>222</v>
      </c>
      <c r="O56" s="103">
        <f>VLOOKUP($A56,'OI(Value)'!$A$7:$O$329,12,0)</f>
        <v>40</v>
      </c>
      <c r="P56" s="179">
        <f>VLOOKUP(A56,'OI(Value)'!A56:O280,8,0)</f>
        <v>302</v>
      </c>
      <c r="Q56" s="179">
        <f>VLOOKUP(A56,'OI(Value)'!A56:O280,9,0)</f>
        <v>28</v>
      </c>
      <c r="R56" s="179">
        <f>VLOOKUP(A56,'OI(Value)'!A56:O280,11,0)</f>
        <v>222</v>
      </c>
      <c r="S56" s="179">
        <f>VLOOKUP(A56,'OI(Value)'!A56:O280,11,0)</f>
        <v>222</v>
      </c>
    </row>
    <row r="57" spans="1:19" x14ac:dyDescent="0.25">
      <c r="A57" s="105" t="str">
        <f>'Data Vlaue (Cr)'!C52</f>
        <v>CROMPTON</v>
      </c>
      <c r="B57" s="143">
        <f>VLOOKUP($A57,'Data shares'!$C:$FA,118)</f>
        <v>0.47</v>
      </c>
      <c r="C57" s="143">
        <f>VLOOKUP($A57,'Data shares'!$C:$FA,119)</f>
        <v>0.47</v>
      </c>
      <c r="D57" s="143">
        <f>VLOOKUP($A57,'Data shares'!$C:$FA,121)*100</f>
        <v>0</v>
      </c>
      <c r="E57" s="143">
        <f>VLOOKUP($A57,'Data shares'!$C:$FA,124)</f>
        <v>0.26</v>
      </c>
      <c r="F57" s="143">
        <f>VLOOKUP($A57,'Data shares'!$C:$FA,125)</f>
        <v>0.4</v>
      </c>
      <c r="G57" s="143">
        <f>VLOOKUP($A57,'Data shares'!$C:$FA,127)*100</f>
        <v>-35</v>
      </c>
      <c r="H57" s="103">
        <f>VLOOKUP($A57,'OI(Volume)'!$A$7:$O$445,8)</f>
        <v>15483600</v>
      </c>
      <c r="I57" s="103">
        <f>VLOOKUP($A57,'OI(Volume)'!$A$7:$O$445,9)</f>
        <v>1006200</v>
      </c>
      <c r="J57" s="103">
        <f>VLOOKUP($A57,'OI(Volume)'!$A$7:$O$445,11)</f>
        <v>7237800</v>
      </c>
      <c r="K57" s="103">
        <f>VLOOKUP($A57,'OI(Volume)'!$A$7:$O$445,12)</f>
        <v>369000</v>
      </c>
      <c r="L57" s="103">
        <f>VLOOKUP($A57,'OI(Value)'!$A$7:$O$329,8,0)</f>
        <v>441</v>
      </c>
      <c r="M57" s="103">
        <f>VLOOKUP($A57,'OI(Value)'!$A$7:$O$329,9,0)</f>
        <v>29</v>
      </c>
      <c r="N57" s="103">
        <f>VLOOKUP($A57,'OI(Value)'!$A$7:$O$329,11,0)</f>
        <v>206</v>
      </c>
      <c r="O57" s="103">
        <f>VLOOKUP($A57,'OI(Value)'!$A$7:$O$329,12,0)</f>
        <v>11</v>
      </c>
      <c r="P57" s="179">
        <f>VLOOKUP(A57,'OI(Value)'!A57:O281,8,0)</f>
        <v>441</v>
      </c>
      <c r="Q57" s="179">
        <f>VLOOKUP(A57,'OI(Value)'!A57:O281,9,0)</f>
        <v>29</v>
      </c>
      <c r="R57" s="179">
        <f>VLOOKUP(A57,'OI(Value)'!A57:O281,11,0)</f>
        <v>206</v>
      </c>
      <c r="S57" s="179">
        <f>VLOOKUP(A57,'OI(Value)'!A57:O281,11,0)</f>
        <v>206</v>
      </c>
    </row>
    <row r="58" spans="1:19" x14ac:dyDescent="0.25">
      <c r="A58" s="105" t="str">
        <f>'Data Vlaue (Cr)'!C53</f>
        <v>CUMMINSIND</v>
      </c>
      <c r="B58" s="143">
        <f>VLOOKUP($A58,'Data shares'!$C:$FA,118)</f>
        <v>0.71</v>
      </c>
      <c r="C58" s="143">
        <f>VLOOKUP($A58,'Data shares'!$C:$FA,119)</f>
        <v>0.7</v>
      </c>
      <c r="D58" s="143">
        <f>VLOOKUP($A58,'Data shares'!$C:$FA,121)*100</f>
        <v>1.43</v>
      </c>
      <c r="E58" s="143">
        <f>VLOOKUP($A58,'Data shares'!$C:$FA,124)</f>
        <v>0.53</v>
      </c>
      <c r="F58" s="143">
        <f>VLOOKUP($A58,'Data shares'!$C:$FA,125)</f>
        <v>0.57999999999999996</v>
      </c>
      <c r="G58" s="143">
        <f>VLOOKUP($A58,'Data shares'!$C:$FA,127)*100</f>
        <v>-8.6199999999999992</v>
      </c>
      <c r="H58" s="103">
        <f>VLOOKUP($A58,'OI(Volume)'!$A$7:$O$445,8)</f>
        <v>697400</v>
      </c>
      <c r="I58" s="103">
        <f>VLOOKUP($A58,'OI(Volume)'!$A$7:$O$445,9)</f>
        <v>76800</v>
      </c>
      <c r="J58" s="103">
        <f>VLOOKUP($A58,'OI(Volume)'!$A$7:$O$445,11)</f>
        <v>495800</v>
      </c>
      <c r="K58" s="103">
        <f>VLOOKUP($A58,'OI(Volume)'!$A$7:$O$445,12)</f>
        <v>59200</v>
      </c>
      <c r="L58" s="103">
        <f>VLOOKUP($A58,'OI(Value)'!$A$7:$O$329,8,0)</f>
        <v>373</v>
      </c>
      <c r="M58" s="103">
        <f>VLOOKUP($A58,'OI(Value)'!$A$7:$O$329,9,0)</f>
        <v>41</v>
      </c>
      <c r="N58" s="103">
        <f>VLOOKUP($A58,'OI(Value)'!$A$7:$O$329,11,0)</f>
        <v>265</v>
      </c>
      <c r="O58" s="103">
        <f>VLOOKUP($A58,'OI(Value)'!$A$7:$O$329,12,0)</f>
        <v>32</v>
      </c>
      <c r="P58" s="179">
        <f>VLOOKUP(A58,'OI(Value)'!A58:O282,8,0)</f>
        <v>373</v>
      </c>
      <c r="Q58" s="179">
        <f>VLOOKUP(A58,'OI(Value)'!A58:O282,9,0)</f>
        <v>41</v>
      </c>
      <c r="R58" s="179">
        <f>VLOOKUP(A58,'OI(Value)'!A58:O282,11,0)</f>
        <v>265</v>
      </c>
      <c r="S58" s="179">
        <f>VLOOKUP(A58,'OI(Value)'!A58:O282,11,0)</f>
        <v>265</v>
      </c>
    </row>
    <row r="59" spans="1:19" x14ac:dyDescent="0.25">
      <c r="A59" s="105" t="str">
        <f>'Data Vlaue (Cr)'!C54</f>
        <v>DABUR</v>
      </c>
      <c r="B59" s="143">
        <f>VLOOKUP($A59,'Data shares'!$C:$FA,118)</f>
        <v>0.56000000000000005</v>
      </c>
      <c r="C59" s="143">
        <f>VLOOKUP($A59,'Data shares'!$C:$FA,119)</f>
        <v>0.67</v>
      </c>
      <c r="D59" s="143">
        <f>VLOOKUP($A59,'Data shares'!$C:$FA,121)*100</f>
        <v>-16.420000000000002</v>
      </c>
      <c r="E59" s="143">
        <f>VLOOKUP($A59,'Data shares'!$C:$FA,124)</f>
        <v>0.25</v>
      </c>
      <c r="F59" s="143">
        <f>VLOOKUP($A59,'Data shares'!$C:$FA,125)</f>
        <v>0.25</v>
      </c>
      <c r="G59" s="143">
        <f>VLOOKUP($A59,'Data shares'!$C:$FA,127)*100</f>
        <v>0</v>
      </c>
      <c r="H59" s="103">
        <f>VLOOKUP($A59,'OI(Volume)'!$A$7:$O$445,8)</f>
        <v>9717500</v>
      </c>
      <c r="I59" s="103">
        <f>VLOOKUP($A59,'OI(Volume)'!$A$7:$O$445,9)</f>
        <v>2322500</v>
      </c>
      <c r="J59" s="103">
        <f>VLOOKUP($A59,'OI(Volume)'!$A$7:$O$445,11)</f>
        <v>5433750</v>
      </c>
      <c r="K59" s="103">
        <f>VLOOKUP($A59,'OI(Volume)'!$A$7:$O$445,12)</f>
        <v>502500</v>
      </c>
      <c r="L59" s="103">
        <f>VLOOKUP($A59,'OI(Value)'!$A$7:$O$329,8,0)</f>
        <v>455</v>
      </c>
      <c r="M59" s="103">
        <f>VLOOKUP($A59,'OI(Value)'!$A$7:$O$329,9,0)</f>
        <v>109</v>
      </c>
      <c r="N59" s="103">
        <f>VLOOKUP($A59,'OI(Value)'!$A$7:$O$329,11,0)</f>
        <v>254</v>
      </c>
      <c r="O59" s="103">
        <f>VLOOKUP($A59,'OI(Value)'!$A$7:$O$329,12,0)</f>
        <v>24</v>
      </c>
      <c r="P59" s="179">
        <f>VLOOKUP(A59,'OI(Value)'!A59:O283,8,0)</f>
        <v>455</v>
      </c>
      <c r="Q59" s="179">
        <f>VLOOKUP(A59,'OI(Value)'!A59:O283,9,0)</f>
        <v>109</v>
      </c>
      <c r="R59" s="179">
        <f>VLOOKUP(A59,'OI(Value)'!A59:O283,11,0)</f>
        <v>254</v>
      </c>
      <c r="S59" s="179">
        <f>VLOOKUP(A59,'OI(Value)'!A59:O283,11,0)</f>
        <v>254</v>
      </c>
    </row>
    <row r="60" spans="1:19" x14ac:dyDescent="0.25">
      <c r="A60" s="105" t="str">
        <f>'Data Vlaue (Cr)'!C55</f>
        <v>DALBHARAT</v>
      </c>
      <c r="B60" s="143">
        <f>VLOOKUP($A60,'Data shares'!$C:$FA,118)</f>
        <v>0.52</v>
      </c>
      <c r="C60" s="143">
        <f>VLOOKUP($A60,'Data shares'!$C:$FA,119)</f>
        <v>0.61</v>
      </c>
      <c r="D60" s="143">
        <f>VLOOKUP($A60,'Data shares'!$C:$FA,121)*100</f>
        <v>-14.75</v>
      </c>
      <c r="E60" s="143">
        <f>VLOOKUP($A60,'Data shares'!$C:$FA,124)</f>
        <v>0.22</v>
      </c>
      <c r="F60" s="143">
        <f>VLOOKUP($A60,'Data shares'!$C:$FA,125)</f>
        <v>0.37</v>
      </c>
      <c r="G60" s="143">
        <f>VLOOKUP($A60,'Data shares'!$C:$FA,127)*100</f>
        <v>-40.54</v>
      </c>
      <c r="H60" s="103">
        <f>VLOOKUP($A60,'OI(Volume)'!$A$7:$O$445,8)</f>
        <v>1021475</v>
      </c>
      <c r="I60" s="103">
        <f>VLOOKUP($A60,'OI(Volume)'!$A$7:$O$445,9)</f>
        <v>156000</v>
      </c>
      <c r="J60" s="103">
        <f>VLOOKUP($A60,'OI(Volume)'!$A$7:$O$445,11)</f>
        <v>529425</v>
      </c>
      <c r="K60" s="103">
        <f>VLOOKUP($A60,'OI(Volume)'!$A$7:$O$445,12)</f>
        <v>4225</v>
      </c>
      <c r="L60" s="103">
        <f>VLOOKUP($A60,'OI(Value)'!$A$7:$O$329,8,0)</f>
        <v>203</v>
      </c>
      <c r="M60" s="103">
        <f>VLOOKUP($A60,'OI(Value)'!$A$7:$O$329,9,0)</f>
        <v>31</v>
      </c>
      <c r="N60" s="103">
        <f>VLOOKUP($A60,'OI(Value)'!$A$7:$O$329,11,0)</f>
        <v>105</v>
      </c>
      <c r="O60" s="103">
        <f>VLOOKUP($A60,'OI(Value)'!$A$7:$O$329,12,0)</f>
        <v>1</v>
      </c>
      <c r="P60" s="179">
        <f>VLOOKUP(A60,'OI(Value)'!A60:O284,8,0)</f>
        <v>203</v>
      </c>
      <c r="Q60" s="179">
        <f>VLOOKUP(A60,'OI(Value)'!A60:O284,9,0)</f>
        <v>31</v>
      </c>
      <c r="R60" s="179">
        <f>VLOOKUP(A60,'OI(Value)'!A60:O284,11,0)</f>
        <v>105</v>
      </c>
      <c r="S60" s="179">
        <f>VLOOKUP(A60,'OI(Value)'!A60:O284,11,0)</f>
        <v>105</v>
      </c>
    </row>
    <row r="61" spans="1:19" x14ac:dyDescent="0.25">
      <c r="A61" s="105" t="str">
        <f>'Data Vlaue (Cr)'!C56</f>
        <v>DELHIVERY</v>
      </c>
      <c r="B61" s="143">
        <f>VLOOKUP($A61,'Data shares'!$C:$FA,118)</f>
        <v>0.59</v>
      </c>
      <c r="C61" s="143">
        <f>VLOOKUP($A61,'Data shares'!$C:$FA,119)</f>
        <v>0.65</v>
      </c>
      <c r="D61" s="143">
        <f>VLOOKUP($A61,'Data shares'!$C:$FA,121)*100</f>
        <v>-9.2299999999999986</v>
      </c>
      <c r="E61" s="143">
        <f>VLOOKUP($A61,'Data shares'!$C:$FA,124)</f>
        <v>0.56000000000000005</v>
      </c>
      <c r="F61" s="143">
        <f>VLOOKUP($A61,'Data shares'!$C:$FA,125)</f>
        <v>1.32</v>
      </c>
      <c r="G61" s="143">
        <f>VLOOKUP($A61,'Data shares'!$C:$FA,127)*100</f>
        <v>-57.58</v>
      </c>
      <c r="H61" s="103">
        <f>VLOOKUP($A61,'OI(Volume)'!$A$7:$O$445,8)</f>
        <v>7142150</v>
      </c>
      <c r="I61" s="103">
        <f>VLOOKUP($A61,'OI(Volume)'!$A$7:$O$445,9)</f>
        <v>587225</v>
      </c>
      <c r="J61" s="103">
        <f>VLOOKUP($A61,'OI(Volume)'!$A$7:$O$445,11)</f>
        <v>4195650</v>
      </c>
      <c r="K61" s="103">
        <f>VLOOKUP($A61,'OI(Volume)'!$A$7:$O$445,12)</f>
        <v>-49800</v>
      </c>
      <c r="L61" s="103">
        <f>VLOOKUP($A61,'OI(Value)'!$A$7:$O$329,8,0)</f>
        <v>338</v>
      </c>
      <c r="M61" s="103">
        <f>VLOOKUP($A61,'OI(Value)'!$A$7:$O$329,9,0)</f>
        <v>28</v>
      </c>
      <c r="N61" s="103">
        <f>VLOOKUP($A61,'OI(Value)'!$A$7:$O$329,11,0)</f>
        <v>199</v>
      </c>
      <c r="O61" s="103">
        <f>VLOOKUP($A61,'OI(Value)'!$A$7:$O$329,12,0)</f>
        <v>-2</v>
      </c>
      <c r="P61" s="179">
        <f>VLOOKUP(A61,'OI(Value)'!A61:O285,8,0)</f>
        <v>338</v>
      </c>
      <c r="Q61" s="179">
        <f>VLOOKUP(A61,'OI(Value)'!A61:O285,9,0)</f>
        <v>28</v>
      </c>
      <c r="R61" s="179">
        <f>VLOOKUP(A61,'OI(Value)'!A61:O285,11,0)</f>
        <v>199</v>
      </c>
      <c r="S61" s="179">
        <f>VLOOKUP(A61,'OI(Value)'!A61:O285,11,0)</f>
        <v>199</v>
      </c>
    </row>
    <row r="62" spans="1:19" x14ac:dyDescent="0.25">
      <c r="A62" s="105" t="str">
        <f>'Data Vlaue (Cr)'!C57</f>
        <v>DIVISLAB</v>
      </c>
      <c r="B62" s="143">
        <f>VLOOKUP($A62,'Data shares'!$C:$FA,118)</f>
        <v>0.67</v>
      </c>
      <c r="C62" s="143">
        <f>VLOOKUP($A62,'Data shares'!$C:$FA,119)</f>
        <v>0.65</v>
      </c>
      <c r="D62" s="143">
        <f>VLOOKUP($A62,'Data shares'!$C:$FA,121)*100</f>
        <v>3.08</v>
      </c>
      <c r="E62" s="143">
        <f>VLOOKUP($A62,'Data shares'!$C:$FA,124)</f>
        <v>0.45</v>
      </c>
      <c r="F62" s="143">
        <f>VLOOKUP($A62,'Data shares'!$C:$FA,125)</f>
        <v>0.44</v>
      </c>
      <c r="G62" s="143">
        <f>VLOOKUP($A62,'Data shares'!$C:$FA,127)*100</f>
        <v>2.27</v>
      </c>
      <c r="H62" s="103">
        <f>VLOOKUP($A62,'OI(Volume)'!$A$7:$O$445,8)</f>
        <v>707500</v>
      </c>
      <c r="I62" s="103">
        <f>VLOOKUP($A62,'OI(Volume)'!$A$7:$O$445,9)</f>
        <v>65500</v>
      </c>
      <c r="J62" s="103">
        <f>VLOOKUP($A62,'OI(Volume)'!$A$7:$O$445,11)</f>
        <v>477200</v>
      </c>
      <c r="K62" s="103">
        <f>VLOOKUP($A62,'OI(Volume)'!$A$7:$O$445,12)</f>
        <v>63100</v>
      </c>
      <c r="L62" s="103">
        <f>VLOOKUP($A62,'OI(Value)'!$A$7:$O$329,8,0)</f>
        <v>477</v>
      </c>
      <c r="M62" s="103">
        <f>VLOOKUP($A62,'OI(Value)'!$A$7:$O$329,9,0)</f>
        <v>44</v>
      </c>
      <c r="N62" s="103">
        <f>VLOOKUP($A62,'OI(Value)'!$A$7:$O$329,11,0)</f>
        <v>322</v>
      </c>
      <c r="O62" s="103">
        <f>VLOOKUP($A62,'OI(Value)'!$A$7:$O$329,12,0)</f>
        <v>43</v>
      </c>
      <c r="P62" s="179">
        <f>VLOOKUP(A62,'OI(Value)'!A62:O286,8,0)</f>
        <v>477</v>
      </c>
      <c r="Q62" s="179">
        <f>VLOOKUP(A62,'OI(Value)'!A62:O286,9,0)</f>
        <v>44</v>
      </c>
      <c r="R62" s="179">
        <f>VLOOKUP(A62,'OI(Value)'!A62:O286,11,0)</f>
        <v>322</v>
      </c>
      <c r="S62" s="179">
        <f>VLOOKUP(A62,'OI(Value)'!A62:O286,11,0)</f>
        <v>322</v>
      </c>
    </row>
    <row r="63" spans="1:19" x14ac:dyDescent="0.25">
      <c r="A63" s="105" t="str">
        <f>'Data Vlaue (Cr)'!C58</f>
        <v>DIXON</v>
      </c>
      <c r="B63" s="143">
        <f>VLOOKUP($A63,'Data shares'!$C:$FA,118)</f>
        <v>0.86</v>
      </c>
      <c r="C63" s="143">
        <f>VLOOKUP($A63,'Data shares'!$C:$FA,119)</f>
        <v>0.92</v>
      </c>
      <c r="D63" s="143">
        <f>VLOOKUP($A63,'Data shares'!$C:$FA,121)*100</f>
        <v>-6.52</v>
      </c>
      <c r="E63" s="143">
        <f>VLOOKUP($A63,'Data shares'!$C:$FA,124)</f>
        <v>0.44</v>
      </c>
      <c r="F63" s="143">
        <f>VLOOKUP($A63,'Data shares'!$C:$FA,125)</f>
        <v>0.52</v>
      </c>
      <c r="G63" s="143">
        <f>VLOOKUP($A63,'Data shares'!$C:$FA,127)*100</f>
        <v>-15.379999999999999</v>
      </c>
      <c r="H63" s="103">
        <f>VLOOKUP($A63,'OI(Volume)'!$A$7:$O$445,8)</f>
        <v>1186750</v>
      </c>
      <c r="I63" s="103">
        <f>VLOOKUP($A63,'OI(Volume)'!$A$7:$O$445,9)</f>
        <v>115200</v>
      </c>
      <c r="J63" s="103">
        <f>VLOOKUP($A63,'OI(Volume)'!$A$7:$O$445,11)</f>
        <v>1017900</v>
      </c>
      <c r="K63" s="103">
        <f>VLOOKUP($A63,'OI(Volume)'!$A$7:$O$445,12)</f>
        <v>29750</v>
      </c>
      <c r="L63" s="103">
        <f>VLOOKUP($A63,'OI(Value)'!$A$7:$O$329,8,0)</f>
        <v>1348</v>
      </c>
      <c r="M63" s="103">
        <f>VLOOKUP($A63,'OI(Value)'!$A$7:$O$329,9,0)</f>
        <v>131</v>
      </c>
      <c r="N63" s="103">
        <f>VLOOKUP($A63,'OI(Value)'!$A$7:$O$329,11,0)</f>
        <v>1156</v>
      </c>
      <c r="O63" s="103">
        <f>VLOOKUP($A63,'OI(Value)'!$A$7:$O$329,12,0)</f>
        <v>34</v>
      </c>
      <c r="P63" s="179">
        <f>VLOOKUP(A63,'OI(Value)'!A63:O287,8,0)</f>
        <v>1348</v>
      </c>
      <c r="Q63" s="179">
        <f>VLOOKUP(A63,'OI(Value)'!A63:O287,9,0)</f>
        <v>131</v>
      </c>
      <c r="R63" s="179">
        <f>VLOOKUP(A63,'OI(Value)'!A63:O287,11,0)</f>
        <v>1156</v>
      </c>
      <c r="S63" s="179">
        <f>VLOOKUP(A63,'OI(Value)'!A63:O287,11,0)</f>
        <v>1156</v>
      </c>
    </row>
    <row r="64" spans="1:19" x14ac:dyDescent="0.25">
      <c r="A64" s="105" t="str">
        <f>'Data Vlaue (Cr)'!C59</f>
        <v>DLF</v>
      </c>
      <c r="B64" s="143">
        <f>VLOOKUP($A64,'Data shares'!$C:$FA,118)</f>
        <v>0.73</v>
      </c>
      <c r="C64" s="143">
        <f>VLOOKUP($A64,'Data shares'!$C:$FA,119)</f>
        <v>0.72</v>
      </c>
      <c r="D64" s="143">
        <f>VLOOKUP($A64,'Data shares'!$C:$FA,121)*100</f>
        <v>1.39</v>
      </c>
      <c r="E64" s="143">
        <f>VLOOKUP($A64,'Data shares'!$C:$FA,124)</f>
        <v>0.43</v>
      </c>
      <c r="F64" s="143">
        <f>VLOOKUP($A64,'Data shares'!$C:$FA,125)</f>
        <v>0.46</v>
      </c>
      <c r="G64" s="143">
        <f>VLOOKUP($A64,'Data shares'!$C:$FA,127)*100</f>
        <v>-6.52</v>
      </c>
      <c r="H64" s="103">
        <f>VLOOKUP($A64,'OI(Volume)'!$A$7:$O$445,8)</f>
        <v>8149350</v>
      </c>
      <c r="I64" s="103">
        <f>VLOOKUP($A64,'OI(Volume)'!$A$7:$O$445,9)</f>
        <v>19800</v>
      </c>
      <c r="J64" s="103">
        <f>VLOOKUP($A64,'OI(Volume)'!$A$7:$O$445,11)</f>
        <v>5960625</v>
      </c>
      <c r="K64" s="103">
        <f>VLOOKUP($A64,'OI(Volume)'!$A$7:$O$445,12)</f>
        <v>84975</v>
      </c>
      <c r="L64" s="103">
        <f>VLOOKUP($A64,'OI(Value)'!$A$7:$O$329,8,0)</f>
        <v>500</v>
      </c>
      <c r="M64" s="103">
        <f>VLOOKUP($A64,'OI(Value)'!$A$7:$O$329,9,0)</f>
        <v>1</v>
      </c>
      <c r="N64" s="103">
        <f>VLOOKUP($A64,'OI(Value)'!$A$7:$O$329,11,0)</f>
        <v>366</v>
      </c>
      <c r="O64" s="103">
        <f>VLOOKUP($A64,'OI(Value)'!$A$7:$O$329,12,0)</f>
        <v>5</v>
      </c>
      <c r="P64" s="179">
        <f>VLOOKUP(A64,'OI(Value)'!A64:O288,8,0)</f>
        <v>500</v>
      </c>
      <c r="Q64" s="179">
        <f>VLOOKUP(A64,'OI(Value)'!A64:O288,9,0)</f>
        <v>1</v>
      </c>
      <c r="R64" s="179">
        <f>VLOOKUP(A64,'OI(Value)'!A64:O288,11,0)</f>
        <v>366</v>
      </c>
      <c r="S64" s="179">
        <f>VLOOKUP(A64,'OI(Value)'!A64:O288,11,0)</f>
        <v>366</v>
      </c>
    </row>
    <row r="65" spans="1:19" x14ac:dyDescent="0.25">
      <c r="A65" s="105" t="str">
        <f>'Data Vlaue (Cr)'!C60</f>
        <v>DMART</v>
      </c>
      <c r="B65" s="143">
        <f>VLOOKUP($A65,'Data shares'!$C:$FA,118)</f>
        <v>0.53</v>
      </c>
      <c r="C65" s="143">
        <f>VLOOKUP($A65,'Data shares'!$C:$FA,119)</f>
        <v>0.45</v>
      </c>
      <c r="D65" s="143">
        <f>VLOOKUP($A65,'Data shares'!$C:$FA,121)*100</f>
        <v>17.78</v>
      </c>
      <c r="E65" s="143">
        <f>VLOOKUP($A65,'Data shares'!$C:$FA,124)</f>
        <v>0.37</v>
      </c>
      <c r="F65" s="143">
        <f>VLOOKUP($A65,'Data shares'!$C:$FA,125)</f>
        <v>0.42</v>
      </c>
      <c r="G65" s="143">
        <f>VLOOKUP($A65,'Data shares'!$C:$FA,127)*100</f>
        <v>-11.899999999999999</v>
      </c>
      <c r="H65" s="103">
        <f>VLOOKUP($A65,'OI(Volume)'!$A$7:$O$445,8)</f>
        <v>1631250</v>
      </c>
      <c r="I65" s="103">
        <f>VLOOKUP($A65,'OI(Volume)'!$A$7:$O$445,9)</f>
        <v>-273150</v>
      </c>
      <c r="J65" s="103">
        <f>VLOOKUP($A65,'OI(Volume)'!$A$7:$O$445,11)</f>
        <v>857400</v>
      </c>
      <c r="K65" s="103">
        <f>VLOOKUP($A65,'OI(Volume)'!$A$7:$O$445,12)</f>
        <v>5550</v>
      </c>
      <c r="L65" s="103">
        <f>VLOOKUP($A65,'OI(Value)'!$A$7:$O$329,8,0)</f>
        <v>723</v>
      </c>
      <c r="M65" s="103">
        <f>VLOOKUP($A65,'OI(Value)'!$A$7:$O$329,9,0)</f>
        <v>-121</v>
      </c>
      <c r="N65" s="103">
        <f>VLOOKUP($A65,'OI(Value)'!$A$7:$O$329,11,0)</f>
        <v>380</v>
      </c>
      <c r="O65" s="103">
        <f>VLOOKUP($A65,'OI(Value)'!$A$7:$O$329,12,0)</f>
        <v>2</v>
      </c>
      <c r="P65" s="179">
        <f>VLOOKUP(A65,'OI(Value)'!A65:O289,8,0)</f>
        <v>723</v>
      </c>
      <c r="Q65" s="179">
        <f>VLOOKUP(A65,'OI(Value)'!A65:O289,9,0)</f>
        <v>-121</v>
      </c>
      <c r="R65" s="179">
        <f>VLOOKUP(A65,'OI(Value)'!A65:O289,11,0)</f>
        <v>380</v>
      </c>
      <c r="S65" s="179">
        <f>VLOOKUP(A65,'OI(Value)'!A65:O289,11,0)</f>
        <v>380</v>
      </c>
    </row>
    <row r="66" spans="1:19" x14ac:dyDescent="0.25">
      <c r="A66" s="105" t="str">
        <f>'Data Vlaue (Cr)'!C61</f>
        <v>DRREDDY</v>
      </c>
      <c r="B66" s="143">
        <f>VLOOKUP($A66,'Data shares'!$C:$FA,118)</f>
        <v>0.52</v>
      </c>
      <c r="C66" s="143">
        <f>VLOOKUP($A66,'Data shares'!$C:$FA,119)</f>
        <v>0.46</v>
      </c>
      <c r="D66" s="143">
        <f>VLOOKUP($A66,'Data shares'!$C:$FA,121)*100</f>
        <v>13.04</v>
      </c>
      <c r="E66" s="143">
        <f>VLOOKUP($A66,'Data shares'!$C:$FA,124)</f>
        <v>0.4</v>
      </c>
      <c r="F66" s="143">
        <f>VLOOKUP($A66,'Data shares'!$C:$FA,125)</f>
        <v>0.45</v>
      </c>
      <c r="G66" s="143">
        <f>VLOOKUP($A66,'Data shares'!$C:$FA,127)*100</f>
        <v>-11.110000000000001</v>
      </c>
      <c r="H66" s="103">
        <f>VLOOKUP($A66,'OI(Volume)'!$A$7:$O$445,8)</f>
        <v>10065000</v>
      </c>
      <c r="I66" s="103">
        <f>VLOOKUP($A66,'OI(Volume)'!$A$7:$O$445,9)</f>
        <v>499375</v>
      </c>
      <c r="J66" s="103">
        <f>VLOOKUP($A66,'OI(Volume)'!$A$7:$O$445,11)</f>
        <v>5222500</v>
      </c>
      <c r="K66" s="103">
        <f>VLOOKUP($A66,'OI(Volume)'!$A$7:$O$445,12)</f>
        <v>832500</v>
      </c>
      <c r="L66" s="103">
        <f>VLOOKUP($A66,'OI(Value)'!$A$7:$O$329,8,0)</f>
        <v>1314</v>
      </c>
      <c r="M66" s="103">
        <f>VLOOKUP($A66,'OI(Value)'!$A$7:$O$329,9,0)</f>
        <v>65</v>
      </c>
      <c r="N66" s="103">
        <f>VLOOKUP($A66,'OI(Value)'!$A$7:$O$329,11,0)</f>
        <v>682</v>
      </c>
      <c r="O66" s="103">
        <f>VLOOKUP($A66,'OI(Value)'!$A$7:$O$329,12,0)</f>
        <v>109</v>
      </c>
      <c r="P66" s="179">
        <f>VLOOKUP(A66,'OI(Value)'!A66:O290,8,0)</f>
        <v>1314</v>
      </c>
      <c r="Q66" s="179">
        <f>VLOOKUP(A66,'OI(Value)'!A66:O290,9,0)</f>
        <v>65</v>
      </c>
      <c r="R66" s="179">
        <f>VLOOKUP(A66,'OI(Value)'!A66:O290,11,0)</f>
        <v>682</v>
      </c>
      <c r="S66" s="179">
        <f>VLOOKUP(A66,'OI(Value)'!A66:O290,11,0)</f>
        <v>682</v>
      </c>
    </row>
    <row r="67" spans="1:19" x14ac:dyDescent="0.25">
      <c r="A67" s="105" t="str">
        <f>'Data Vlaue (Cr)'!C62</f>
        <v>EICHERMOT</v>
      </c>
      <c r="B67" s="143">
        <f>VLOOKUP($A67,'Data shares'!$C:$FA,118)</f>
        <v>0.76</v>
      </c>
      <c r="C67" s="143">
        <f>VLOOKUP($A67,'Data shares'!$C:$FA,119)</f>
        <v>0.82</v>
      </c>
      <c r="D67" s="143">
        <f>VLOOKUP($A67,'Data shares'!$C:$FA,121)*100</f>
        <v>-7.32</v>
      </c>
      <c r="E67" s="143">
        <f>VLOOKUP($A67,'Data shares'!$C:$FA,124)</f>
        <v>0.51</v>
      </c>
      <c r="F67" s="143">
        <f>VLOOKUP($A67,'Data shares'!$C:$FA,125)</f>
        <v>0.56000000000000005</v>
      </c>
      <c r="G67" s="143">
        <f>VLOOKUP($A67,'Data shares'!$C:$FA,127)*100</f>
        <v>-8.93</v>
      </c>
      <c r="H67" s="103">
        <f>VLOOKUP($A67,'OI(Volume)'!$A$7:$O$445,8)</f>
        <v>1121600</v>
      </c>
      <c r="I67" s="103">
        <f>VLOOKUP($A67,'OI(Volume)'!$A$7:$O$445,9)</f>
        <v>78500</v>
      </c>
      <c r="J67" s="103">
        <f>VLOOKUP($A67,'OI(Volume)'!$A$7:$O$445,11)</f>
        <v>852600</v>
      </c>
      <c r="K67" s="103">
        <f>VLOOKUP($A67,'OI(Volume)'!$A$7:$O$445,12)</f>
        <v>-1000</v>
      </c>
      <c r="L67" s="103">
        <f>VLOOKUP($A67,'OI(Value)'!$A$7:$O$329,8,0)</f>
        <v>824</v>
      </c>
      <c r="M67" s="103">
        <f>VLOOKUP($A67,'OI(Value)'!$A$7:$O$329,9,0)</f>
        <v>58</v>
      </c>
      <c r="N67" s="103">
        <f>VLOOKUP($A67,'OI(Value)'!$A$7:$O$329,11,0)</f>
        <v>627</v>
      </c>
      <c r="O67" s="103">
        <f>VLOOKUP($A67,'OI(Value)'!$A$7:$O$329,12,0)</f>
        <v>-1</v>
      </c>
      <c r="P67" s="179">
        <f>VLOOKUP(A67,'OI(Value)'!A67:O291,8,0)</f>
        <v>824</v>
      </c>
      <c r="Q67" s="179">
        <f>VLOOKUP(A67,'OI(Value)'!A67:O291,9,0)</f>
        <v>58</v>
      </c>
      <c r="R67" s="179">
        <f>VLOOKUP(A67,'OI(Value)'!A67:O291,11,0)</f>
        <v>627</v>
      </c>
      <c r="S67" s="179">
        <f>VLOOKUP(A67,'OI(Value)'!A67:O291,11,0)</f>
        <v>627</v>
      </c>
    </row>
    <row r="68" spans="1:19" x14ac:dyDescent="0.25">
      <c r="A68" s="105" t="str">
        <f>'Data Vlaue (Cr)'!C63</f>
        <v>ETERNAL</v>
      </c>
      <c r="B68" s="143">
        <f>VLOOKUP($A68,'Data shares'!$C:$FA,118)</f>
        <v>0.56999999999999995</v>
      </c>
      <c r="C68" s="143">
        <f>VLOOKUP($A68,'Data shares'!$C:$FA,119)</f>
        <v>0.55000000000000004</v>
      </c>
      <c r="D68" s="143">
        <f>VLOOKUP($A68,'Data shares'!$C:$FA,121)*100</f>
        <v>3.64</v>
      </c>
      <c r="E68" s="143">
        <f>VLOOKUP($A68,'Data shares'!$C:$FA,124)</f>
        <v>0.59</v>
      </c>
      <c r="F68" s="143">
        <f>VLOOKUP($A68,'Data shares'!$C:$FA,125)</f>
        <v>0.59</v>
      </c>
      <c r="G68" s="143">
        <f>VLOOKUP($A68,'Data shares'!$C:$FA,127)*100</f>
        <v>0</v>
      </c>
      <c r="H68" s="103">
        <f>VLOOKUP($A68,'OI(Volume)'!$A$7:$O$445,8)</f>
        <v>89307900</v>
      </c>
      <c r="I68" s="103">
        <f>VLOOKUP($A68,'OI(Volume)'!$A$7:$O$445,9)</f>
        <v>-5415025</v>
      </c>
      <c r="J68" s="103">
        <f>VLOOKUP($A68,'OI(Volume)'!$A$7:$O$445,11)</f>
        <v>50946825</v>
      </c>
      <c r="K68" s="103">
        <f>VLOOKUP($A68,'OI(Volume)'!$A$7:$O$445,12)</f>
        <v>-887550</v>
      </c>
      <c r="L68" s="103">
        <f>VLOOKUP($A68,'OI(Value)'!$A$7:$O$329,8,0)</f>
        <v>2303</v>
      </c>
      <c r="M68" s="103">
        <f>VLOOKUP($A68,'OI(Value)'!$A$7:$O$329,9,0)</f>
        <v>-140</v>
      </c>
      <c r="N68" s="103">
        <f>VLOOKUP($A68,'OI(Value)'!$A$7:$O$329,11,0)</f>
        <v>1314</v>
      </c>
      <c r="O68" s="103">
        <f>VLOOKUP($A68,'OI(Value)'!$A$7:$O$329,12,0)</f>
        <v>-23</v>
      </c>
      <c r="P68" s="179">
        <f>VLOOKUP(A68,'OI(Value)'!A68:O292,8,0)</f>
        <v>2303</v>
      </c>
      <c r="Q68" s="179">
        <f>VLOOKUP(A68,'OI(Value)'!A68:O292,9,0)</f>
        <v>-140</v>
      </c>
      <c r="R68" s="179">
        <f>VLOOKUP(A68,'OI(Value)'!A68:O292,11,0)</f>
        <v>1314</v>
      </c>
      <c r="S68" s="179">
        <f>VLOOKUP(A68,'OI(Value)'!A68:O292,11,0)</f>
        <v>1314</v>
      </c>
    </row>
    <row r="69" spans="1:19" x14ac:dyDescent="0.25">
      <c r="A69" s="105" t="str">
        <f>'Data Vlaue (Cr)'!C64</f>
        <v>EXIDEIND</v>
      </c>
      <c r="B69" s="143">
        <f>VLOOKUP($A69,'Data shares'!$C:$FA,118)</f>
        <v>0.61</v>
      </c>
      <c r="C69" s="143">
        <f>VLOOKUP($A69,'Data shares'!$C:$FA,119)</f>
        <v>0.57999999999999996</v>
      </c>
      <c r="D69" s="143">
        <f>VLOOKUP($A69,'Data shares'!$C:$FA,121)*100</f>
        <v>5.17</v>
      </c>
      <c r="E69" s="143">
        <f>VLOOKUP($A69,'Data shares'!$C:$FA,124)</f>
        <v>0.65</v>
      </c>
      <c r="F69" s="143">
        <f>VLOOKUP($A69,'Data shares'!$C:$FA,125)</f>
        <v>0.36</v>
      </c>
      <c r="G69" s="143">
        <f>VLOOKUP($A69,'Data shares'!$C:$FA,127)*100</f>
        <v>80.56</v>
      </c>
      <c r="H69" s="103">
        <f>VLOOKUP($A69,'OI(Volume)'!$A$7:$O$445,8)</f>
        <v>17613000</v>
      </c>
      <c r="I69" s="103">
        <f>VLOOKUP($A69,'OI(Volume)'!$A$7:$O$445,9)</f>
        <v>2471400</v>
      </c>
      <c r="J69" s="103">
        <f>VLOOKUP($A69,'OI(Volume)'!$A$7:$O$445,11)</f>
        <v>10681200</v>
      </c>
      <c r="K69" s="103">
        <f>VLOOKUP($A69,'OI(Volume)'!$A$7:$O$445,12)</f>
        <v>1852200</v>
      </c>
      <c r="L69" s="103">
        <f>VLOOKUP($A69,'OI(Value)'!$A$7:$O$329,8,0)</f>
        <v>622</v>
      </c>
      <c r="M69" s="103">
        <f>VLOOKUP($A69,'OI(Value)'!$A$7:$O$329,9,0)</f>
        <v>87</v>
      </c>
      <c r="N69" s="103">
        <f>VLOOKUP($A69,'OI(Value)'!$A$7:$O$329,11,0)</f>
        <v>377</v>
      </c>
      <c r="O69" s="103">
        <f>VLOOKUP($A69,'OI(Value)'!$A$7:$O$329,12,0)</f>
        <v>65</v>
      </c>
      <c r="P69" s="179">
        <f>VLOOKUP(A69,'OI(Value)'!A69:O293,8,0)</f>
        <v>622</v>
      </c>
      <c r="Q69" s="179">
        <f>VLOOKUP(A69,'OI(Value)'!A69:O293,9,0)</f>
        <v>87</v>
      </c>
      <c r="R69" s="179">
        <f>VLOOKUP(A69,'OI(Value)'!A69:O293,11,0)</f>
        <v>377</v>
      </c>
      <c r="S69" s="179">
        <f>VLOOKUP(A69,'OI(Value)'!A69:O293,11,0)</f>
        <v>377</v>
      </c>
    </row>
    <row r="70" spans="1:19" x14ac:dyDescent="0.25">
      <c r="A70" s="105" t="str">
        <f>'Data Vlaue (Cr)'!C65</f>
        <v>FEDERALBNK</v>
      </c>
      <c r="B70" s="143">
        <f>VLOOKUP($A70,'Data shares'!$C:$FA,118)</f>
        <v>0.56999999999999995</v>
      </c>
      <c r="C70" s="143">
        <f>VLOOKUP($A70,'Data shares'!$C:$FA,119)</f>
        <v>0.56999999999999995</v>
      </c>
      <c r="D70" s="143">
        <f>VLOOKUP($A70,'Data shares'!$C:$FA,121)*100</f>
        <v>0</v>
      </c>
      <c r="E70" s="143">
        <f>VLOOKUP($A70,'Data shares'!$C:$FA,124)</f>
        <v>0.47</v>
      </c>
      <c r="F70" s="143">
        <f>VLOOKUP($A70,'Data shares'!$C:$FA,125)</f>
        <v>0.43</v>
      </c>
      <c r="G70" s="143">
        <f>VLOOKUP($A70,'Data shares'!$C:$FA,127)*100</f>
        <v>9.3000000000000007</v>
      </c>
      <c r="H70" s="103">
        <f>VLOOKUP($A70,'OI(Volume)'!$A$7:$O$445,8)</f>
        <v>35330000</v>
      </c>
      <c r="I70" s="103">
        <f>VLOOKUP($A70,'OI(Volume)'!$A$7:$O$445,9)</f>
        <v>902500</v>
      </c>
      <c r="J70" s="103">
        <f>VLOOKUP($A70,'OI(Volume)'!$A$7:$O$445,11)</f>
        <v>20190000</v>
      </c>
      <c r="K70" s="103">
        <f>VLOOKUP($A70,'OI(Volume)'!$A$7:$O$445,12)</f>
        <v>595000</v>
      </c>
      <c r="L70" s="103">
        <f>VLOOKUP($A70,'OI(Value)'!$A$7:$O$329,8,0)</f>
        <v>1042</v>
      </c>
      <c r="M70" s="103">
        <f>VLOOKUP($A70,'OI(Value)'!$A$7:$O$329,9,0)</f>
        <v>27</v>
      </c>
      <c r="N70" s="103">
        <f>VLOOKUP($A70,'OI(Value)'!$A$7:$O$329,11,0)</f>
        <v>596</v>
      </c>
      <c r="O70" s="103">
        <f>VLOOKUP($A70,'OI(Value)'!$A$7:$O$329,12,0)</f>
        <v>18</v>
      </c>
      <c r="P70" s="179">
        <f>VLOOKUP(A70,'OI(Value)'!A70:O294,8,0)</f>
        <v>1042</v>
      </c>
      <c r="Q70" s="179">
        <f>VLOOKUP(A70,'OI(Value)'!A70:O294,9,0)</f>
        <v>27</v>
      </c>
      <c r="R70" s="179">
        <f>VLOOKUP(A70,'OI(Value)'!A70:O294,11,0)</f>
        <v>596</v>
      </c>
      <c r="S70" s="179">
        <f>VLOOKUP(A70,'OI(Value)'!A70:O294,11,0)</f>
        <v>596</v>
      </c>
    </row>
    <row r="71" spans="1:19" x14ac:dyDescent="0.25">
      <c r="A71" s="105" t="str">
        <f>'Data Vlaue (Cr)'!C66</f>
        <v>FINNIFTY</v>
      </c>
      <c r="B71" s="143">
        <f>VLOOKUP($A71,'Data shares'!$C:$FA,118)</f>
        <v>0.79</v>
      </c>
      <c r="C71" s="143">
        <f>VLOOKUP($A71,'Data shares'!$C:$FA,119)</f>
        <v>0.7</v>
      </c>
      <c r="D71" s="143">
        <f>VLOOKUP($A71,'Data shares'!$C:$FA,121)*100</f>
        <v>12.86</v>
      </c>
      <c r="E71" s="143">
        <f>VLOOKUP($A71,'Data shares'!$C:$FA,124)</f>
        <v>0.83</v>
      </c>
      <c r="F71" s="143">
        <f>VLOOKUP($A71,'Data shares'!$C:$FA,125)</f>
        <v>0.59</v>
      </c>
      <c r="G71" s="143">
        <f>VLOOKUP($A71,'Data shares'!$C:$FA,127)*100</f>
        <v>40.68</v>
      </c>
      <c r="H71" s="103">
        <f>VLOOKUP($A71,'OI(Volume)'!$A$7:$O$445,8)</f>
        <v>191340</v>
      </c>
      <c r="I71" s="103">
        <f>VLOOKUP($A71,'OI(Volume)'!$A$7:$O$445,9)</f>
        <v>24600</v>
      </c>
      <c r="J71" s="103">
        <f>VLOOKUP($A71,'OI(Volume)'!$A$7:$O$445,11)</f>
        <v>151980</v>
      </c>
      <c r="K71" s="103">
        <f>VLOOKUP($A71,'OI(Volume)'!$A$7:$O$445,12)</f>
        <v>35940</v>
      </c>
      <c r="L71" s="103">
        <f>VLOOKUP($A71,'OI(Value)'!$A$7:$O$329,8,0)</f>
        <v>508</v>
      </c>
      <c r="M71" s="103">
        <f>VLOOKUP($A71,'OI(Value)'!$A$7:$O$329,9,0)</f>
        <v>65</v>
      </c>
      <c r="N71" s="103">
        <f>VLOOKUP($A71,'OI(Value)'!$A$7:$O$329,11,0)</f>
        <v>404</v>
      </c>
      <c r="O71" s="103">
        <f>VLOOKUP($A71,'OI(Value)'!$A$7:$O$329,12,0)</f>
        <v>95</v>
      </c>
      <c r="P71" s="179">
        <f>VLOOKUP(A71,'OI(Value)'!A71:O295,8,0)</f>
        <v>508</v>
      </c>
      <c r="Q71" s="179">
        <f>VLOOKUP(A71,'OI(Value)'!A71:O295,9,0)</f>
        <v>65</v>
      </c>
      <c r="R71" s="179">
        <f>VLOOKUP(A71,'OI(Value)'!A71:O295,11,0)</f>
        <v>404</v>
      </c>
      <c r="S71" s="179">
        <f>VLOOKUP(A71,'OI(Value)'!A71:O295,11,0)</f>
        <v>404</v>
      </c>
    </row>
    <row r="72" spans="1:19" x14ac:dyDescent="0.25">
      <c r="A72" s="105" t="str">
        <f>'Data Vlaue (Cr)'!C67</f>
        <v>FORCEMOT</v>
      </c>
      <c r="B72" s="143">
        <f>VLOOKUP($A72,'Data shares'!$C:$FA,118)</f>
        <v>0.45</v>
      </c>
      <c r="C72" s="143">
        <f>VLOOKUP($A72,'Data shares'!$C:$FA,119)</f>
        <v>0.34</v>
      </c>
      <c r="D72" s="143">
        <f>VLOOKUP($A72,'Data shares'!$C:$FA,121)*100</f>
        <v>32.35</v>
      </c>
      <c r="E72" s="143">
        <f>VLOOKUP($A72,'Data shares'!$C:$FA,124)</f>
        <v>0.31</v>
      </c>
      <c r="F72" s="143">
        <f>VLOOKUP($A72,'Data shares'!$C:$FA,125)</f>
        <v>0.44</v>
      </c>
      <c r="G72" s="143">
        <f>VLOOKUP($A72,'Data shares'!$C:$FA,127)*100</f>
        <v>-29.549999999999997</v>
      </c>
      <c r="H72" s="103">
        <f>VLOOKUP($A72,'OI(Volume)'!$A$7:$O$445,8)</f>
        <v>156000</v>
      </c>
      <c r="I72" s="103">
        <f>VLOOKUP($A72,'OI(Volume)'!$A$7:$O$445,9)</f>
        <v>-4900</v>
      </c>
      <c r="J72" s="103">
        <f>VLOOKUP($A72,'OI(Volume)'!$A$7:$O$445,11)</f>
        <v>70125</v>
      </c>
      <c r="K72" s="103">
        <f>VLOOKUP($A72,'OI(Volume)'!$A$7:$O$445,12)</f>
        <v>15850</v>
      </c>
      <c r="L72" s="103">
        <f>VLOOKUP($A72,'OI(Value)'!$A$7:$O$329,8,0)</f>
        <v>315</v>
      </c>
      <c r="M72" s="103">
        <f>VLOOKUP($A72,'OI(Value)'!$A$7:$O$329,9,0)</f>
        <v>-10</v>
      </c>
      <c r="N72" s="103">
        <f>VLOOKUP($A72,'OI(Value)'!$A$7:$O$329,11,0)</f>
        <v>142</v>
      </c>
      <c r="O72" s="103">
        <f>VLOOKUP($A72,'OI(Value)'!$A$7:$O$329,12,0)</f>
        <v>32</v>
      </c>
      <c r="P72" s="179">
        <f>VLOOKUP(A72,'OI(Value)'!A72:O296,8,0)</f>
        <v>315</v>
      </c>
      <c r="Q72" s="179">
        <f>VLOOKUP(A72,'OI(Value)'!A72:O296,9,0)</f>
        <v>-10</v>
      </c>
      <c r="R72" s="179">
        <f>VLOOKUP(A72,'OI(Value)'!A72:O296,11,0)</f>
        <v>142</v>
      </c>
      <c r="S72" s="179">
        <f>VLOOKUP(A72,'OI(Value)'!A72:O296,11,0)</f>
        <v>142</v>
      </c>
    </row>
    <row r="73" spans="1:19" x14ac:dyDescent="0.25">
      <c r="A73" s="105" t="str">
        <f>'Data Vlaue (Cr)'!C68</f>
        <v>FORTIS</v>
      </c>
      <c r="B73" s="143">
        <f>VLOOKUP($A73,'Data shares'!$C:$FA,118)</f>
        <v>0.4</v>
      </c>
      <c r="C73" s="143">
        <f>VLOOKUP($A73,'Data shares'!$C:$FA,119)</f>
        <v>0.5</v>
      </c>
      <c r="D73" s="143">
        <f>VLOOKUP($A73,'Data shares'!$C:$FA,121)*100</f>
        <v>-20</v>
      </c>
      <c r="E73" s="143">
        <f>VLOOKUP($A73,'Data shares'!$C:$FA,124)</f>
        <v>0.31</v>
      </c>
      <c r="F73" s="143">
        <f>VLOOKUP($A73,'Data shares'!$C:$FA,125)</f>
        <v>0.34</v>
      </c>
      <c r="G73" s="143">
        <f>VLOOKUP($A73,'Data shares'!$C:$FA,127)*100</f>
        <v>-8.82</v>
      </c>
      <c r="H73" s="103">
        <f>VLOOKUP($A73,'OI(Volume)'!$A$7:$O$445,8)</f>
        <v>1937500</v>
      </c>
      <c r="I73" s="103">
        <f>VLOOKUP($A73,'OI(Volume)'!$A$7:$O$445,9)</f>
        <v>285975</v>
      </c>
      <c r="J73" s="103">
        <f>VLOOKUP($A73,'OI(Volume)'!$A$7:$O$445,11)</f>
        <v>775775</v>
      </c>
      <c r="K73" s="103">
        <f>VLOOKUP($A73,'OI(Volume)'!$A$7:$O$445,12)</f>
        <v>-45725</v>
      </c>
      <c r="L73" s="103">
        <f>VLOOKUP($A73,'OI(Value)'!$A$7:$O$329,8,0)</f>
        <v>187</v>
      </c>
      <c r="M73" s="103">
        <f>VLOOKUP($A73,'OI(Value)'!$A$7:$O$329,9,0)</f>
        <v>28</v>
      </c>
      <c r="N73" s="103">
        <f>VLOOKUP($A73,'OI(Value)'!$A$7:$O$329,11,0)</f>
        <v>75</v>
      </c>
      <c r="O73" s="103">
        <f>VLOOKUP($A73,'OI(Value)'!$A$7:$O$329,12,0)</f>
        <v>-4</v>
      </c>
      <c r="P73" s="179">
        <f>VLOOKUP(A73,'OI(Value)'!A73:O297,8,0)</f>
        <v>187</v>
      </c>
      <c r="Q73" s="179">
        <f>VLOOKUP(A73,'OI(Value)'!A73:O297,9,0)</f>
        <v>28</v>
      </c>
      <c r="R73" s="179">
        <f>VLOOKUP(A73,'OI(Value)'!A73:O297,11,0)</f>
        <v>75</v>
      </c>
      <c r="S73" s="179">
        <f>VLOOKUP(A73,'OI(Value)'!A73:O297,11,0)</f>
        <v>75</v>
      </c>
    </row>
    <row r="74" spans="1:19" x14ac:dyDescent="0.25">
      <c r="A74" s="105" t="str">
        <f>'Data Vlaue (Cr)'!C69</f>
        <v>GAIL</v>
      </c>
      <c r="B74" s="143">
        <f>VLOOKUP($A74,'Data shares'!$C:$FA,118)</f>
        <v>0.95</v>
      </c>
      <c r="C74" s="143">
        <f>VLOOKUP($A74,'Data shares'!$C:$FA,119)</f>
        <v>1.03</v>
      </c>
      <c r="D74" s="143">
        <f>VLOOKUP($A74,'Data shares'!$C:$FA,121)*100</f>
        <v>-7.7700000000000005</v>
      </c>
      <c r="E74" s="143">
        <f>VLOOKUP($A74,'Data shares'!$C:$FA,124)</f>
        <v>0.48</v>
      </c>
      <c r="F74" s="143">
        <f>VLOOKUP($A74,'Data shares'!$C:$FA,125)</f>
        <v>0.57999999999999996</v>
      </c>
      <c r="G74" s="143">
        <f>VLOOKUP($A74,'Data shares'!$C:$FA,127)*100</f>
        <v>-17.239999999999998</v>
      </c>
      <c r="H74" s="103">
        <f>VLOOKUP($A74,'OI(Volume)'!$A$7:$O$445,8)</f>
        <v>19999350</v>
      </c>
      <c r="I74" s="103">
        <f>VLOOKUP($A74,'OI(Volume)'!$A$7:$O$445,9)</f>
        <v>2286900</v>
      </c>
      <c r="J74" s="103">
        <f>VLOOKUP($A74,'OI(Volume)'!$A$7:$O$445,11)</f>
        <v>19041750</v>
      </c>
      <c r="K74" s="103">
        <f>VLOOKUP($A74,'OI(Volume)'!$A$7:$O$445,12)</f>
        <v>733950</v>
      </c>
      <c r="L74" s="103">
        <f>VLOOKUP($A74,'OI(Value)'!$A$7:$O$329,8,0)</f>
        <v>333</v>
      </c>
      <c r="M74" s="103">
        <f>VLOOKUP($A74,'OI(Value)'!$A$7:$O$329,9,0)</f>
        <v>38</v>
      </c>
      <c r="N74" s="103">
        <f>VLOOKUP($A74,'OI(Value)'!$A$7:$O$329,11,0)</f>
        <v>317</v>
      </c>
      <c r="O74" s="103">
        <f>VLOOKUP($A74,'OI(Value)'!$A$7:$O$329,12,0)</f>
        <v>12</v>
      </c>
      <c r="P74" s="179">
        <f>VLOOKUP(A74,'OI(Value)'!A74:O298,8,0)</f>
        <v>333</v>
      </c>
      <c r="Q74" s="179">
        <f>VLOOKUP(A74,'OI(Value)'!A74:O298,9,0)</f>
        <v>38</v>
      </c>
      <c r="R74" s="179">
        <f>VLOOKUP(A74,'OI(Value)'!A74:O298,11,0)</f>
        <v>317</v>
      </c>
      <c r="S74" s="179">
        <f>VLOOKUP(A74,'OI(Value)'!A74:O298,11,0)</f>
        <v>317</v>
      </c>
    </row>
    <row r="75" spans="1:19" x14ac:dyDescent="0.25">
      <c r="A75" s="105" t="str">
        <f>'Data Vlaue (Cr)'!C70</f>
        <v>GLENMARK</v>
      </c>
      <c r="B75" s="143">
        <f>VLOOKUP($A75,'Data shares'!$C:$FA,118)</f>
        <v>0.48</v>
      </c>
      <c r="C75" s="143">
        <f>VLOOKUP($A75,'Data shares'!$C:$FA,119)</f>
        <v>0.56999999999999995</v>
      </c>
      <c r="D75" s="143">
        <f>VLOOKUP($A75,'Data shares'!$C:$FA,121)*100</f>
        <v>-15.790000000000001</v>
      </c>
      <c r="E75" s="143">
        <f>VLOOKUP($A75,'Data shares'!$C:$FA,124)</f>
        <v>0.45</v>
      </c>
      <c r="F75" s="143">
        <f>VLOOKUP($A75,'Data shares'!$C:$FA,125)</f>
        <v>0.39</v>
      </c>
      <c r="G75" s="143">
        <f>VLOOKUP($A75,'Data shares'!$C:$FA,127)*100</f>
        <v>15.379999999999999</v>
      </c>
      <c r="H75" s="103">
        <f>VLOOKUP($A75,'OI(Volume)'!$A$7:$O$445,8)</f>
        <v>2174250</v>
      </c>
      <c r="I75" s="103">
        <f>VLOOKUP($A75,'OI(Volume)'!$A$7:$O$445,9)</f>
        <v>450000</v>
      </c>
      <c r="J75" s="103">
        <f>VLOOKUP($A75,'OI(Volume)'!$A$7:$O$445,11)</f>
        <v>1041375</v>
      </c>
      <c r="K75" s="103">
        <f>VLOOKUP($A75,'OI(Volume)'!$A$7:$O$445,12)</f>
        <v>52500</v>
      </c>
      <c r="L75" s="103">
        <f>VLOOKUP($A75,'OI(Value)'!$A$7:$O$329,8,0)</f>
        <v>520</v>
      </c>
      <c r="M75" s="103">
        <f>VLOOKUP($A75,'OI(Value)'!$A$7:$O$329,9,0)</f>
        <v>108</v>
      </c>
      <c r="N75" s="103">
        <f>VLOOKUP($A75,'OI(Value)'!$A$7:$O$329,11,0)</f>
        <v>249</v>
      </c>
      <c r="O75" s="103">
        <f>VLOOKUP($A75,'OI(Value)'!$A$7:$O$329,12,0)</f>
        <v>13</v>
      </c>
      <c r="P75" s="179">
        <f>VLOOKUP(A75,'OI(Value)'!A75:O299,8,0)</f>
        <v>520</v>
      </c>
      <c r="Q75" s="179">
        <f>VLOOKUP(A75,'OI(Value)'!A75:O299,9,0)</f>
        <v>108</v>
      </c>
      <c r="R75" s="179">
        <f>VLOOKUP(A75,'OI(Value)'!A75:O299,11,0)</f>
        <v>249</v>
      </c>
      <c r="S75" s="179">
        <f>VLOOKUP(A75,'OI(Value)'!A75:O299,11,0)</f>
        <v>249</v>
      </c>
    </row>
    <row r="76" spans="1:19" x14ac:dyDescent="0.25">
      <c r="A76" s="105" t="str">
        <f>'Data Vlaue (Cr)'!C71</f>
        <v>GMRAIRPORT</v>
      </c>
      <c r="B76" s="143">
        <f>VLOOKUP($A76,'Data shares'!$C:$FA,118)</f>
        <v>0.61</v>
      </c>
      <c r="C76" s="143">
        <f>VLOOKUP($A76,'Data shares'!$C:$FA,119)</f>
        <v>0.57999999999999996</v>
      </c>
      <c r="D76" s="143">
        <f>VLOOKUP($A76,'Data shares'!$C:$FA,121)*100</f>
        <v>5.17</v>
      </c>
      <c r="E76" s="143">
        <f>VLOOKUP($A76,'Data shares'!$C:$FA,124)</f>
        <v>0.34</v>
      </c>
      <c r="F76" s="143">
        <f>VLOOKUP($A76,'Data shares'!$C:$FA,125)</f>
        <v>0.51</v>
      </c>
      <c r="G76" s="143">
        <f>VLOOKUP($A76,'Data shares'!$C:$FA,127)*100</f>
        <v>-33.33</v>
      </c>
      <c r="H76" s="103">
        <f>VLOOKUP($A76,'OI(Volume)'!$A$7:$O$445,8)</f>
        <v>63570150</v>
      </c>
      <c r="I76" s="103">
        <f>VLOOKUP($A76,'OI(Volume)'!$A$7:$O$445,9)</f>
        <v>2252925</v>
      </c>
      <c r="J76" s="103">
        <f>VLOOKUP($A76,'OI(Volume)'!$A$7:$O$445,11)</f>
        <v>38669400</v>
      </c>
      <c r="K76" s="103">
        <f>VLOOKUP($A76,'OI(Volume)'!$A$7:$O$445,12)</f>
        <v>2950425</v>
      </c>
      <c r="L76" s="103">
        <f>VLOOKUP($A76,'OI(Value)'!$A$7:$O$329,8,0)</f>
        <v>636</v>
      </c>
      <c r="M76" s="103">
        <f>VLOOKUP($A76,'OI(Value)'!$A$7:$O$329,9,0)</f>
        <v>23</v>
      </c>
      <c r="N76" s="103">
        <f>VLOOKUP($A76,'OI(Value)'!$A$7:$O$329,11,0)</f>
        <v>387</v>
      </c>
      <c r="O76" s="103">
        <f>VLOOKUP($A76,'OI(Value)'!$A$7:$O$329,12,0)</f>
        <v>29</v>
      </c>
      <c r="P76" s="179">
        <f>VLOOKUP(A76,'OI(Value)'!A76:O300,8,0)</f>
        <v>636</v>
      </c>
      <c r="Q76" s="179">
        <f>VLOOKUP(A76,'OI(Value)'!A76:O300,9,0)</f>
        <v>23</v>
      </c>
      <c r="R76" s="179">
        <f>VLOOKUP(A76,'OI(Value)'!A76:O300,11,0)</f>
        <v>387</v>
      </c>
      <c r="S76" s="179">
        <f>VLOOKUP(A76,'OI(Value)'!A76:O300,11,0)</f>
        <v>387</v>
      </c>
    </row>
    <row r="77" spans="1:19" x14ac:dyDescent="0.25">
      <c r="A77" s="105" t="str">
        <f>'Data Vlaue (Cr)'!C72</f>
        <v>GODFRYPHLP</v>
      </c>
      <c r="B77" s="143">
        <f>VLOOKUP($A77,'Data shares'!$C:$FA,118)</f>
        <v>0.59</v>
      </c>
      <c r="C77" s="143">
        <f>VLOOKUP($A77,'Data shares'!$C:$FA,119)</f>
        <v>0.4</v>
      </c>
      <c r="D77" s="143">
        <f>VLOOKUP($A77,'Data shares'!$C:$FA,121)*100</f>
        <v>47.5</v>
      </c>
      <c r="E77" s="143">
        <f>VLOOKUP($A77,'Data shares'!$C:$FA,124)</f>
        <v>0.34</v>
      </c>
      <c r="F77" s="143">
        <f>VLOOKUP($A77,'Data shares'!$C:$FA,125)</f>
        <v>0.26</v>
      </c>
      <c r="G77" s="143">
        <f>VLOOKUP($A77,'Data shares'!$C:$FA,127)*100</f>
        <v>30.769999999999996</v>
      </c>
      <c r="H77" s="103">
        <f>VLOOKUP($A77,'OI(Volume)'!$A$7:$O$445,8)</f>
        <v>644325</v>
      </c>
      <c r="I77" s="103">
        <f>VLOOKUP($A77,'OI(Volume)'!$A$7:$O$445,9)</f>
        <v>66000</v>
      </c>
      <c r="J77" s="103">
        <f>VLOOKUP($A77,'OI(Volume)'!$A$7:$O$445,11)</f>
        <v>381975</v>
      </c>
      <c r="K77" s="103">
        <f>VLOOKUP($A77,'OI(Volume)'!$A$7:$O$445,12)</f>
        <v>148225</v>
      </c>
      <c r="L77" s="103">
        <f>VLOOKUP($A77,'OI(Value)'!$A$7:$O$329,8,0)</f>
        <v>150</v>
      </c>
      <c r="M77" s="103">
        <f>VLOOKUP($A77,'OI(Value)'!$A$7:$O$329,9,0)</f>
        <v>15</v>
      </c>
      <c r="N77" s="103">
        <f>VLOOKUP($A77,'OI(Value)'!$A$7:$O$329,11,0)</f>
        <v>89</v>
      </c>
      <c r="O77" s="103">
        <f>VLOOKUP($A77,'OI(Value)'!$A$7:$O$329,12,0)</f>
        <v>34</v>
      </c>
      <c r="P77" s="179">
        <f>VLOOKUP(A77,'OI(Value)'!A77:O301,8,0)</f>
        <v>150</v>
      </c>
      <c r="Q77" s="179">
        <f>VLOOKUP(A77,'OI(Value)'!A77:O301,9,0)</f>
        <v>15</v>
      </c>
      <c r="R77" s="179">
        <f>VLOOKUP(A77,'OI(Value)'!A77:O301,11,0)</f>
        <v>89</v>
      </c>
      <c r="S77" s="179">
        <f>VLOOKUP(A77,'OI(Value)'!A77:O301,11,0)</f>
        <v>89</v>
      </c>
    </row>
    <row r="78" spans="1:19" x14ac:dyDescent="0.25">
      <c r="A78" s="105" t="str">
        <f>'Data Vlaue (Cr)'!C73</f>
        <v>GODREJCP</v>
      </c>
      <c r="B78" s="143">
        <f>VLOOKUP($A78,'Data shares'!$C:$FA,118)</f>
        <v>0.52</v>
      </c>
      <c r="C78" s="143">
        <f>VLOOKUP($A78,'Data shares'!$C:$FA,119)</f>
        <v>0.72</v>
      </c>
      <c r="D78" s="143">
        <f>VLOOKUP($A78,'Data shares'!$C:$FA,121)*100</f>
        <v>-27.779999999999998</v>
      </c>
      <c r="E78" s="143">
        <f>VLOOKUP($A78,'Data shares'!$C:$FA,124)</f>
        <v>0.4</v>
      </c>
      <c r="F78" s="143">
        <f>VLOOKUP($A78,'Data shares'!$C:$FA,125)</f>
        <v>0.43</v>
      </c>
      <c r="G78" s="143">
        <f>VLOOKUP($A78,'Data shares'!$C:$FA,127)*100</f>
        <v>-6.98</v>
      </c>
      <c r="H78" s="103">
        <f>VLOOKUP($A78,'OI(Volume)'!$A$7:$O$445,8)</f>
        <v>2926000</v>
      </c>
      <c r="I78" s="103">
        <f>VLOOKUP($A78,'OI(Volume)'!$A$7:$O$445,9)</f>
        <v>1566500</v>
      </c>
      <c r="J78" s="103">
        <f>VLOOKUP($A78,'OI(Volume)'!$A$7:$O$445,11)</f>
        <v>1529000</v>
      </c>
      <c r="K78" s="103">
        <f>VLOOKUP($A78,'OI(Volume)'!$A$7:$O$445,12)</f>
        <v>544000</v>
      </c>
      <c r="L78" s="103">
        <f>VLOOKUP($A78,'OI(Value)'!$A$7:$O$329,8,0)</f>
        <v>321</v>
      </c>
      <c r="M78" s="103">
        <f>VLOOKUP($A78,'OI(Value)'!$A$7:$O$329,9,0)</f>
        <v>172</v>
      </c>
      <c r="N78" s="103">
        <f>VLOOKUP($A78,'OI(Value)'!$A$7:$O$329,11,0)</f>
        <v>168</v>
      </c>
      <c r="O78" s="103">
        <f>VLOOKUP($A78,'OI(Value)'!$A$7:$O$329,12,0)</f>
        <v>60</v>
      </c>
      <c r="P78" s="179">
        <f>VLOOKUP(A78,'OI(Value)'!A78:O302,8,0)</f>
        <v>321</v>
      </c>
      <c r="Q78" s="179">
        <f>VLOOKUP(A78,'OI(Value)'!A78:O302,9,0)</f>
        <v>172</v>
      </c>
      <c r="R78" s="179">
        <f>VLOOKUP(A78,'OI(Value)'!A78:O302,11,0)</f>
        <v>168</v>
      </c>
      <c r="S78" s="179">
        <f>VLOOKUP(A78,'OI(Value)'!A78:O302,11,0)</f>
        <v>168</v>
      </c>
    </row>
    <row r="79" spans="1:19" x14ac:dyDescent="0.25">
      <c r="A79" s="105" t="str">
        <f>'Data Vlaue (Cr)'!C74</f>
        <v>GODREJPROP</v>
      </c>
      <c r="B79" s="143">
        <f>VLOOKUP($A79,'Data shares'!$C:$FA,118)</f>
        <v>0.59</v>
      </c>
      <c r="C79" s="143">
        <f>VLOOKUP($A79,'Data shares'!$C:$FA,119)</f>
        <v>0.53</v>
      </c>
      <c r="D79" s="143">
        <f>VLOOKUP($A79,'Data shares'!$C:$FA,121)*100</f>
        <v>11.32</v>
      </c>
      <c r="E79" s="143">
        <f>VLOOKUP($A79,'Data shares'!$C:$FA,124)</f>
        <v>0.38</v>
      </c>
      <c r="F79" s="143">
        <f>VLOOKUP($A79,'Data shares'!$C:$FA,125)</f>
        <v>0.57999999999999996</v>
      </c>
      <c r="G79" s="143">
        <f>VLOOKUP($A79,'Data shares'!$C:$FA,127)*100</f>
        <v>-34.479999999999997</v>
      </c>
      <c r="H79" s="103">
        <f>VLOOKUP($A79,'OI(Volume)'!$A$7:$O$445,8)</f>
        <v>2878200</v>
      </c>
      <c r="I79" s="103">
        <f>VLOOKUP($A79,'OI(Volume)'!$A$7:$O$445,9)</f>
        <v>-554675</v>
      </c>
      <c r="J79" s="103">
        <f>VLOOKUP($A79,'OI(Volume)'!$A$7:$O$445,11)</f>
        <v>1693450</v>
      </c>
      <c r="K79" s="103">
        <f>VLOOKUP($A79,'OI(Volume)'!$A$7:$O$445,12)</f>
        <v>-127600</v>
      </c>
      <c r="L79" s="103">
        <f>VLOOKUP($A79,'OI(Value)'!$A$7:$O$329,8,0)</f>
        <v>541</v>
      </c>
      <c r="M79" s="103">
        <f>VLOOKUP($A79,'OI(Value)'!$A$7:$O$329,9,0)</f>
        <v>-104</v>
      </c>
      <c r="N79" s="103">
        <f>VLOOKUP($A79,'OI(Value)'!$A$7:$O$329,11,0)</f>
        <v>318</v>
      </c>
      <c r="O79" s="103">
        <f>VLOOKUP($A79,'OI(Value)'!$A$7:$O$329,12,0)</f>
        <v>-24</v>
      </c>
      <c r="P79" s="179">
        <f>VLOOKUP(A79,'OI(Value)'!A79:O303,8,0)</f>
        <v>541</v>
      </c>
      <c r="Q79" s="179">
        <f>VLOOKUP(A79,'OI(Value)'!A79:O303,9,0)</f>
        <v>-104</v>
      </c>
      <c r="R79" s="179">
        <f>VLOOKUP(A79,'OI(Value)'!A79:O303,11,0)</f>
        <v>318</v>
      </c>
      <c r="S79" s="179">
        <f>VLOOKUP(A79,'OI(Value)'!A79:O303,11,0)</f>
        <v>318</v>
      </c>
    </row>
    <row r="80" spans="1:19" x14ac:dyDescent="0.25">
      <c r="A80" s="105" t="str">
        <f>'Data Vlaue (Cr)'!C75</f>
        <v>GRASIM</v>
      </c>
      <c r="B80" s="143">
        <f>VLOOKUP($A80,'Data shares'!$C:$FA,118)</f>
        <v>0.69</v>
      </c>
      <c r="C80" s="143">
        <f>VLOOKUP($A80,'Data shares'!$C:$FA,119)</f>
        <v>0.67</v>
      </c>
      <c r="D80" s="143">
        <f>VLOOKUP($A80,'Data shares'!$C:$FA,121)*100</f>
        <v>2.9899999999999998</v>
      </c>
      <c r="E80" s="143">
        <f>VLOOKUP($A80,'Data shares'!$C:$FA,124)</f>
        <v>0.92</v>
      </c>
      <c r="F80" s="143">
        <f>VLOOKUP($A80,'Data shares'!$C:$FA,125)</f>
        <v>0.43</v>
      </c>
      <c r="G80" s="143">
        <f>VLOOKUP($A80,'Data shares'!$C:$FA,127)*100</f>
        <v>113.94999999999999</v>
      </c>
      <c r="H80" s="103">
        <f>VLOOKUP($A80,'OI(Volume)'!$A$7:$O$445,8)</f>
        <v>1187750</v>
      </c>
      <c r="I80" s="103">
        <f>VLOOKUP($A80,'OI(Volume)'!$A$7:$O$445,9)</f>
        <v>16750</v>
      </c>
      <c r="J80" s="103">
        <f>VLOOKUP($A80,'OI(Volume)'!$A$7:$O$445,11)</f>
        <v>824000</v>
      </c>
      <c r="K80" s="103">
        <f>VLOOKUP($A80,'OI(Volume)'!$A$7:$O$445,12)</f>
        <v>40500</v>
      </c>
      <c r="L80" s="103">
        <f>VLOOKUP($A80,'OI(Value)'!$A$7:$O$329,8,0)</f>
        <v>349</v>
      </c>
      <c r="M80" s="103">
        <f>VLOOKUP($A80,'OI(Value)'!$A$7:$O$329,9,0)</f>
        <v>5</v>
      </c>
      <c r="N80" s="103">
        <f>VLOOKUP($A80,'OI(Value)'!$A$7:$O$329,11,0)</f>
        <v>242</v>
      </c>
      <c r="O80" s="103">
        <f>VLOOKUP($A80,'OI(Value)'!$A$7:$O$329,12,0)</f>
        <v>12</v>
      </c>
      <c r="P80" s="179">
        <f>VLOOKUP(A80,'OI(Value)'!A80:O304,8,0)</f>
        <v>349</v>
      </c>
      <c r="Q80" s="179">
        <f>VLOOKUP(A80,'OI(Value)'!A80:O304,9,0)</f>
        <v>5</v>
      </c>
      <c r="R80" s="179">
        <f>VLOOKUP(A80,'OI(Value)'!A80:O304,11,0)</f>
        <v>242</v>
      </c>
      <c r="S80" s="179">
        <f>VLOOKUP(A80,'OI(Value)'!A80:O304,11,0)</f>
        <v>242</v>
      </c>
    </row>
    <row r="81" spans="1:19" x14ac:dyDescent="0.25">
      <c r="A81" s="105" t="str">
        <f>'Data Vlaue (Cr)'!C76</f>
        <v>HAL</v>
      </c>
      <c r="B81" s="143">
        <f>VLOOKUP($A81,'Data shares'!$C:$FA,118)</f>
        <v>0.76</v>
      </c>
      <c r="C81" s="143">
        <f>VLOOKUP($A81,'Data shares'!$C:$FA,119)</f>
        <v>0.81</v>
      </c>
      <c r="D81" s="143">
        <f>VLOOKUP($A81,'Data shares'!$C:$FA,121)*100</f>
        <v>-6.17</v>
      </c>
      <c r="E81" s="143">
        <f>VLOOKUP($A81,'Data shares'!$C:$FA,124)</f>
        <v>0.55000000000000004</v>
      </c>
      <c r="F81" s="143">
        <f>VLOOKUP($A81,'Data shares'!$C:$FA,125)</f>
        <v>0.39</v>
      </c>
      <c r="G81" s="143">
        <f>VLOOKUP($A81,'Data shares'!$C:$FA,127)*100</f>
        <v>41.03</v>
      </c>
      <c r="H81" s="103">
        <f>VLOOKUP($A81,'OI(Volume)'!$A$7:$O$445,8)</f>
        <v>2608050</v>
      </c>
      <c r="I81" s="103">
        <f>VLOOKUP($A81,'OI(Volume)'!$A$7:$O$445,9)</f>
        <v>61500</v>
      </c>
      <c r="J81" s="103">
        <f>VLOOKUP($A81,'OI(Volume)'!$A$7:$O$445,11)</f>
        <v>1989300</v>
      </c>
      <c r="K81" s="103">
        <f>VLOOKUP($A81,'OI(Volume)'!$A$7:$O$445,12)</f>
        <v>-69900</v>
      </c>
      <c r="L81" s="103">
        <f>VLOOKUP($A81,'OI(Value)'!$A$7:$O$329,8,0)</f>
        <v>1212</v>
      </c>
      <c r="M81" s="103">
        <f>VLOOKUP($A81,'OI(Value)'!$A$7:$O$329,9,0)</f>
        <v>29</v>
      </c>
      <c r="N81" s="103">
        <f>VLOOKUP($A81,'OI(Value)'!$A$7:$O$329,11,0)</f>
        <v>924</v>
      </c>
      <c r="O81" s="103">
        <f>VLOOKUP($A81,'OI(Value)'!$A$7:$O$329,12,0)</f>
        <v>-32</v>
      </c>
      <c r="P81" s="179">
        <f>VLOOKUP(A81,'OI(Value)'!A81:O305,8,0)</f>
        <v>1212</v>
      </c>
      <c r="Q81" s="179">
        <f>VLOOKUP(A81,'OI(Value)'!A81:O305,9,0)</f>
        <v>29</v>
      </c>
      <c r="R81" s="179">
        <f>VLOOKUP(A81,'OI(Value)'!A81:O305,11,0)</f>
        <v>924</v>
      </c>
      <c r="S81" s="179">
        <f>VLOOKUP(A81,'OI(Value)'!A81:O305,11,0)</f>
        <v>924</v>
      </c>
    </row>
    <row r="82" spans="1:19" x14ac:dyDescent="0.25">
      <c r="A82" s="105" t="str">
        <f>'Data Vlaue (Cr)'!C77</f>
        <v>HAVELLS</v>
      </c>
      <c r="B82" s="143">
        <f>VLOOKUP($A82,'Data shares'!$C:$FA,118)</f>
        <v>0.42</v>
      </c>
      <c r="C82" s="143">
        <f>VLOOKUP($A82,'Data shares'!$C:$FA,119)</f>
        <v>0.44</v>
      </c>
      <c r="D82" s="143">
        <f>VLOOKUP($A82,'Data shares'!$C:$FA,121)*100</f>
        <v>-4.55</v>
      </c>
      <c r="E82" s="143">
        <f>VLOOKUP($A82,'Data shares'!$C:$FA,124)</f>
        <v>0.4</v>
      </c>
      <c r="F82" s="143">
        <f>VLOOKUP($A82,'Data shares'!$C:$FA,125)</f>
        <v>0.39</v>
      </c>
      <c r="G82" s="143">
        <f>VLOOKUP($A82,'Data shares'!$C:$FA,127)*100</f>
        <v>2.56</v>
      </c>
      <c r="H82" s="103">
        <f>VLOOKUP($A82,'OI(Volume)'!$A$7:$O$445,8)</f>
        <v>5577000</v>
      </c>
      <c r="I82" s="103">
        <f>VLOOKUP($A82,'OI(Volume)'!$A$7:$O$445,9)</f>
        <v>206000</v>
      </c>
      <c r="J82" s="103">
        <f>VLOOKUP($A82,'OI(Volume)'!$A$7:$O$445,11)</f>
        <v>2356500</v>
      </c>
      <c r="K82" s="103">
        <f>VLOOKUP($A82,'OI(Volume)'!$A$7:$O$445,12)</f>
        <v>-4000</v>
      </c>
      <c r="L82" s="103">
        <f>VLOOKUP($A82,'OI(Value)'!$A$7:$O$329,8,0)</f>
        <v>703</v>
      </c>
      <c r="M82" s="103">
        <f>VLOOKUP($A82,'OI(Value)'!$A$7:$O$329,9,0)</f>
        <v>26</v>
      </c>
      <c r="N82" s="103">
        <f>VLOOKUP($A82,'OI(Value)'!$A$7:$O$329,11,0)</f>
        <v>297</v>
      </c>
      <c r="O82" s="103">
        <f>VLOOKUP($A82,'OI(Value)'!$A$7:$O$329,12,0)</f>
        <v>-1</v>
      </c>
      <c r="P82" s="179">
        <f>VLOOKUP(A82,'OI(Value)'!A82:O306,8,0)</f>
        <v>703</v>
      </c>
      <c r="Q82" s="179">
        <f>VLOOKUP(A82,'OI(Value)'!A82:O306,9,0)</f>
        <v>26</v>
      </c>
      <c r="R82" s="179">
        <f>VLOOKUP(A82,'OI(Value)'!A82:O306,11,0)</f>
        <v>297</v>
      </c>
      <c r="S82" s="179">
        <f>VLOOKUP(A82,'OI(Value)'!A82:O306,11,0)</f>
        <v>297</v>
      </c>
    </row>
    <row r="83" spans="1:19" x14ac:dyDescent="0.25">
      <c r="A83" s="105" t="str">
        <f>'Data Vlaue (Cr)'!C78</f>
        <v>HCLTECH</v>
      </c>
      <c r="B83" s="143">
        <f>VLOOKUP($A83,'Data shares'!$C:$FA,118)</f>
        <v>0.49</v>
      </c>
      <c r="C83" s="143">
        <f>VLOOKUP($A83,'Data shares'!$C:$FA,119)</f>
        <v>0.53</v>
      </c>
      <c r="D83" s="143">
        <f>VLOOKUP($A83,'Data shares'!$C:$FA,121)*100</f>
        <v>-7.55</v>
      </c>
      <c r="E83" s="143">
        <f>VLOOKUP($A83,'Data shares'!$C:$FA,124)</f>
        <v>0.41</v>
      </c>
      <c r="F83" s="143">
        <f>VLOOKUP($A83,'Data shares'!$C:$FA,125)</f>
        <v>0.52</v>
      </c>
      <c r="G83" s="143">
        <f>VLOOKUP($A83,'Data shares'!$C:$FA,127)*100</f>
        <v>-21.15</v>
      </c>
      <c r="H83" s="103">
        <f>VLOOKUP($A83,'OI(Volume)'!$A$7:$O$445,8)</f>
        <v>24207100</v>
      </c>
      <c r="I83" s="103">
        <f>VLOOKUP($A83,'OI(Volume)'!$A$7:$O$445,9)</f>
        <v>2032150</v>
      </c>
      <c r="J83" s="103">
        <f>VLOOKUP($A83,'OI(Volume)'!$A$7:$O$445,11)</f>
        <v>11840900</v>
      </c>
      <c r="K83" s="103">
        <f>VLOOKUP($A83,'OI(Volume)'!$A$7:$O$445,12)</f>
        <v>127050</v>
      </c>
      <c r="L83" s="103">
        <f>VLOOKUP($A83,'OI(Value)'!$A$7:$O$329,8,0)</f>
        <v>2885</v>
      </c>
      <c r="M83" s="103">
        <f>VLOOKUP($A83,'OI(Value)'!$A$7:$O$329,9,0)</f>
        <v>242</v>
      </c>
      <c r="N83" s="103">
        <f>VLOOKUP($A83,'OI(Value)'!$A$7:$O$329,11,0)</f>
        <v>1411</v>
      </c>
      <c r="O83" s="103">
        <f>VLOOKUP($A83,'OI(Value)'!$A$7:$O$329,12,0)</f>
        <v>15</v>
      </c>
      <c r="P83" s="179">
        <f>VLOOKUP(A83,'OI(Value)'!A83:O307,8,0)</f>
        <v>2885</v>
      </c>
      <c r="Q83" s="179">
        <f>VLOOKUP(A83,'OI(Value)'!A83:O307,9,0)</f>
        <v>242</v>
      </c>
      <c r="R83" s="179">
        <f>VLOOKUP(A83,'OI(Value)'!A83:O307,11,0)</f>
        <v>1411</v>
      </c>
      <c r="S83" s="179">
        <f>VLOOKUP(A83,'OI(Value)'!A83:O307,11,0)</f>
        <v>1411</v>
      </c>
    </row>
    <row r="84" spans="1:19" x14ac:dyDescent="0.25">
      <c r="A84" s="105" t="str">
        <f>'Data Vlaue (Cr)'!C79</f>
        <v>HDFCAMC</v>
      </c>
      <c r="B84" s="143">
        <f>VLOOKUP($A84,'Data shares'!$C:$FA,118)</f>
        <v>0.61</v>
      </c>
      <c r="C84" s="143">
        <f>VLOOKUP($A84,'Data shares'!$C:$FA,119)</f>
        <v>0.56000000000000005</v>
      </c>
      <c r="D84" s="143">
        <f>VLOOKUP($A84,'Data shares'!$C:$FA,121)*100</f>
        <v>8.93</v>
      </c>
      <c r="E84" s="143">
        <f>VLOOKUP($A84,'Data shares'!$C:$FA,124)</f>
        <v>0.43</v>
      </c>
      <c r="F84" s="143">
        <f>VLOOKUP($A84,'Data shares'!$C:$FA,125)</f>
        <v>0.25</v>
      </c>
      <c r="G84" s="143">
        <f>VLOOKUP($A84,'Data shares'!$C:$FA,127)*100</f>
        <v>72</v>
      </c>
      <c r="H84" s="103">
        <f>VLOOKUP($A84,'OI(Volume)'!$A$7:$O$445,8)</f>
        <v>1273200</v>
      </c>
      <c r="I84" s="103">
        <f>VLOOKUP($A84,'OI(Volume)'!$A$7:$O$445,9)</f>
        <v>-26100</v>
      </c>
      <c r="J84" s="103">
        <f>VLOOKUP($A84,'OI(Volume)'!$A$7:$O$445,11)</f>
        <v>781200</v>
      </c>
      <c r="K84" s="103">
        <f>VLOOKUP($A84,'OI(Volume)'!$A$7:$O$445,12)</f>
        <v>55800</v>
      </c>
      <c r="L84" s="103">
        <f>VLOOKUP($A84,'OI(Value)'!$A$7:$O$329,8,0)</f>
        <v>361</v>
      </c>
      <c r="M84" s="103">
        <f>VLOOKUP($A84,'OI(Value)'!$A$7:$O$329,9,0)</f>
        <v>-7</v>
      </c>
      <c r="N84" s="103">
        <f>VLOOKUP($A84,'OI(Value)'!$A$7:$O$329,11,0)</f>
        <v>222</v>
      </c>
      <c r="O84" s="103">
        <f>VLOOKUP($A84,'OI(Value)'!$A$7:$O$329,12,0)</f>
        <v>16</v>
      </c>
      <c r="P84" s="179">
        <f>VLOOKUP(A84,'OI(Value)'!A84:O308,8,0)</f>
        <v>361</v>
      </c>
      <c r="Q84" s="179">
        <f>VLOOKUP(A84,'OI(Value)'!A84:O308,9,0)</f>
        <v>-7</v>
      </c>
      <c r="R84" s="179">
        <f>VLOOKUP(A84,'OI(Value)'!A84:O308,11,0)</f>
        <v>222</v>
      </c>
      <c r="S84" s="179">
        <f>VLOOKUP(A84,'OI(Value)'!A84:O308,11,0)</f>
        <v>222</v>
      </c>
    </row>
    <row r="85" spans="1:19" x14ac:dyDescent="0.25">
      <c r="A85" s="105" t="str">
        <f>'Data Vlaue (Cr)'!C80</f>
        <v>HDFCBANK</v>
      </c>
      <c r="B85" s="143">
        <f>VLOOKUP($A85,'Data shares'!$C:$FA,118)</f>
        <v>0.6</v>
      </c>
      <c r="C85" s="143">
        <f>VLOOKUP($A85,'Data shares'!$C:$FA,119)</f>
        <v>0.55000000000000004</v>
      </c>
      <c r="D85" s="143">
        <f>VLOOKUP($A85,'Data shares'!$C:$FA,121)*100</f>
        <v>9.09</v>
      </c>
      <c r="E85" s="143">
        <f>VLOOKUP($A85,'Data shares'!$C:$FA,124)</f>
        <v>0.53</v>
      </c>
      <c r="F85" s="143">
        <f>VLOOKUP($A85,'Data shares'!$C:$FA,125)</f>
        <v>0.44</v>
      </c>
      <c r="G85" s="143">
        <f>VLOOKUP($A85,'Data shares'!$C:$FA,127)*100</f>
        <v>20.45</v>
      </c>
      <c r="H85" s="103">
        <f>VLOOKUP($A85,'OI(Volume)'!$A$7:$O$445,8)</f>
        <v>69743050</v>
      </c>
      <c r="I85" s="103">
        <f>VLOOKUP($A85,'OI(Volume)'!$A$7:$O$445,9)</f>
        <v>756650</v>
      </c>
      <c r="J85" s="103">
        <f>VLOOKUP($A85,'OI(Volume)'!$A$7:$O$445,11)</f>
        <v>41580250</v>
      </c>
      <c r="K85" s="103">
        <f>VLOOKUP($A85,'OI(Volume)'!$A$7:$O$445,12)</f>
        <v>3800400</v>
      </c>
      <c r="L85" s="103">
        <f>VLOOKUP($A85,'OI(Value)'!$A$7:$O$329,8,0)</f>
        <v>5592</v>
      </c>
      <c r="M85" s="103">
        <f>VLOOKUP($A85,'OI(Value)'!$A$7:$O$329,9,0)</f>
        <v>61</v>
      </c>
      <c r="N85" s="103">
        <f>VLOOKUP($A85,'OI(Value)'!$A$7:$O$329,11,0)</f>
        <v>3334</v>
      </c>
      <c r="O85" s="103">
        <f>VLOOKUP($A85,'OI(Value)'!$A$7:$O$329,12,0)</f>
        <v>305</v>
      </c>
      <c r="P85" s="179">
        <f>VLOOKUP(A85,'OI(Value)'!A85:O309,8,0)</f>
        <v>5592</v>
      </c>
      <c r="Q85" s="179">
        <f>VLOOKUP(A85,'OI(Value)'!A85:O309,9,0)</f>
        <v>61</v>
      </c>
      <c r="R85" s="179">
        <f>VLOOKUP(A85,'OI(Value)'!A85:O309,11,0)</f>
        <v>3334</v>
      </c>
      <c r="S85" s="179">
        <f>VLOOKUP(A85,'OI(Value)'!A85:O309,11,0)</f>
        <v>3334</v>
      </c>
    </row>
    <row r="86" spans="1:19" x14ac:dyDescent="0.25">
      <c r="A86" s="105" t="str">
        <f>'Data Vlaue (Cr)'!C81</f>
        <v>HDFCLIFE</v>
      </c>
      <c r="B86" s="143">
        <f>VLOOKUP($A86,'Data shares'!$C:$FA,118)</f>
        <v>0.56000000000000005</v>
      </c>
      <c r="C86" s="143">
        <f>VLOOKUP($A86,'Data shares'!$C:$FA,119)</f>
        <v>0.55000000000000004</v>
      </c>
      <c r="D86" s="143">
        <f>VLOOKUP($A86,'Data shares'!$C:$FA,121)*100</f>
        <v>1.82</v>
      </c>
      <c r="E86" s="143">
        <f>VLOOKUP($A86,'Data shares'!$C:$FA,124)</f>
        <v>0.36</v>
      </c>
      <c r="F86" s="143">
        <f>VLOOKUP($A86,'Data shares'!$C:$FA,125)</f>
        <v>0.4</v>
      </c>
      <c r="G86" s="143">
        <f>VLOOKUP($A86,'Data shares'!$C:$FA,127)*100</f>
        <v>-10</v>
      </c>
      <c r="H86" s="103">
        <f>VLOOKUP($A86,'OI(Volume)'!$A$7:$O$445,8)</f>
        <v>17347000</v>
      </c>
      <c r="I86" s="103">
        <f>VLOOKUP($A86,'OI(Volume)'!$A$7:$O$445,9)</f>
        <v>1194600</v>
      </c>
      <c r="J86" s="103">
        <f>VLOOKUP($A86,'OI(Volume)'!$A$7:$O$445,11)</f>
        <v>9772400</v>
      </c>
      <c r="K86" s="103">
        <f>VLOOKUP($A86,'OI(Volume)'!$A$7:$O$445,12)</f>
        <v>838200</v>
      </c>
      <c r="L86" s="103">
        <f>VLOOKUP($A86,'OI(Value)'!$A$7:$O$329,8,0)</f>
        <v>1059</v>
      </c>
      <c r="M86" s="103">
        <f>VLOOKUP($A86,'OI(Value)'!$A$7:$O$329,9,0)</f>
        <v>73</v>
      </c>
      <c r="N86" s="103">
        <f>VLOOKUP($A86,'OI(Value)'!$A$7:$O$329,11,0)</f>
        <v>597</v>
      </c>
      <c r="O86" s="103">
        <f>VLOOKUP($A86,'OI(Value)'!$A$7:$O$329,12,0)</f>
        <v>51</v>
      </c>
      <c r="P86" s="179">
        <f>VLOOKUP(A86,'OI(Value)'!A86:O310,8,0)</f>
        <v>1059</v>
      </c>
      <c r="Q86" s="179">
        <f>VLOOKUP(A86,'OI(Value)'!A86:O310,9,0)</f>
        <v>73</v>
      </c>
      <c r="R86" s="179">
        <f>VLOOKUP(A86,'OI(Value)'!A86:O310,11,0)</f>
        <v>597</v>
      </c>
      <c r="S86" s="179">
        <f>VLOOKUP(A86,'OI(Value)'!A86:O310,11,0)</f>
        <v>597</v>
      </c>
    </row>
    <row r="87" spans="1:19" x14ac:dyDescent="0.25">
      <c r="A87" s="105" t="str">
        <f>'Data Vlaue (Cr)'!C82</f>
        <v>HEROMOTOCO</v>
      </c>
      <c r="B87" s="143">
        <f>VLOOKUP($A87,'Data shares'!$C:$FA,118)</f>
        <v>0.55000000000000004</v>
      </c>
      <c r="C87" s="143">
        <f>VLOOKUP($A87,'Data shares'!$C:$FA,119)</f>
        <v>0.54</v>
      </c>
      <c r="D87" s="143">
        <f>VLOOKUP($A87,'Data shares'!$C:$FA,121)*100</f>
        <v>1.8499999999999999</v>
      </c>
      <c r="E87" s="143">
        <f>VLOOKUP($A87,'Data shares'!$C:$FA,124)</f>
        <v>0.47</v>
      </c>
      <c r="F87" s="143">
        <f>VLOOKUP($A87,'Data shares'!$C:$FA,125)</f>
        <v>0.35</v>
      </c>
      <c r="G87" s="143">
        <f>VLOOKUP($A87,'Data shares'!$C:$FA,127)*100</f>
        <v>34.29</v>
      </c>
      <c r="H87" s="103">
        <f>VLOOKUP($A87,'OI(Volume)'!$A$7:$O$445,8)</f>
        <v>2649900</v>
      </c>
      <c r="I87" s="103">
        <f>VLOOKUP($A87,'OI(Volume)'!$A$7:$O$445,9)</f>
        <v>437400</v>
      </c>
      <c r="J87" s="103">
        <f>VLOOKUP($A87,'OI(Volume)'!$A$7:$O$445,11)</f>
        <v>1460250</v>
      </c>
      <c r="K87" s="103">
        <f>VLOOKUP($A87,'OI(Volume)'!$A$7:$O$445,12)</f>
        <v>266100</v>
      </c>
      <c r="L87" s="103">
        <f>VLOOKUP($A87,'OI(Value)'!$A$7:$O$329,8,0)</f>
        <v>1377</v>
      </c>
      <c r="M87" s="103">
        <f>VLOOKUP($A87,'OI(Value)'!$A$7:$O$329,9,0)</f>
        <v>227</v>
      </c>
      <c r="N87" s="103">
        <f>VLOOKUP($A87,'OI(Value)'!$A$7:$O$329,11,0)</f>
        <v>759</v>
      </c>
      <c r="O87" s="103">
        <f>VLOOKUP($A87,'OI(Value)'!$A$7:$O$329,12,0)</f>
        <v>138</v>
      </c>
      <c r="P87" s="179">
        <f>VLOOKUP(A87,'OI(Value)'!A87:O311,8,0)</f>
        <v>1377</v>
      </c>
      <c r="Q87" s="179">
        <f>VLOOKUP(A87,'OI(Value)'!A87:O311,9,0)</f>
        <v>227</v>
      </c>
      <c r="R87" s="179">
        <f>VLOOKUP(A87,'OI(Value)'!A87:O311,11,0)</f>
        <v>759</v>
      </c>
      <c r="S87" s="179">
        <f>VLOOKUP(A87,'OI(Value)'!A87:O311,11,0)</f>
        <v>759</v>
      </c>
    </row>
    <row r="88" spans="1:19" x14ac:dyDescent="0.25">
      <c r="A88" s="105" t="str">
        <f>'Data Vlaue (Cr)'!C83</f>
        <v>HINDALCO</v>
      </c>
      <c r="B88" s="143">
        <f>VLOOKUP($A88,'Data shares'!$C:$FA,118)</f>
        <v>0.72</v>
      </c>
      <c r="C88" s="143">
        <f>VLOOKUP($A88,'Data shares'!$C:$FA,119)</f>
        <v>0.77</v>
      </c>
      <c r="D88" s="143">
        <f>VLOOKUP($A88,'Data shares'!$C:$FA,121)*100</f>
        <v>-6.49</v>
      </c>
      <c r="E88" s="143">
        <f>VLOOKUP($A88,'Data shares'!$C:$FA,124)</f>
        <v>0.56999999999999995</v>
      </c>
      <c r="F88" s="143">
        <f>VLOOKUP($A88,'Data shares'!$C:$FA,125)</f>
        <v>0.59</v>
      </c>
      <c r="G88" s="143">
        <f>VLOOKUP($A88,'Data shares'!$C:$FA,127)*100</f>
        <v>-3.39</v>
      </c>
      <c r="H88" s="103">
        <f>VLOOKUP($A88,'OI(Volume)'!$A$7:$O$445,8)</f>
        <v>7263900</v>
      </c>
      <c r="I88" s="103">
        <f>VLOOKUP($A88,'OI(Volume)'!$A$7:$O$445,9)</f>
        <v>754600</v>
      </c>
      <c r="J88" s="103">
        <f>VLOOKUP($A88,'OI(Volume)'!$A$7:$O$445,11)</f>
        <v>5224100</v>
      </c>
      <c r="K88" s="103">
        <f>VLOOKUP($A88,'OI(Volume)'!$A$7:$O$445,12)</f>
        <v>196000</v>
      </c>
      <c r="L88" s="103">
        <f>VLOOKUP($A88,'OI(Value)'!$A$7:$O$329,8,0)</f>
        <v>764</v>
      </c>
      <c r="M88" s="103">
        <f>VLOOKUP($A88,'OI(Value)'!$A$7:$O$329,9,0)</f>
        <v>79</v>
      </c>
      <c r="N88" s="103">
        <f>VLOOKUP($A88,'OI(Value)'!$A$7:$O$329,11,0)</f>
        <v>550</v>
      </c>
      <c r="O88" s="103">
        <f>VLOOKUP($A88,'OI(Value)'!$A$7:$O$329,12,0)</f>
        <v>21</v>
      </c>
      <c r="P88" s="179">
        <f>VLOOKUP(A88,'OI(Value)'!A88:O312,8,0)</f>
        <v>764</v>
      </c>
      <c r="Q88" s="179">
        <f>VLOOKUP(A88,'OI(Value)'!A88:O312,9,0)</f>
        <v>79</v>
      </c>
      <c r="R88" s="179">
        <f>VLOOKUP(A88,'OI(Value)'!A88:O312,11,0)</f>
        <v>550</v>
      </c>
      <c r="S88" s="179">
        <f>VLOOKUP(A88,'OI(Value)'!A88:O312,11,0)</f>
        <v>550</v>
      </c>
    </row>
    <row r="89" spans="1:19" x14ac:dyDescent="0.25">
      <c r="A89" s="105" t="str">
        <f>'Data Vlaue (Cr)'!C84</f>
        <v>HINDPETRO</v>
      </c>
      <c r="B89" s="143">
        <f>VLOOKUP($A89,'Data shares'!$C:$FA,118)</f>
        <v>1.06</v>
      </c>
      <c r="C89" s="143">
        <f>VLOOKUP($A89,'Data shares'!$C:$FA,119)</f>
        <v>1.1499999999999999</v>
      </c>
      <c r="D89" s="143">
        <f>VLOOKUP($A89,'Data shares'!$C:$FA,121)*100</f>
        <v>-7.8299999999999992</v>
      </c>
      <c r="E89" s="143">
        <f>VLOOKUP($A89,'Data shares'!$C:$FA,124)</f>
        <v>0.55000000000000004</v>
      </c>
      <c r="F89" s="143">
        <f>VLOOKUP($A89,'Data shares'!$C:$FA,125)</f>
        <v>0.62</v>
      </c>
      <c r="G89" s="143">
        <f>VLOOKUP($A89,'Data shares'!$C:$FA,127)*100</f>
        <v>-11.29</v>
      </c>
      <c r="H89" s="103">
        <f>VLOOKUP($A89,'OI(Volume)'!$A$7:$O$445,8)</f>
        <v>12429450</v>
      </c>
      <c r="I89" s="103">
        <f>VLOOKUP($A89,'OI(Volume)'!$A$7:$O$445,9)</f>
        <v>2373300</v>
      </c>
      <c r="J89" s="103">
        <f>VLOOKUP($A89,'OI(Volume)'!$A$7:$O$445,11)</f>
        <v>13190850</v>
      </c>
      <c r="K89" s="103">
        <f>VLOOKUP($A89,'OI(Volume)'!$A$7:$O$445,12)</f>
        <v>1620000</v>
      </c>
      <c r="L89" s="103">
        <f>VLOOKUP($A89,'OI(Value)'!$A$7:$O$329,8,0)</f>
        <v>499</v>
      </c>
      <c r="M89" s="103">
        <f>VLOOKUP($A89,'OI(Value)'!$A$7:$O$329,9,0)</f>
        <v>95</v>
      </c>
      <c r="N89" s="103">
        <f>VLOOKUP($A89,'OI(Value)'!$A$7:$O$329,11,0)</f>
        <v>530</v>
      </c>
      <c r="O89" s="103">
        <f>VLOOKUP($A89,'OI(Value)'!$A$7:$O$329,12,0)</f>
        <v>65</v>
      </c>
      <c r="P89" s="179">
        <f>VLOOKUP(A89,'OI(Value)'!A89:O313,8,0)</f>
        <v>499</v>
      </c>
      <c r="Q89" s="179">
        <f>VLOOKUP(A89,'OI(Value)'!A89:O313,9,0)</f>
        <v>95</v>
      </c>
      <c r="R89" s="179">
        <f>VLOOKUP(A89,'OI(Value)'!A89:O313,11,0)</f>
        <v>530</v>
      </c>
      <c r="S89" s="179">
        <f>VLOOKUP(A89,'OI(Value)'!A89:O313,11,0)</f>
        <v>530</v>
      </c>
    </row>
    <row r="90" spans="1:19" x14ac:dyDescent="0.25">
      <c r="A90" s="105" t="str">
        <f>'Data Vlaue (Cr)'!C85</f>
        <v>HINDUNILVR</v>
      </c>
      <c r="B90" s="143">
        <f>VLOOKUP($A90,'Data shares'!$C:$FA,118)</f>
        <v>0.53</v>
      </c>
      <c r="C90" s="143">
        <f>VLOOKUP($A90,'Data shares'!$C:$FA,119)</f>
        <v>0.56999999999999995</v>
      </c>
      <c r="D90" s="143">
        <f>VLOOKUP($A90,'Data shares'!$C:$FA,121)*100</f>
        <v>-7.02</v>
      </c>
      <c r="E90" s="143">
        <f>VLOOKUP($A90,'Data shares'!$C:$FA,124)</f>
        <v>0.56999999999999995</v>
      </c>
      <c r="F90" s="143">
        <f>VLOOKUP($A90,'Data shares'!$C:$FA,125)</f>
        <v>0.55000000000000004</v>
      </c>
      <c r="G90" s="143">
        <f>VLOOKUP($A90,'Data shares'!$C:$FA,127)*100</f>
        <v>3.64</v>
      </c>
      <c r="H90" s="103">
        <f>VLOOKUP($A90,'OI(Volume)'!$A$7:$O$445,8)</f>
        <v>7978200</v>
      </c>
      <c r="I90" s="103">
        <f>VLOOKUP($A90,'OI(Volume)'!$A$7:$O$445,9)</f>
        <v>446400</v>
      </c>
      <c r="J90" s="103">
        <f>VLOOKUP($A90,'OI(Volume)'!$A$7:$O$445,11)</f>
        <v>4189500</v>
      </c>
      <c r="K90" s="103">
        <f>VLOOKUP($A90,'OI(Volume)'!$A$7:$O$445,12)</f>
        <v>-82500</v>
      </c>
      <c r="L90" s="103">
        <f>VLOOKUP($A90,'OI(Value)'!$A$7:$O$329,8,0)</f>
        <v>1856</v>
      </c>
      <c r="M90" s="103">
        <f>VLOOKUP($A90,'OI(Value)'!$A$7:$O$329,9,0)</f>
        <v>104</v>
      </c>
      <c r="N90" s="103">
        <f>VLOOKUP($A90,'OI(Value)'!$A$7:$O$329,11,0)</f>
        <v>975</v>
      </c>
      <c r="O90" s="103">
        <f>VLOOKUP($A90,'OI(Value)'!$A$7:$O$329,12,0)</f>
        <v>-19</v>
      </c>
      <c r="P90" s="179">
        <f>VLOOKUP(A90,'OI(Value)'!A90:O314,8,0)</f>
        <v>1856</v>
      </c>
      <c r="Q90" s="179">
        <f>VLOOKUP(A90,'OI(Value)'!A90:O314,9,0)</f>
        <v>104</v>
      </c>
      <c r="R90" s="179">
        <f>VLOOKUP(A90,'OI(Value)'!A90:O314,11,0)</f>
        <v>975</v>
      </c>
      <c r="S90" s="179">
        <f>VLOOKUP(A90,'OI(Value)'!A90:O314,11,0)</f>
        <v>975</v>
      </c>
    </row>
    <row r="91" spans="1:19" x14ac:dyDescent="0.25">
      <c r="A91" s="105" t="str">
        <f>'Data Vlaue (Cr)'!C86</f>
        <v>HINDZINC</v>
      </c>
      <c r="B91" s="143">
        <f>VLOOKUP($A91,'Data shares'!$C:$FA,118)</f>
        <v>0.73</v>
      </c>
      <c r="C91" s="143">
        <f>VLOOKUP($A91,'Data shares'!$C:$FA,119)</f>
        <v>0.66</v>
      </c>
      <c r="D91" s="143">
        <f>VLOOKUP($A91,'Data shares'!$C:$FA,121)*100</f>
        <v>10.61</v>
      </c>
      <c r="E91" s="143">
        <f>VLOOKUP($A91,'Data shares'!$C:$FA,124)</f>
        <v>0.48</v>
      </c>
      <c r="F91" s="143">
        <f>VLOOKUP($A91,'Data shares'!$C:$FA,125)</f>
        <v>0.69</v>
      </c>
      <c r="G91" s="143">
        <f>VLOOKUP($A91,'Data shares'!$C:$FA,127)*100</f>
        <v>-30.43</v>
      </c>
      <c r="H91" s="103">
        <f>VLOOKUP($A91,'OI(Volume)'!$A$7:$O$445,8)</f>
        <v>16944200</v>
      </c>
      <c r="I91" s="103">
        <f>VLOOKUP($A91,'OI(Volume)'!$A$7:$O$445,9)</f>
        <v>530425</v>
      </c>
      <c r="J91" s="103">
        <f>VLOOKUP($A91,'OI(Volume)'!$A$7:$O$445,11)</f>
        <v>12436200</v>
      </c>
      <c r="K91" s="103">
        <f>VLOOKUP($A91,'OI(Volume)'!$A$7:$O$445,12)</f>
        <v>1632925</v>
      </c>
      <c r="L91" s="103">
        <f>VLOOKUP($A91,'OI(Value)'!$A$7:$O$329,8,0)</f>
        <v>1083</v>
      </c>
      <c r="M91" s="103">
        <f>VLOOKUP($A91,'OI(Value)'!$A$7:$O$329,9,0)</f>
        <v>34</v>
      </c>
      <c r="N91" s="103">
        <f>VLOOKUP($A91,'OI(Value)'!$A$7:$O$329,11,0)</f>
        <v>795</v>
      </c>
      <c r="O91" s="103">
        <f>VLOOKUP($A91,'OI(Value)'!$A$7:$O$329,12,0)</f>
        <v>104</v>
      </c>
      <c r="P91" s="179">
        <f>VLOOKUP(A91,'OI(Value)'!A91:O315,8,0)</f>
        <v>1083</v>
      </c>
      <c r="Q91" s="179">
        <f>VLOOKUP(A91,'OI(Value)'!A91:O315,9,0)</f>
        <v>34</v>
      </c>
      <c r="R91" s="179">
        <f>VLOOKUP(A91,'OI(Value)'!A91:O315,11,0)</f>
        <v>795</v>
      </c>
      <c r="S91" s="179">
        <f>VLOOKUP(A91,'OI(Value)'!A91:O315,11,0)</f>
        <v>795</v>
      </c>
    </row>
    <row r="92" spans="1:19" x14ac:dyDescent="0.25">
      <c r="A92" s="105" t="str">
        <f>'Data Vlaue (Cr)'!C87</f>
        <v>HYUNDAI</v>
      </c>
      <c r="B92" s="143">
        <f>VLOOKUP($A92,'Data shares'!$C:$FA,118)</f>
        <v>0.87</v>
      </c>
      <c r="C92" s="143">
        <f>VLOOKUP($A92,'Data shares'!$C:$FA,119)</f>
        <v>0.72</v>
      </c>
      <c r="D92" s="143">
        <f>VLOOKUP($A92,'Data shares'!$C:$FA,121)*100</f>
        <v>20.830000000000002</v>
      </c>
      <c r="E92" s="143">
        <f>VLOOKUP($A92,'Data shares'!$C:$FA,124)</f>
        <v>0.37</v>
      </c>
      <c r="F92" s="143">
        <f>VLOOKUP($A92,'Data shares'!$C:$FA,125)</f>
        <v>0.37</v>
      </c>
      <c r="G92" s="143">
        <f>VLOOKUP($A92,'Data shares'!$C:$FA,127)*100</f>
        <v>0</v>
      </c>
      <c r="H92" s="103">
        <f>VLOOKUP($A92,'OI(Volume)'!$A$7:$O$445,8)</f>
        <v>1122000</v>
      </c>
      <c r="I92" s="103">
        <f>VLOOKUP($A92,'OI(Volume)'!$A$7:$O$445,9)</f>
        <v>-40150</v>
      </c>
      <c r="J92" s="103">
        <f>VLOOKUP($A92,'OI(Volume)'!$A$7:$O$445,11)</f>
        <v>972950</v>
      </c>
      <c r="K92" s="103">
        <f>VLOOKUP($A92,'OI(Volume)'!$A$7:$O$445,12)</f>
        <v>130625</v>
      </c>
      <c r="L92" s="103">
        <f>VLOOKUP($A92,'OI(Value)'!$A$7:$O$329,8,0)</f>
        <v>207</v>
      </c>
      <c r="M92" s="103">
        <f>VLOOKUP($A92,'OI(Value)'!$A$7:$O$329,9,0)</f>
        <v>-7</v>
      </c>
      <c r="N92" s="103">
        <f>VLOOKUP($A92,'OI(Value)'!$A$7:$O$329,11,0)</f>
        <v>179</v>
      </c>
      <c r="O92" s="103">
        <f>VLOOKUP($A92,'OI(Value)'!$A$7:$O$329,12,0)</f>
        <v>24</v>
      </c>
      <c r="P92" s="179">
        <f>VLOOKUP(A92,'OI(Value)'!A92:O316,8,0)</f>
        <v>207</v>
      </c>
      <c r="Q92" s="179">
        <f>VLOOKUP(A92,'OI(Value)'!A92:O316,9,0)</f>
        <v>-7</v>
      </c>
      <c r="R92" s="179">
        <f>VLOOKUP(A92,'OI(Value)'!A92:O316,11,0)</f>
        <v>179</v>
      </c>
      <c r="S92" s="179">
        <f>VLOOKUP(A92,'OI(Value)'!A92:O316,11,0)</f>
        <v>179</v>
      </c>
    </row>
    <row r="93" spans="1:19" x14ac:dyDescent="0.25">
      <c r="A93" s="105" t="str">
        <f>'Data Vlaue (Cr)'!C88</f>
        <v>ICICIBANK</v>
      </c>
      <c r="B93" s="143">
        <f>VLOOKUP($A93,'Data shares'!$C:$FA,118)</f>
        <v>0.6</v>
      </c>
      <c r="C93" s="143">
        <f>VLOOKUP($A93,'Data shares'!$C:$FA,119)</f>
        <v>0.57999999999999996</v>
      </c>
      <c r="D93" s="143">
        <f>VLOOKUP($A93,'Data shares'!$C:$FA,121)*100</f>
        <v>3.45</v>
      </c>
      <c r="E93" s="143">
        <f>VLOOKUP($A93,'Data shares'!$C:$FA,124)</f>
        <v>0.59</v>
      </c>
      <c r="F93" s="143">
        <f>VLOOKUP($A93,'Data shares'!$C:$FA,125)</f>
        <v>0.55000000000000004</v>
      </c>
      <c r="G93" s="143">
        <f>VLOOKUP($A93,'Data shares'!$C:$FA,127)*100</f>
        <v>7.2700000000000005</v>
      </c>
      <c r="H93" s="103">
        <f>VLOOKUP($A93,'OI(Volume)'!$A$7:$O$445,8)</f>
        <v>35566300</v>
      </c>
      <c r="I93" s="103">
        <f>VLOOKUP($A93,'OI(Volume)'!$A$7:$O$445,9)</f>
        <v>-583800</v>
      </c>
      <c r="J93" s="103">
        <f>VLOOKUP($A93,'OI(Volume)'!$A$7:$O$445,11)</f>
        <v>21476700</v>
      </c>
      <c r="K93" s="103">
        <f>VLOOKUP($A93,'OI(Volume)'!$A$7:$O$445,12)</f>
        <v>447300</v>
      </c>
      <c r="L93" s="103">
        <f>VLOOKUP($A93,'OI(Value)'!$A$7:$O$329,8,0)</f>
        <v>4580</v>
      </c>
      <c r="M93" s="103">
        <f>VLOOKUP($A93,'OI(Value)'!$A$7:$O$329,9,0)</f>
        <v>-75</v>
      </c>
      <c r="N93" s="103">
        <f>VLOOKUP($A93,'OI(Value)'!$A$7:$O$329,11,0)</f>
        <v>2765</v>
      </c>
      <c r="O93" s="103">
        <f>VLOOKUP($A93,'OI(Value)'!$A$7:$O$329,12,0)</f>
        <v>58</v>
      </c>
      <c r="P93" s="179">
        <f>VLOOKUP(A93,'OI(Value)'!A93:O317,8,0)</f>
        <v>4580</v>
      </c>
      <c r="Q93" s="179">
        <f>VLOOKUP(A93,'OI(Value)'!A93:O317,9,0)</f>
        <v>-75</v>
      </c>
      <c r="R93" s="179">
        <f>VLOOKUP(A93,'OI(Value)'!A93:O317,11,0)</f>
        <v>2765</v>
      </c>
      <c r="S93" s="179">
        <f>VLOOKUP(A93,'OI(Value)'!A93:O317,11,0)</f>
        <v>2765</v>
      </c>
    </row>
    <row r="94" spans="1:19" x14ac:dyDescent="0.25">
      <c r="A94" s="105" t="str">
        <f>'Data Vlaue (Cr)'!C89</f>
        <v>ICICIGI</v>
      </c>
      <c r="B94" s="143">
        <f>VLOOKUP($A94,'Data shares'!$C:$FA,118)</f>
        <v>0.46</v>
      </c>
      <c r="C94" s="143">
        <f>VLOOKUP($A94,'Data shares'!$C:$FA,119)</f>
        <v>0.5</v>
      </c>
      <c r="D94" s="143">
        <f>VLOOKUP($A94,'Data shares'!$C:$FA,121)*100</f>
        <v>-8</v>
      </c>
      <c r="E94" s="143">
        <f>VLOOKUP($A94,'Data shares'!$C:$FA,124)</f>
        <v>0.35</v>
      </c>
      <c r="F94" s="143">
        <f>VLOOKUP($A94,'Data shares'!$C:$FA,125)</f>
        <v>0.32</v>
      </c>
      <c r="G94" s="143">
        <f>VLOOKUP($A94,'Data shares'!$C:$FA,127)*100</f>
        <v>9.370000000000001</v>
      </c>
      <c r="H94" s="103">
        <f>VLOOKUP($A94,'OI(Volume)'!$A$7:$O$445,8)</f>
        <v>788450</v>
      </c>
      <c r="I94" s="103">
        <f>VLOOKUP($A94,'OI(Volume)'!$A$7:$O$445,9)</f>
        <v>114725</v>
      </c>
      <c r="J94" s="103">
        <f>VLOOKUP($A94,'OI(Volume)'!$A$7:$O$445,11)</f>
        <v>362375</v>
      </c>
      <c r="K94" s="103">
        <f>VLOOKUP($A94,'OI(Volume)'!$A$7:$O$445,12)</f>
        <v>26650</v>
      </c>
      <c r="L94" s="103">
        <f>VLOOKUP($A94,'OI(Value)'!$A$7:$O$329,8,0)</f>
        <v>143</v>
      </c>
      <c r="M94" s="103">
        <f>VLOOKUP($A94,'OI(Value)'!$A$7:$O$329,9,0)</f>
        <v>21</v>
      </c>
      <c r="N94" s="103">
        <f>VLOOKUP($A94,'OI(Value)'!$A$7:$O$329,11,0)</f>
        <v>66</v>
      </c>
      <c r="O94" s="103">
        <f>VLOOKUP($A94,'OI(Value)'!$A$7:$O$329,12,0)</f>
        <v>5</v>
      </c>
      <c r="P94" s="179">
        <f>VLOOKUP(A94,'OI(Value)'!A94:O318,8,0)</f>
        <v>143</v>
      </c>
      <c r="Q94" s="179">
        <f>VLOOKUP(A94,'OI(Value)'!A94:O318,9,0)</f>
        <v>21</v>
      </c>
      <c r="R94" s="179">
        <f>VLOOKUP(A94,'OI(Value)'!A94:O318,11,0)</f>
        <v>66</v>
      </c>
      <c r="S94" s="179">
        <f>VLOOKUP(A94,'OI(Value)'!A94:O318,11,0)</f>
        <v>66</v>
      </c>
    </row>
    <row r="95" spans="1:19" x14ac:dyDescent="0.25">
      <c r="A95" s="105" t="str">
        <f>'Data Vlaue (Cr)'!C90</f>
        <v>ICICIPRULI</v>
      </c>
      <c r="B95" s="143">
        <f>VLOOKUP($A95,'Data shares'!$C:$FA,118)</f>
        <v>0.84</v>
      </c>
      <c r="C95" s="143">
        <f>VLOOKUP($A95,'Data shares'!$C:$FA,119)</f>
        <v>0.76</v>
      </c>
      <c r="D95" s="143">
        <f>VLOOKUP($A95,'Data shares'!$C:$FA,121)*100</f>
        <v>10.530000000000001</v>
      </c>
      <c r="E95" s="143">
        <f>VLOOKUP($A95,'Data shares'!$C:$FA,124)</f>
        <v>0.67</v>
      </c>
      <c r="F95" s="143">
        <f>VLOOKUP($A95,'Data shares'!$C:$FA,125)</f>
        <v>0.65</v>
      </c>
      <c r="G95" s="143">
        <f>VLOOKUP($A95,'Data shares'!$C:$FA,127)*100</f>
        <v>3.08</v>
      </c>
      <c r="H95" s="103">
        <f>VLOOKUP($A95,'OI(Volume)'!$A$7:$O$445,8)</f>
        <v>4421500</v>
      </c>
      <c r="I95" s="103">
        <f>VLOOKUP($A95,'OI(Volume)'!$A$7:$O$445,9)</f>
        <v>-224775</v>
      </c>
      <c r="J95" s="103">
        <f>VLOOKUP($A95,'OI(Volume)'!$A$7:$O$445,11)</f>
        <v>3703700</v>
      </c>
      <c r="K95" s="103">
        <f>VLOOKUP($A95,'OI(Volume)'!$A$7:$O$445,12)</f>
        <v>164650</v>
      </c>
      <c r="L95" s="103">
        <f>VLOOKUP($A95,'OI(Value)'!$A$7:$O$329,8,0)</f>
        <v>244</v>
      </c>
      <c r="M95" s="103">
        <f>VLOOKUP($A95,'OI(Value)'!$A$7:$O$329,9,0)</f>
        <v>-12</v>
      </c>
      <c r="N95" s="103">
        <f>VLOOKUP($A95,'OI(Value)'!$A$7:$O$329,11,0)</f>
        <v>205</v>
      </c>
      <c r="O95" s="103">
        <f>VLOOKUP($A95,'OI(Value)'!$A$7:$O$329,12,0)</f>
        <v>9</v>
      </c>
      <c r="P95" s="179">
        <f>VLOOKUP(A95,'OI(Value)'!A95:O319,8,0)</f>
        <v>244</v>
      </c>
      <c r="Q95" s="179">
        <f>VLOOKUP(A95,'OI(Value)'!A95:O319,9,0)</f>
        <v>-12</v>
      </c>
      <c r="R95" s="179">
        <f>VLOOKUP(A95,'OI(Value)'!A95:O319,11,0)</f>
        <v>205</v>
      </c>
      <c r="S95" s="179">
        <f>VLOOKUP(A95,'OI(Value)'!A95:O319,11,0)</f>
        <v>205</v>
      </c>
    </row>
    <row r="96" spans="1:19" x14ac:dyDescent="0.25">
      <c r="A96" s="105" t="str">
        <f>'Data Vlaue (Cr)'!C91</f>
        <v>IDEA</v>
      </c>
      <c r="B96" s="143">
        <f>VLOOKUP($A96,'Data shares'!$C:$FA,118)</f>
        <v>0.55000000000000004</v>
      </c>
      <c r="C96" s="143">
        <f>VLOOKUP($A96,'Data shares'!$C:$FA,119)</f>
        <v>0.52</v>
      </c>
      <c r="D96" s="143">
        <f>VLOOKUP($A96,'Data shares'!$C:$FA,121)*100</f>
        <v>5.7700000000000005</v>
      </c>
      <c r="E96" s="143">
        <f>VLOOKUP($A96,'Data shares'!$C:$FA,124)</f>
        <v>0.37</v>
      </c>
      <c r="F96" s="143">
        <f>VLOOKUP($A96,'Data shares'!$C:$FA,125)</f>
        <v>0.3</v>
      </c>
      <c r="G96" s="143">
        <f>VLOOKUP($A96,'Data shares'!$C:$FA,127)*100</f>
        <v>23.330000000000002</v>
      </c>
      <c r="H96" s="103">
        <f>VLOOKUP($A96,'OI(Volume)'!$A$7:$O$445,8)</f>
        <v>1572235575</v>
      </c>
      <c r="I96" s="103">
        <f>VLOOKUP($A96,'OI(Volume)'!$A$7:$O$445,9)</f>
        <v>-22085775</v>
      </c>
      <c r="J96" s="103">
        <f>VLOOKUP($A96,'OI(Volume)'!$A$7:$O$445,11)</f>
        <v>870779925</v>
      </c>
      <c r="K96" s="103">
        <f>VLOOKUP($A96,'OI(Volume)'!$A$7:$O$445,12)</f>
        <v>36738150</v>
      </c>
      <c r="L96" s="103">
        <f>VLOOKUP($A96,'OI(Value)'!$A$7:$O$329,8,0)</f>
        <v>1788</v>
      </c>
      <c r="M96" s="103">
        <f>VLOOKUP($A96,'OI(Value)'!$A$7:$O$329,9,0)</f>
        <v>-25</v>
      </c>
      <c r="N96" s="103">
        <f>VLOOKUP($A96,'OI(Value)'!$A$7:$O$329,11,0)</f>
        <v>990</v>
      </c>
      <c r="O96" s="103">
        <f>VLOOKUP($A96,'OI(Value)'!$A$7:$O$329,12,0)</f>
        <v>42</v>
      </c>
      <c r="P96" s="179">
        <f>VLOOKUP(A96,'OI(Value)'!A96:O320,8,0)</f>
        <v>1788</v>
      </c>
      <c r="Q96" s="179">
        <f>VLOOKUP(A96,'OI(Value)'!A96:O320,9,0)</f>
        <v>-25</v>
      </c>
      <c r="R96" s="179">
        <f>VLOOKUP(A96,'OI(Value)'!A96:O320,11,0)</f>
        <v>990</v>
      </c>
      <c r="S96" s="179">
        <f>VLOOKUP(A96,'OI(Value)'!A96:O320,11,0)</f>
        <v>990</v>
      </c>
    </row>
    <row r="97" spans="1:19" x14ac:dyDescent="0.25">
      <c r="A97" s="105" t="str">
        <f>'Data Vlaue (Cr)'!C92</f>
        <v>IDFCFIRSTB</v>
      </c>
      <c r="B97" s="143">
        <f>VLOOKUP($A97,'Data shares'!$C:$FA,118)</f>
        <v>0.82</v>
      </c>
      <c r="C97" s="143">
        <f>VLOOKUP($A97,'Data shares'!$C:$FA,119)</f>
        <v>0.88</v>
      </c>
      <c r="D97" s="143">
        <f>VLOOKUP($A97,'Data shares'!$C:$FA,121)*100</f>
        <v>-6.8199999999999994</v>
      </c>
      <c r="E97" s="143">
        <f>VLOOKUP($A97,'Data shares'!$C:$FA,124)</f>
        <v>0.62</v>
      </c>
      <c r="F97" s="143">
        <f>VLOOKUP($A97,'Data shares'!$C:$FA,125)</f>
        <v>0.63</v>
      </c>
      <c r="G97" s="143">
        <f>VLOOKUP($A97,'Data shares'!$C:$FA,127)*100</f>
        <v>-1.59</v>
      </c>
      <c r="H97" s="103">
        <f>VLOOKUP($A97,'OI(Volume)'!$A$7:$O$445,8)</f>
        <v>104807500</v>
      </c>
      <c r="I97" s="103">
        <f>VLOOKUP($A97,'OI(Volume)'!$A$7:$O$445,9)</f>
        <v>10684800</v>
      </c>
      <c r="J97" s="103">
        <f>VLOOKUP($A97,'OI(Volume)'!$A$7:$O$445,11)</f>
        <v>86229675</v>
      </c>
      <c r="K97" s="103">
        <f>VLOOKUP($A97,'OI(Volume)'!$A$7:$O$445,12)</f>
        <v>2968000</v>
      </c>
      <c r="L97" s="103">
        <f>VLOOKUP($A97,'OI(Value)'!$A$7:$O$329,8,0)</f>
        <v>734</v>
      </c>
      <c r="M97" s="103">
        <f>VLOOKUP($A97,'OI(Value)'!$A$7:$O$329,9,0)</f>
        <v>75</v>
      </c>
      <c r="N97" s="103">
        <f>VLOOKUP($A97,'OI(Value)'!$A$7:$O$329,11,0)</f>
        <v>604</v>
      </c>
      <c r="O97" s="103">
        <f>VLOOKUP($A97,'OI(Value)'!$A$7:$O$329,12,0)</f>
        <v>21</v>
      </c>
      <c r="P97" s="179">
        <f>VLOOKUP(A97,'OI(Value)'!A97:O321,8,0)</f>
        <v>734</v>
      </c>
      <c r="Q97" s="179">
        <f>VLOOKUP(A97,'OI(Value)'!A97:O321,9,0)</f>
        <v>75</v>
      </c>
      <c r="R97" s="179">
        <f>VLOOKUP(A97,'OI(Value)'!A97:O321,11,0)</f>
        <v>604</v>
      </c>
      <c r="S97" s="179">
        <f>VLOOKUP(A97,'OI(Value)'!A97:O321,11,0)</f>
        <v>604</v>
      </c>
    </row>
    <row r="98" spans="1:19" x14ac:dyDescent="0.25">
      <c r="A98" s="105" t="str">
        <f>'Data Vlaue (Cr)'!C93</f>
        <v>IEX</v>
      </c>
      <c r="B98" s="143">
        <f>VLOOKUP($A98,'Data shares'!$C:$FA,118)</f>
        <v>0.64</v>
      </c>
      <c r="C98" s="143">
        <f>VLOOKUP($A98,'Data shares'!$C:$FA,119)</f>
        <v>0.6</v>
      </c>
      <c r="D98" s="143">
        <f>VLOOKUP($A98,'Data shares'!$C:$FA,121)*100</f>
        <v>6.67</v>
      </c>
      <c r="E98" s="143">
        <f>VLOOKUP($A98,'Data shares'!$C:$FA,124)</f>
        <v>0.5</v>
      </c>
      <c r="F98" s="143">
        <f>VLOOKUP($A98,'Data shares'!$C:$FA,125)</f>
        <v>0.28999999999999998</v>
      </c>
      <c r="G98" s="143">
        <f>VLOOKUP($A98,'Data shares'!$C:$FA,127)*100</f>
        <v>72.41</v>
      </c>
      <c r="H98" s="103">
        <f>VLOOKUP($A98,'OI(Volume)'!$A$7:$O$445,8)</f>
        <v>45120000</v>
      </c>
      <c r="I98" s="103">
        <f>VLOOKUP($A98,'OI(Volume)'!$A$7:$O$445,9)</f>
        <v>1286250</v>
      </c>
      <c r="J98" s="103">
        <f>VLOOKUP($A98,'OI(Volume)'!$A$7:$O$445,11)</f>
        <v>28790550</v>
      </c>
      <c r="K98" s="103">
        <f>VLOOKUP($A98,'OI(Volume)'!$A$7:$O$445,12)</f>
        <v>2311800</v>
      </c>
      <c r="L98" s="103">
        <f>VLOOKUP($A98,'OI(Value)'!$A$7:$O$329,8,0)</f>
        <v>581</v>
      </c>
      <c r="M98" s="103">
        <f>VLOOKUP($A98,'OI(Value)'!$A$7:$O$329,9,0)</f>
        <v>17</v>
      </c>
      <c r="N98" s="103">
        <f>VLOOKUP($A98,'OI(Value)'!$A$7:$O$329,11,0)</f>
        <v>371</v>
      </c>
      <c r="O98" s="103">
        <f>VLOOKUP($A98,'OI(Value)'!$A$7:$O$329,12,0)</f>
        <v>30</v>
      </c>
      <c r="P98" s="179">
        <f>VLOOKUP(A98,'OI(Value)'!A98:O322,8,0)</f>
        <v>581</v>
      </c>
      <c r="Q98" s="179">
        <f>VLOOKUP(A98,'OI(Value)'!A98:O322,9,0)</f>
        <v>17</v>
      </c>
      <c r="R98" s="179">
        <f>VLOOKUP(A98,'OI(Value)'!A98:O322,11,0)</f>
        <v>371</v>
      </c>
      <c r="S98" s="179">
        <f>VLOOKUP(A98,'OI(Value)'!A98:O322,11,0)</f>
        <v>371</v>
      </c>
    </row>
    <row r="99" spans="1:19" x14ac:dyDescent="0.25">
      <c r="A99" s="105" t="str">
        <f>'Data Vlaue (Cr)'!C94</f>
        <v>INDHOTEL</v>
      </c>
      <c r="B99" s="143">
        <f>VLOOKUP($A99,'Data shares'!$C:$FA,118)</f>
        <v>0.99</v>
      </c>
      <c r="C99" s="143">
        <f>VLOOKUP($A99,'Data shares'!$C:$FA,119)</f>
        <v>1.07</v>
      </c>
      <c r="D99" s="143">
        <f>VLOOKUP($A99,'Data shares'!$C:$FA,121)*100</f>
        <v>-7.48</v>
      </c>
      <c r="E99" s="143">
        <f>VLOOKUP($A99,'Data shares'!$C:$FA,124)</f>
        <v>0.5</v>
      </c>
      <c r="F99" s="143">
        <f>VLOOKUP($A99,'Data shares'!$C:$FA,125)</f>
        <v>0.59</v>
      </c>
      <c r="G99" s="143">
        <f>VLOOKUP($A99,'Data shares'!$C:$FA,127)*100</f>
        <v>-15.25</v>
      </c>
      <c r="H99" s="103">
        <f>VLOOKUP($A99,'OI(Volume)'!$A$7:$O$445,8)</f>
        <v>5328000</v>
      </c>
      <c r="I99" s="103">
        <f>VLOOKUP($A99,'OI(Volume)'!$A$7:$O$445,9)</f>
        <v>590000</v>
      </c>
      <c r="J99" s="103">
        <f>VLOOKUP($A99,'OI(Volume)'!$A$7:$O$445,11)</f>
        <v>5264000</v>
      </c>
      <c r="K99" s="103">
        <f>VLOOKUP($A99,'OI(Volume)'!$A$7:$O$445,12)</f>
        <v>195000</v>
      </c>
      <c r="L99" s="103">
        <f>VLOOKUP($A99,'OI(Value)'!$A$7:$O$329,8,0)</f>
        <v>357</v>
      </c>
      <c r="M99" s="103">
        <f>VLOOKUP($A99,'OI(Value)'!$A$7:$O$329,9,0)</f>
        <v>40</v>
      </c>
      <c r="N99" s="103">
        <f>VLOOKUP($A99,'OI(Value)'!$A$7:$O$329,11,0)</f>
        <v>353</v>
      </c>
      <c r="O99" s="103">
        <f>VLOOKUP($A99,'OI(Value)'!$A$7:$O$329,12,0)</f>
        <v>13</v>
      </c>
      <c r="P99" s="179">
        <f>VLOOKUP(A99,'OI(Value)'!A99:O323,8,0)</f>
        <v>357</v>
      </c>
      <c r="Q99" s="179">
        <f>VLOOKUP(A99,'OI(Value)'!A99:O323,9,0)</f>
        <v>40</v>
      </c>
      <c r="R99" s="179">
        <f>VLOOKUP(A99,'OI(Value)'!A99:O323,11,0)</f>
        <v>353</v>
      </c>
      <c r="S99" s="179">
        <f>VLOOKUP(A99,'OI(Value)'!A99:O323,11,0)</f>
        <v>353</v>
      </c>
    </row>
    <row r="100" spans="1:19" x14ac:dyDescent="0.25">
      <c r="A100" s="105" t="str">
        <f>'Data Vlaue (Cr)'!C95</f>
        <v>INDIANB</v>
      </c>
      <c r="B100" s="143">
        <f>VLOOKUP($A100,'Data shares'!$C:$FA,118)</f>
        <v>0.55000000000000004</v>
      </c>
      <c r="C100" s="143">
        <f>VLOOKUP($A100,'Data shares'!$C:$FA,119)</f>
        <v>0.52</v>
      </c>
      <c r="D100" s="143">
        <f>VLOOKUP($A100,'Data shares'!$C:$FA,121)*100</f>
        <v>5.7700000000000005</v>
      </c>
      <c r="E100" s="143">
        <f>VLOOKUP($A100,'Data shares'!$C:$FA,124)</f>
        <v>0.47</v>
      </c>
      <c r="F100" s="143">
        <f>VLOOKUP($A100,'Data shares'!$C:$FA,125)</f>
        <v>0.45</v>
      </c>
      <c r="G100" s="143">
        <f>VLOOKUP($A100,'Data shares'!$C:$FA,127)*100</f>
        <v>4.4400000000000004</v>
      </c>
      <c r="H100" s="103">
        <f>VLOOKUP($A100,'OI(Volume)'!$A$7:$O$445,8)</f>
        <v>7008000</v>
      </c>
      <c r="I100" s="103">
        <f>VLOOKUP($A100,'OI(Volume)'!$A$7:$O$445,9)</f>
        <v>-110000</v>
      </c>
      <c r="J100" s="103">
        <f>VLOOKUP($A100,'OI(Volume)'!$A$7:$O$445,11)</f>
        <v>3832000</v>
      </c>
      <c r="K100" s="103">
        <f>VLOOKUP($A100,'OI(Volume)'!$A$7:$O$445,12)</f>
        <v>104000</v>
      </c>
      <c r="L100" s="103">
        <f>VLOOKUP($A100,'OI(Value)'!$A$7:$O$329,8,0)</f>
        <v>612</v>
      </c>
      <c r="M100" s="103">
        <f>VLOOKUP($A100,'OI(Value)'!$A$7:$O$329,9,0)</f>
        <v>-10</v>
      </c>
      <c r="N100" s="103">
        <f>VLOOKUP($A100,'OI(Value)'!$A$7:$O$329,11,0)</f>
        <v>335</v>
      </c>
      <c r="O100" s="103">
        <f>VLOOKUP($A100,'OI(Value)'!$A$7:$O$329,12,0)</f>
        <v>9</v>
      </c>
      <c r="P100" s="179">
        <f>VLOOKUP(A100,'OI(Value)'!A100:O324,8,0)</f>
        <v>612</v>
      </c>
      <c r="Q100" s="179">
        <f>VLOOKUP(A100,'OI(Value)'!A100:O324,9,0)</f>
        <v>-10</v>
      </c>
      <c r="R100" s="179">
        <f>VLOOKUP(A100,'OI(Value)'!A100:O324,11,0)</f>
        <v>335</v>
      </c>
      <c r="S100" s="179">
        <f>VLOOKUP(A100,'OI(Value)'!A100:O324,11,0)</f>
        <v>335</v>
      </c>
    </row>
    <row r="101" spans="1:19" x14ac:dyDescent="0.25">
      <c r="A101" s="105" t="str">
        <f>'Data Vlaue (Cr)'!C96</f>
        <v>INDIAVIX</v>
      </c>
      <c r="B101" s="143">
        <f>VLOOKUP($A101,'Data shares'!$C:$FA,118)</f>
        <v>0</v>
      </c>
      <c r="C101" s="143">
        <f>VLOOKUP($A101,'Data shares'!$C:$FA,119)</f>
        <v>0</v>
      </c>
      <c r="D101" s="143">
        <f>VLOOKUP($A101,'Data shares'!$C:$FA,121)*100</f>
        <v>0</v>
      </c>
      <c r="E101" s="143">
        <f>VLOOKUP($A101,'Data shares'!$C:$FA,124)</f>
        <v>0</v>
      </c>
      <c r="F101" s="143">
        <f>VLOOKUP($A101,'Data shares'!$C:$FA,125)</f>
        <v>0</v>
      </c>
      <c r="G101" s="143">
        <f>VLOOKUP($A101,'Data shares'!$C:$FA,127)*100</f>
        <v>0</v>
      </c>
      <c r="H101" s="103">
        <f>VLOOKUP($A101,'OI(Volume)'!$A$7:$O$445,8)</f>
        <v>0</v>
      </c>
      <c r="I101" s="103">
        <f>VLOOKUP($A101,'OI(Volume)'!$A$7:$O$445,9)</f>
        <v>0</v>
      </c>
      <c r="J101" s="103">
        <f>VLOOKUP($A101,'OI(Volume)'!$A$7:$O$445,11)</f>
        <v>0</v>
      </c>
      <c r="K101" s="103">
        <f>VLOOKUP($A101,'OI(Volume)'!$A$7:$O$445,12)</f>
        <v>0</v>
      </c>
      <c r="L101" s="103">
        <f>VLOOKUP($A101,'OI(Value)'!$A$7:$O$329,8,0)</f>
        <v>0</v>
      </c>
      <c r="M101" s="103">
        <f>VLOOKUP($A101,'OI(Value)'!$A$7:$O$329,9,0)</f>
        <v>0</v>
      </c>
      <c r="N101" s="103">
        <f>VLOOKUP($A101,'OI(Value)'!$A$7:$O$329,11,0)</f>
        <v>0</v>
      </c>
      <c r="O101" s="103">
        <f>VLOOKUP($A101,'OI(Value)'!$A$7:$O$329,12,0)</f>
        <v>0</v>
      </c>
      <c r="P101" s="179">
        <f>VLOOKUP(A101,'OI(Value)'!A101:O325,8,0)</f>
        <v>0</v>
      </c>
      <c r="Q101" s="179">
        <f>VLOOKUP(A101,'OI(Value)'!A101:O325,9,0)</f>
        <v>0</v>
      </c>
      <c r="R101" s="179">
        <f>VLOOKUP(A101,'OI(Value)'!A101:O325,11,0)</f>
        <v>0</v>
      </c>
      <c r="S101" s="179">
        <f>VLOOKUP(A101,'OI(Value)'!A101:O325,11,0)</f>
        <v>0</v>
      </c>
    </row>
    <row r="102" spans="1:19" x14ac:dyDescent="0.25">
      <c r="A102" s="105" t="str">
        <f>'Data Vlaue (Cr)'!C97</f>
        <v>INDIGO</v>
      </c>
      <c r="B102" s="143">
        <f>VLOOKUP($A102,'Data shares'!$C:$FA,118)</f>
        <v>0.6</v>
      </c>
      <c r="C102" s="143">
        <f>VLOOKUP($A102,'Data shares'!$C:$FA,119)</f>
        <v>0.55000000000000004</v>
      </c>
      <c r="D102" s="143">
        <f>VLOOKUP($A102,'Data shares'!$C:$FA,121)*100</f>
        <v>9.09</v>
      </c>
      <c r="E102" s="143">
        <f>VLOOKUP($A102,'Data shares'!$C:$FA,124)</f>
        <v>0.44</v>
      </c>
      <c r="F102" s="143">
        <f>VLOOKUP($A102,'Data shares'!$C:$FA,125)</f>
        <v>0.69</v>
      </c>
      <c r="G102" s="143">
        <f>VLOOKUP($A102,'Data shares'!$C:$FA,127)*100</f>
        <v>-36.230000000000004</v>
      </c>
      <c r="H102" s="103">
        <f>VLOOKUP($A102,'OI(Volume)'!$A$7:$O$445,8)</f>
        <v>4299450</v>
      </c>
      <c r="I102" s="103">
        <f>VLOOKUP($A102,'OI(Volume)'!$A$7:$O$445,9)</f>
        <v>543000</v>
      </c>
      <c r="J102" s="103">
        <f>VLOOKUP($A102,'OI(Volume)'!$A$7:$O$445,11)</f>
        <v>2577600</v>
      </c>
      <c r="K102" s="103">
        <f>VLOOKUP($A102,'OI(Volume)'!$A$7:$O$445,12)</f>
        <v>494100</v>
      </c>
      <c r="L102" s="103">
        <f>VLOOKUP($A102,'OI(Value)'!$A$7:$O$329,8,0)</f>
        <v>1953</v>
      </c>
      <c r="M102" s="103">
        <f>VLOOKUP($A102,'OI(Value)'!$A$7:$O$329,9,0)</f>
        <v>247</v>
      </c>
      <c r="N102" s="103">
        <f>VLOOKUP($A102,'OI(Value)'!$A$7:$O$329,11,0)</f>
        <v>1171</v>
      </c>
      <c r="O102" s="103">
        <f>VLOOKUP($A102,'OI(Value)'!$A$7:$O$329,12,0)</f>
        <v>224</v>
      </c>
      <c r="P102" s="179">
        <f>VLOOKUP(A102,'OI(Value)'!A102:O326,8,0)</f>
        <v>1953</v>
      </c>
      <c r="Q102" s="179">
        <f>VLOOKUP(A102,'OI(Value)'!A102:O326,9,0)</f>
        <v>247</v>
      </c>
      <c r="R102" s="179">
        <f>VLOOKUP(A102,'OI(Value)'!A102:O326,11,0)</f>
        <v>1171</v>
      </c>
      <c r="S102" s="179">
        <f>VLOOKUP(A102,'OI(Value)'!A102:O326,11,0)</f>
        <v>1171</v>
      </c>
    </row>
    <row r="103" spans="1:19" x14ac:dyDescent="0.25">
      <c r="A103" s="105" t="str">
        <f>'Data Vlaue (Cr)'!C98</f>
        <v>INDUSINDBK</v>
      </c>
      <c r="B103" s="143">
        <f>VLOOKUP($A103,'Data shares'!$C:$FA,118)</f>
        <v>0.91</v>
      </c>
      <c r="C103" s="143">
        <f>VLOOKUP($A103,'Data shares'!$C:$FA,119)</f>
        <v>0.88</v>
      </c>
      <c r="D103" s="143">
        <f>VLOOKUP($A103,'Data shares'!$C:$FA,121)*100</f>
        <v>3.4099999999999997</v>
      </c>
      <c r="E103" s="143">
        <f>VLOOKUP($A103,'Data shares'!$C:$FA,124)</f>
        <v>0.81</v>
      </c>
      <c r="F103" s="143">
        <f>VLOOKUP($A103,'Data shares'!$C:$FA,125)</f>
        <v>0.67</v>
      </c>
      <c r="G103" s="143">
        <f>VLOOKUP($A103,'Data shares'!$C:$FA,127)*100</f>
        <v>20.9</v>
      </c>
      <c r="H103" s="103">
        <f>VLOOKUP($A103,'OI(Volume)'!$A$7:$O$445,8)</f>
        <v>6580000</v>
      </c>
      <c r="I103" s="103">
        <f>VLOOKUP($A103,'OI(Volume)'!$A$7:$O$445,9)</f>
        <v>343700</v>
      </c>
      <c r="J103" s="103">
        <f>VLOOKUP($A103,'OI(Volume)'!$A$7:$O$445,11)</f>
        <v>5994100</v>
      </c>
      <c r="K103" s="103">
        <f>VLOOKUP($A103,'OI(Volume)'!$A$7:$O$445,12)</f>
        <v>529200</v>
      </c>
      <c r="L103" s="103">
        <f>VLOOKUP($A103,'OI(Value)'!$A$7:$O$329,8,0)</f>
        <v>627</v>
      </c>
      <c r="M103" s="103">
        <f>VLOOKUP($A103,'OI(Value)'!$A$7:$O$329,9,0)</f>
        <v>33</v>
      </c>
      <c r="N103" s="103">
        <f>VLOOKUP($A103,'OI(Value)'!$A$7:$O$329,11,0)</f>
        <v>571</v>
      </c>
      <c r="O103" s="103">
        <f>VLOOKUP($A103,'OI(Value)'!$A$7:$O$329,12,0)</f>
        <v>50</v>
      </c>
      <c r="P103" s="179">
        <f>VLOOKUP(A103,'OI(Value)'!A103:O327,8,0)</f>
        <v>627</v>
      </c>
      <c r="Q103" s="179">
        <f>VLOOKUP(A103,'OI(Value)'!A103:O327,9,0)</f>
        <v>33</v>
      </c>
      <c r="R103" s="179">
        <f>VLOOKUP(A103,'OI(Value)'!A103:O327,11,0)</f>
        <v>571</v>
      </c>
      <c r="S103" s="179">
        <f>VLOOKUP(A103,'OI(Value)'!A103:O327,11,0)</f>
        <v>571</v>
      </c>
    </row>
    <row r="104" spans="1:19" x14ac:dyDescent="0.25">
      <c r="A104" s="105" t="str">
        <f>'Data Vlaue (Cr)'!C99</f>
        <v>INDUSTOWER</v>
      </c>
      <c r="B104" s="143">
        <f>VLOOKUP($A104,'Data shares'!$C:$FA,118)</f>
        <v>0.7</v>
      </c>
      <c r="C104" s="143">
        <f>VLOOKUP($A104,'Data shares'!$C:$FA,119)</f>
        <v>0.68</v>
      </c>
      <c r="D104" s="143">
        <f>VLOOKUP($A104,'Data shares'!$C:$FA,121)*100</f>
        <v>2.94</v>
      </c>
      <c r="E104" s="143">
        <f>VLOOKUP($A104,'Data shares'!$C:$FA,124)</f>
        <v>0.34</v>
      </c>
      <c r="F104" s="143">
        <f>VLOOKUP($A104,'Data shares'!$C:$FA,125)</f>
        <v>0.33</v>
      </c>
      <c r="G104" s="143">
        <f>VLOOKUP($A104,'Data shares'!$C:$FA,127)*100</f>
        <v>3.0300000000000002</v>
      </c>
      <c r="H104" s="103">
        <f>VLOOKUP($A104,'OI(Volume)'!$A$7:$O$445,8)</f>
        <v>29255300</v>
      </c>
      <c r="I104" s="103">
        <f>VLOOKUP($A104,'OI(Volume)'!$A$7:$O$445,9)</f>
        <v>-1167900</v>
      </c>
      <c r="J104" s="103">
        <f>VLOOKUP($A104,'OI(Volume)'!$A$7:$O$445,11)</f>
        <v>20374500</v>
      </c>
      <c r="K104" s="103">
        <f>VLOOKUP($A104,'OI(Volume)'!$A$7:$O$445,12)</f>
        <v>-270300</v>
      </c>
      <c r="L104" s="103">
        <f>VLOOKUP($A104,'OI(Value)'!$A$7:$O$329,8,0)</f>
        <v>1200</v>
      </c>
      <c r="M104" s="103">
        <f>VLOOKUP($A104,'OI(Value)'!$A$7:$O$329,9,0)</f>
        <v>-48</v>
      </c>
      <c r="N104" s="103">
        <f>VLOOKUP($A104,'OI(Value)'!$A$7:$O$329,11,0)</f>
        <v>836</v>
      </c>
      <c r="O104" s="103">
        <f>VLOOKUP($A104,'OI(Value)'!$A$7:$O$329,12,0)</f>
        <v>-11</v>
      </c>
      <c r="P104" s="179">
        <f>VLOOKUP(A104,'OI(Value)'!A104:O328,8,0)</f>
        <v>1200</v>
      </c>
      <c r="Q104" s="179">
        <f>VLOOKUP(A104,'OI(Value)'!A104:O328,9,0)</f>
        <v>-48</v>
      </c>
      <c r="R104" s="179">
        <f>VLOOKUP(A104,'OI(Value)'!A104:O328,11,0)</f>
        <v>836</v>
      </c>
      <c r="S104" s="179">
        <f>VLOOKUP(A104,'OI(Value)'!A104:O328,11,0)</f>
        <v>836</v>
      </c>
    </row>
    <row r="105" spans="1:19" x14ac:dyDescent="0.25">
      <c r="A105" s="105" t="str">
        <f>'Data Vlaue (Cr)'!C100</f>
        <v>INFY</v>
      </c>
      <c r="B105" s="143">
        <f>VLOOKUP($A105,'Data shares'!$C:$FA,118)</f>
        <v>0.56999999999999995</v>
      </c>
      <c r="C105" s="143">
        <f>VLOOKUP($A105,'Data shares'!$C:$FA,119)</f>
        <v>0.57999999999999996</v>
      </c>
      <c r="D105" s="143">
        <f>VLOOKUP($A105,'Data shares'!$C:$FA,121)*100</f>
        <v>-1.72</v>
      </c>
      <c r="E105" s="143">
        <f>VLOOKUP($A105,'Data shares'!$C:$FA,124)</f>
        <v>0.51</v>
      </c>
      <c r="F105" s="143">
        <f>VLOOKUP($A105,'Data shares'!$C:$FA,125)</f>
        <v>0.5</v>
      </c>
      <c r="G105" s="143">
        <f>VLOOKUP($A105,'Data shares'!$C:$FA,127)*100</f>
        <v>2</v>
      </c>
      <c r="H105" s="103">
        <f>VLOOKUP($A105,'OI(Volume)'!$A$7:$O$445,8)</f>
        <v>40464000</v>
      </c>
      <c r="I105" s="103">
        <f>VLOOKUP($A105,'OI(Volume)'!$A$7:$O$445,9)</f>
        <v>4522000</v>
      </c>
      <c r="J105" s="103">
        <f>VLOOKUP($A105,'OI(Volume)'!$A$7:$O$445,11)</f>
        <v>22896000</v>
      </c>
      <c r="K105" s="103">
        <f>VLOOKUP($A105,'OI(Volume)'!$A$7:$O$445,12)</f>
        <v>1874400</v>
      </c>
      <c r="L105" s="103">
        <f>VLOOKUP($A105,'OI(Value)'!$A$7:$O$329,8,0)</f>
        <v>4738</v>
      </c>
      <c r="M105" s="103">
        <f>VLOOKUP($A105,'OI(Value)'!$A$7:$O$329,9,0)</f>
        <v>530</v>
      </c>
      <c r="N105" s="103">
        <f>VLOOKUP($A105,'OI(Value)'!$A$7:$O$329,11,0)</f>
        <v>2681</v>
      </c>
      <c r="O105" s="103">
        <f>VLOOKUP($A105,'OI(Value)'!$A$7:$O$329,12,0)</f>
        <v>219</v>
      </c>
      <c r="P105" s="179">
        <f>VLOOKUP(A105,'OI(Value)'!A105:O329,8,0)</f>
        <v>4738</v>
      </c>
      <c r="Q105" s="179">
        <f>VLOOKUP(A105,'OI(Value)'!A105:O329,9,0)</f>
        <v>530</v>
      </c>
      <c r="R105" s="179">
        <f>VLOOKUP(A105,'OI(Value)'!A105:O329,11,0)</f>
        <v>2681</v>
      </c>
      <c r="S105" s="179">
        <f>VLOOKUP(A105,'OI(Value)'!A105:O329,11,0)</f>
        <v>2681</v>
      </c>
    </row>
    <row r="106" spans="1:19" x14ac:dyDescent="0.25">
      <c r="A106" s="105" t="str">
        <f>'Data Vlaue (Cr)'!C101</f>
        <v>INOXWIND</v>
      </c>
      <c r="B106" s="143">
        <f>VLOOKUP($A106,'Data shares'!$C:$FA,118)</f>
        <v>0.51</v>
      </c>
      <c r="C106" s="143">
        <f>VLOOKUP($A106,'Data shares'!$C:$FA,119)</f>
        <v>0.52</v>
      </c>
      <c r="D106" s="143">
        <f>VLOOKUP($A106,'Data shares'!$C:$FA,121)*100</f>
        <v>-1.92</v>
      </c>
      <c r="E106" s="143">
        <f>VLOOKUP($A106,'Data shares'!$C:$FA,124)</f>
        <v>0.22</v>
      </c>
      <c r="F106" s="143">
        <f>VLOOKUP($A106,'Data shares'!$C:$FA,125)</f>
        <v>0.25</v>
      </c>
      <c r="G106" s="143">
        <f>VLOOKUP($A106,'Data shares'!$C:$FA,127)*100</f>
        <v>-12</v>
      </c>
      <c r="H106" s="103">
        <f>VLOOKUP($A106,'OI(Volume)'!$A$7:$O$445,8)</f>
        <v>26494325</v>
      </c>
      <c r="I106" s="103">
        <f>VLOOKUP($A106,'OI(Volume)'!$A$7:$O$445,9)</f>
        <v>2216500</v>
      </c>
      <c r="J106" s="103">
        <f>VLOOKUP($A106,'OI(Volume)'!$A$7:$O$445,11)</f>
        <v>13502775</v>
      </c>
      <c r="K106" s="103">
        <f>VLOOKUP($A106,'OI(Volume)'!$A$7:$O$445,12)</f>
        <v>936650</v>
      </c>
      <c r="L106" s="103">
        <f>VLOOKUP($A106,'OI(Value)'!$A$7:$O$329,8,0)</f>
        <v>285</v>
      </c>
      <c r="M106" s="103">
        <f>VLOOKUP($A106,'OI(Value)'!$A$7:$O$329,9,0)</f>
        <v>24</v>
      </c>
      <c r="N106" s="103">
        <f>VLOOKUP($A106,'OI(Value)'!$A$7:$O$329,11,0)</f>
        <v>145</v>
      </c>
      <c r="O106" s="103">
        <f>VLOOKUP($A106,'OI(Value)'!$A$7:$O$329,12,0)</f>
        <v>10</v>
      </c>
      <c r="P106" s="179">
        <f>VLOOKUP(A106,'OI(Value)'!A106:O330,8,0)</f>
        <v>285</v>
      </c>
      <c r="Q106" s="179">
        <f>VLOOKUP(A106,'OI(Value)'!A106:O330,9,0)</f>
        <v>24</v>
      </c>
      <c r="R106" s="179">
        <f>VLOOKUP(A106,'OI(Value)'!A106:O330,11,0)</f>
        <v>145</v>
      </c>
      <c r="S106" s="179">
        <f>VLOOKUP(A106,'OI(Value)'!A106:O330,11,0)</f>
        <v>145</v>
      </c>
    </row>
    <row r="107" spans="1:19" x14ac:dyDescent="0.25">
      <c r="A107" s="105" t="str">
        <f>'Data Vlaue (Cr)'!C102</f>
        <v>IOC</v>
      </c>
      <c r="B107" s="143">
        <f>VLOOKUP($A107,'Data shares'!$C:$FA,118)</f>
        <v>0.68</v>
      </c>
      <c r="C107" s="143">
        <f>VLOOKUP($A107,'Data shares'!$C:$FA,119)</f>
        <v>0.75</v>
      </c>
      <c r="D107" s="143">
        <f>VLOOKUP($A107,'Data shares'!$C:$FA,121)*100</f>
        <v>-9.33</v>
      </c>
      <c r="E107" s="143">
        <f>VLOOKUP($A107,'Data shares'!$C:$FA,124)</f>
        <v>0.39</v>
      </c>
      <c r="F107" s="143">
        <f>VLOOKUP($A107,'Data shares'!$C:$FA,125)</f>
        <v>0.6</v>
      </c>
      <c r="G107" s="143">
        <f>VLOOKUP($A107,'Data shares'!$C:$FA,127)*100</f>
        <v>-35</v>
      </c>
      <c r="H107" s="103">
        <f>VLOOKUP($A107,'OI(Volume)'!$A$7:$O$445,8)</f>
        <v>47906625</v>
      </c>
      <c r="I107" s="103">
        <f>VLOOKUP($A107,'OI(Volume)'!$A$7:$O$445,9)</f>
        <v>6196125</v>
      </c>
      <c r="J107" s="103">
        <f>VLOOKUP($A107,'OI(Volume)'!$A$7:$O$445,11)</f>
        <v>32740500</v>
      </c>
      <c r="K107" s="103">
        <f>VLOOKUP($A107,'OI(Volume)'!$A$7:$O$445,12)</f>
        <v>1399125</v>
      </c>
      <c r="L107" s="103">
        <f>VLOOKUP($A107,'OI(Value)'!$A$7:$O$329,8,0)</f>
        <v>715</v>
      </c>
      <c r="M107" s="103">
        <f>VLOOKUP($A107,'OI(Value)'!$A$7:$O$329,9,0)</f>
        <v>92</v>
      </c>
      <c r="N107" s="103">
        <f>VLOOKUP($A107,'OI(Value)'!$A$7:$O$329,11,0)</f>
        <v>488</v>
      </c>
      <c r="O107" s="103">
        <f>VLOOKUP($A107,'OI(Value)'!$A$7:$O$329,12,0)</f>
        <v>21</v>
      </c>
      <c r="P107" s="179">
        <f>VLOOKUP(A107,'OI(Value)'!A107:O331,8,0)</f>
        <v>715</v>
      </c>
      <c r="Q107" s="179">
        <f>VLOOKUP(A107,'OI(Value)'!A107:O331,9,0)</f>
        <v>92</v>
      </c>
      <c r="R107" s="179">
        <f>VLOOKUP(A107,'OI(Value)'!A107:O331,11,0)</f>
        <v>488</v>
      </c>
      <c r="S107" s="179">
        <f>VLOOKUP(A107,'OI(Value)'!A107:O331,11,0)</f>
        <v>488</v>
      </c>
    </row>
    <row r="108" spans="1:19" x14ac:dyDescent="0.25">
      <c r="A108" s="105" t="str">
        <f>'Data Vlaue (Cr)'!C103</f>
        <v>IREDA</v>
      </c>
      <c r="B108" s="143">
        <f>VLOOKUP($A108,'Data shares'!$C:$FA,118)</f>
        <v>0.69</v>
      </c>
      <c r="C108" s="143">
        <f>VLOOKUP($A108,'Data shares'!$C:$FA,119)</f>
        <v>0.69</v>
      </c>
      <c r="D108" s="143">
        <f>VLOOKUP($A108,'Data shares'!$C:$FA,121)*100</f>
        <v>0</v>
      </c>
      <c r="E108" s="143">
        <f>VLOOKUP($A108,'Data shares'!$C:$FA,124)</f>
        <v>0.4</v>
      </c>
      <c r="F108" s="143">
        <f>VLOOKUP($A108,'Data shares'!$C:$FA,125)</f>
        <v>0.4</v>
      </c>
      <c r="G108" s="143">
        <f>VLOOKUP($A108,'Data shares'!$C:$FA,127)*100</f>
        <v>0</v>
      </c>
      <c r="H108" s="103">
        <f>VLOOKUP($A108,'OI(Volume)'!$A$7:$O$445,8)</f>
        <v>17450100</v>
      </c>
      <c r="I108" s="103">
        <f>VLOOKUP($A108,'OI(Volume)'!$A$7:$O$445,9)</f>
        <v>679650</v>
      </c>
      <c r="J108" s="103">
        <f>VLOOKUP($A108,'OI(Volume)'!$A$7:$O$445,11)</f>
        <v>12050850</v>
      </c>
      <c r="K108" s="103">
        <f>VLOOKUP($A108,'OI(Volume)'!$A$7:$O$445,12)</f>
        <v>396750</v>
      </c>
      <c r="L108" s="103">
        <f>VLOOKUP($A108,'OI(Value)'!$A$7:$O$329,8,0)</f>
        <v>239</v>
      </c>
      <c r="M108" s="103">
        <f>VLOOKUP($A108,'OI(Value)'!$A$7:$O$329,9,0)</f>
        <v>9</v>
      </c>
      <c r="N108" s="103">
        <f>VLOOKUP($A108,'OI(Value)'!$A$7:$O$329,11,0)</f>
        <v>165</v>
      </c>
      <c r="O108" s="103">
        <f>VLOOKUP($A108,'OI(Value)'!$A$7:$O$329,12,0)</f>
        <v>5</v>
      </c>
      <c r="P108" s="179">
        <f>VLOOKUP(A108,'OI(Value)'!A108:O332,8,0)</f>
        <v>239</v>
      </c>
      <c r="Q108" s="179">
        <f>VLOOKUP(A108,'OI(Value)'!A108:O332,9,0)</f>
        <v>9</v>
      </c>
      <c r="R108" s="179">
        <f>VLOOKUP(A108,'OI(Value)'!A108:O332,11,0)</f>
        <v>165</v>
      </c>
      <c r="S108" s="179">
        <f>VLOOKUP(A108,'OI(Value)'!A108:O332,11,0)</f>
        <v>165</v>
      </c>
    </row>
    <row r="109" spans="1:19" x14ac:dyDescent="0.25">
      <c r="A109" s="105" t="str">
        <f>'Data Vlaue (Cr)'!C104</f>
        <v>IRFC</v>
      </c>
      <c r="B109" s="143">
        <f>VLOOKUP($A109,'Data shares'!$C:$FA,118)</f>
        <v>0.76</v>
      </c>
      <c r="C109" s="143">
        <f>VLOOKUP($A109,'Data shares'!$C:$FA,119)</f>
        <v>0.69</v>
      </c>
      <c r="D109" s="143">
        <f>VLOOKUP($A109,'Data shares'!$C:$FA,121)*100</f>
        <v>10.14</v>
      </c>
      <c r="E109" s="143">
        <f>VLOOKUP($A109,'Data shares'!$C:$FA,124)</f>
        <v>0.32</v>
      </c>
      <c r="F109" s="143">
        <f>VLOOKUP($A109,'Data shares'!$C:$FA,125)</f>
        <v>0.22</v>
      </c>
      <c r="G109" s="143">
        <f>VLOOKUP($A109,'Data shares'!$C:$FA,127)*100</f>
        <v>45.45</v>
      </c>
      <c r="H109" s="103">
        <f>VLOOKUP($A109,'OI(Volume)'!$A$7:$O$445,8)</f>
        <v>34637500</v>
      </c>
      <c r="I109" s="103">
        <f>VLOOKUP($A109,'OI(Volume)'!$A$7:$O$445,9)</f>
        <v>-212500</v>
      </c>
      <c r="J109" s="103">
        <f>VLOOKUP($A109,'OI(Volume)'!$A$7:$O$445,11)</f>
        <v>26172675</v>
      </c>
      <c r="K109" s="103">
        <f>VLOOKUP($A109,'OI(Volume)'!$A$7:$O$445,12)</f>
        <v>2279175</v>
      </c>
      <c r="L109" s="103">
        <f>VLOOKUP($A109,'OI(Value)'!$A$7:$O$329,8,0)</f>
        <v>372</v>
      </c>
      <c r="M109" s="103">
        <f>VLOOKUP($A109,'OI(Value)'!$A$7:$O$329,9,0)</f>
        <v>-2</v>
      </c>
      <c r="N109" s="103">
        <f>VLOOKUP($A109,'OI(Value)'!$A$7:$O$329,11,0)</f>
        <v>281</v>
      </c>
      <c r="O109" s="103">
        <f>VLOOKUP($A109,'OI(Value)'!$A$7:$O$329,12,0)</f>
        <v>24</v>
      </c>
      <c r="P109" s="179">
        <f>VLOOKUP(A109,'OI(Value)'!A109:O333,8,0)</f>
        <v>372</v>
      </c>
      <c r="Q109" s="179">
        <f>VLOOKUP(A109,'OI(Value)'!A109:O333,9,0)</f>
        <v>-2</v>
      </c>
      <c r="R109" s="179">
        <f>VLOOKUP(A109,'OI(Value)'!A109:O333,11,0)</f>
        <v>281</v>
      </c>
      <c r="S109" s="179">
        <f>VLOOKUP(A109,'OI(Value)'!A109:O333,11,0)</f>
        <v>281</v>
      </c>
    </row>
    <row r="110" spans="1:19" x14ac:dyDescent="0.25">
      <c r="A110" s="105" t="str">
        <f>'Data Vlaue (Cr)'!C105</f>
        <v>ITC</v>
      </c>
      <c r="B110" s="143">
        <f>VLOOKUP($A110,'Data shares'!$C:$FA,118)</f>
        <v>0.35</v>
      </c>
      <c r="C110" s="143">
        <f>VLOOKUP($A110,'Data shares'!$C:$FA,119)</f>
        <v>0.38</v>
      </c>
      <c r="D110" s="143">
        <f>VLOOKUP($A110,'Data shares'!$C:$FA,121)*100</f>
        <v>-7.89</v>
      </c>
      <c r="E110" s="143">
        <f>VLOOKUP($A110,'Data shares'!$C:$FA,124)</f>
        <v>0.31</v>
      </c>
      <c r="F110" s="143">
        <f>VLOOKUP($A110,'Data shares'!$C:$FA,125)</f>
        <v>0.33</v>
      </c>
      <c r="G110" s="143">
        <f>VLOOKUP($A110,'Data shares'!$C:$FA,127)*100</f>
        <v>-6.0600000000000005</v>
      </c>
      <c r="H110" s="103">
        <f>VLOOKUP($A110,'OI(Volume)'!$A$7:$O$445,8)</f>
        <v>109599400</v>
      </c>
      <c r="I110" s="103">
        <f>VLOOKUP($A110,'OI(Volume)'!$A$7:$O$445,9)</f>
        <v>7624375</v>
      </c>
      <c r="J110" s="103">
        <f>VLOOKUP($A110,'OI(Volume)'!$A$7:$O$445,11)</f>
        <v>38868800</v>
      </c>
      <c r="K110" s="103">
        <f>VLOOKUP($A110,'OI(Volume)'!$A$7:$O$445,12)</f>
        <v>8000</v>
      </c>
      <c r="L110" s="103">
        <f>VLOOKUP($A110,'OI(Value)'!$A$7:$O$329,8,0)</f>
        <v>3423</v>
      </c>
      <c r="M110" s="103">
        <f>VLOOKUP($A110,'OI(Value)'!$A$7:$O$329,9,0)</f>
        <v>238</v>
      </c>
      <c r="N110" s="103">
        <f>VLOOKUP($A110,'OI(Value)'!$A$7:$O$329,11,0)</f>
        <v>1214</v>
      </c>
      <c r="O110" s="103">
        <f>VLOOKUP($A110,'OI(Value)'!$A$7:$O$329,12,0)</f>
        <v>0</v>
      </c>
      <c r="P110" s="179">
        <f>VLOOKUP(A110,'OI(Value)'!A110:O334,8,0)</f>
        <v>3423</v>
      </c>
      <c r="Q110" s="179">
        <f>VLOOKUP(A110,'OI(Value)'!A110:O334,9,0)</f>
        <v>238</v>
      </c>
      <c r="R110" s="179">
        <f>VLOOKUP(A110,'OI(Value)'!A110:O334,11,0)</f>
        <v>1214</v>
      </c>
      <c r="S110" s="179">
        <f>VLOOKUP(A110,'OI(Value)'!A110:O334,11,0)</f>
        <v>1214</v>
      </c>
    </row>
    <row r="111" spans="1:19" x14ac:dyDescent="0.25">
      <c r="A111" s="105" t="str">
        <f>'Data Vlaue (Cr)'!C106</f>
        <v>JINDALSTEL</v>
      </c>
      <c r="B111" s="143">
        <f>VLOOKUP($A111,'Data shares'!$C:$FA,118)</f>
        <v>0.72</v>
      </c>
      <c r="C111" s="143">
        <f>VLOOKUP($A111,'Data shares'!$C:$FA,119)</f>
        <v>0.71</v>
      </c>
      <c r="D111" s="143">
        <f>VLOOKUP($A111,'Data shares'!$C:$FA,121)*100</f>
        <v>1.41</v>
      </c>
      <c r="E111" s="143">
        <f>VLOOKUP($A111,'Data shares'!$C:$FA,124)</f>
        <v>0.54</v>
      </c>
      <c r="F111" s="143">
        <f>VLOOKUP($A111,'Data shares'!$C:$FA,125)</f>
        <v>0.4</v>
      </c>
      <c r="G111" s="143">
        <f>VLOOKUP($A111,'Data shares'!$C:$FA,127)*100</f>
        <v>35</v>
      </c>
      <c r="H111" s="103">
        <f>VLOOKUP($A111,'OI(Volume)'!$A$7:$O$445,8)</f>
        <v>3606250</v>
      </c>
      <c r="I111" s="103">
        <f>VLOOKUP($A111,'OI(Volume)'!$A$7:$O$445,9)</f>
        <v>111875</v>
      </c>
      <c r="J111" s="103">
        <f>VLOOKUP($A111,'OI(Volume)'!$A$7:$O$445,11)</f>
        <v>2601875</v>
      </c>
      <c r="K111" s="103">
        <f>VLOOKUP($A111,'OI(Volume)'!$A$7:$O$445,12)</f>
        <v>122500</v>
      </c>
      <c r="L111" s="103">
        <f>VLOOKUP($A111,'OI(Value)'!$A$7:$O$329,8,0)</f>
        <v>459</v>
      </c>
      <c r="M111" s="103">
        <f>VLOOKUP($A111,'OI(Value)'!$A$7:$O$329,9,0)</f>
        <v>14</v>
      </c>
      <c r="N111" s="103">
        <f>VLOOKUP($A111,'OI(Value)'!$A$7:$O$329,11,0)</f>
        <v>331</v>
      </c>
      <c r="O111" s="103">
        <f>VLOOKUP($A111,'OI(Value)'!$A$7:$O$329,12,0)</f>
        <v>16</v>
      </c>
      <c r="P111" s="179">
        <f>VLOOKUP(A111,'OI(Value)'!A111:O335,8,0)</f>
        <v>459</v>
      </c>
      <c r="Q111" s="179">
        <f>VLOOKUP(A111,'OI(Value)'!A111:O335,9,0)</f>
        <v>14</v>
      </c>
      <c r="R111" s="179">
        <f>VLOOKUP(A111,'OI(Value)'!A111:O335,11,0)</f>
        <v>331</v>
      </c>
      <c r="S111" s="179">
        <f>VLOOKUP(A111,'OI(Value)'!A111:O335,11,0)</f>
        <v>331</v>
      </c>
    </row>
    <row r="112" spans="1:19" x14ac:dyDescent="0.25">
      <c r="A112" s="105" t="str">
        <f>'Data Vlaue (Cr)'!C107</f>
        <v>JIOFIN</v>
      </c>
      <c r="B112" s="143">
        <f>VLOOKUP($A112,'Data shares'!$C:$FA,118)</f>
        <v>0.64</v>
      </c>
      <c r="C112" s="143">
        <f>VLOOKUP($A112,'Data shares'!$C:$FA,119)</f>
        <v>0.64</v>
      </c>
      <c r="D112" s="143">
        <f>VLOOKUP($A112,'Data shares'!$C:$FA,121)*100</f>
        <v>0</v>
      </c>
      <c r="E112" s="143">
        <f>VLOOKUP($A112,'Data shares'!$C:$FA,124)</f>
        <v>0.45</v>
      </c>
      <c r="F112" s="143">
        <f>VLOOKUP($A112,'Data shares'!$C:$FA,125)</f>
        <v>0.42</v>
      </c>
      <c r="G112" s="143">
        <f>VLOOKUP($A112,'Data shares'!$C:$FA,127)*100</f>
        <v>7.1400000000000006</v>
      </c>
      <c r="H112" s="103">
        <f>VLOOKUP($A112,'OI(Volume)'!$A$7:$O$445,8)</f>
        <v>62439500</v>
      </c>
      <c r="I112" s="103">
        <f>VLOOKUP($A112,'OI(Volume)'!$A$7:$O$445,9)</f>
        <v>1475800</v>
      </c>
      <c r="J112" s="103">
        <f>VLOOKUP($A112,'OI(Volume)'!$A$7:$O$445,11)</f>
        <v>40119200</v>
      </c>
      <c r="K112" s="103">
        <f>VLOOKUP($A112,'OI(Volume)'!$A$7:$O$445,12)</f>
        <v>1142100</v>
      </c>
      <c r="L112" s="103">
        <f>VLOOKUP($A112,'OI(Value)'!$A$7:$O$329,8,0)</f>
        <v>1586</v>
      </c>
      <c r="M112" s="103">
        <f>VLOOKUP($A112,'OI(Value)'!$A$7:$O$329,9,0)</f>
        <v>37</v>
      </c>
      <c r="N112" s="103">
        <f>VLOOKUP($A112,'OI(Value)'!$A$7:$O$329,11,0)</f>
        <v>1019</v>
      </c>
      <c r="O112" s="103">
        <f>VLOOKUP($A112,'OI(Value)'!$A$7:$O$329,12,0)</f>
        <v>29</v>
      </c>
      <c r="P112" s="179">
        <f>VLOOKUP(A112,'OI(Value)'!A112:O336,8,0)</f>
        <v>1586</v>
      </c>
      <c r="Q112" s="179">
        <f>VLOOKUP(A112,'OI(Value)'!A112:O336,9,0)</f>
        <v>37</v>
      </c>
      <c r="R112" s="179">
        <f>VLOOKUP(A112,'OI(Value)'!A112:O336,11,0)</f>
        <v>1019</v>
      </c>
      <c r="S112" s="179">
        <f>VLOOKUP(A112,'OI(Value)'!A112:O336,11,0)</f>
        <v>1019</v>
      </c>
    </row>
    <row r="113" spans="1:19" x14ac:dyDescent="0.25">
      <c r="A113" s="105" t="str">
        <f>'Data Vlaue (Cr)'!C108</f>
        <v>JSWENERGY</v>
      </c>
      <c r="B113" s="143">
        <f>VLOOKUP($A113,'Data shares'!$C:$FA,118)</f>
        <v>0.69</v>
      </c>
      <c r="C113" s="143">
        <f>VLOOKUP($A113,'Data shares'!$C:$FA,119)</f>
        <v>0.69</v>
      </c>
      <c r="D113" s="143">
        <f>VLOOKUP($A113,'Data shares'!$C:$FA,121)*100</f>
        <v>0</v>
      </c>
      <c r="E113" s="143">
        <f>VLOOKUP($A113,'Data shares'!$C:$FA,124)</f>
        <v>0.42</v>
      </c>
      <c r="F113" s="143">
        <f>VLOOKUP($A113,'Data shares'!$C:$FA,125)</f>
        <v>0.31</v>
      </c>
      <c r="G113" s="143">
        <f>VLOOKUP($A113,'Data shares'!$C:$FA,127)*100</f>
        <v>35.480000000000004</v>
      </c>
      <c r="H113" s="103">
        <f>VLOOKUP($A113,'OI(Volume)'!$A$7:$O$445,8)</f>
        <v>5867000</v>
      </c>
      <c r="I113" s="103">
        <f>VLOOKUP($A113,'OI(Volume)'!$A$7:$O$445,9)</f>
        <v>304000</v>
      </c>
      <c r="J113" s="103">
        <f>VLOOKUP($A113,'OI(Volume)'!$A$7:$O$445,11)</f>
        <v>4036000</v>
      </c>
      <c r="K113" s="103">
        <f>VLOOKUP($A113,'OI(Volume)'!$A$7:$O$445,12)</f>
        <v>205000</v>
      </c>
      <c r="L113" s="103">
        <f>VLOOKUP($A113,'OI(Value)'!$A$7:$O$329,8,0)</f>
        <v>334</v>
      </c>
      <c r="M113" s="103">
        <f>VLOOKUP($A113,'OI(Value)'!$A$7:$O$329,9,0)</f>
        <v>17</v>
      </c>
      <c r="N113" s="103">
        <f>VLOOKUP($A113,'OI(Value)'!$A$7:$O$329,11,0)</f>
        <v>229</v>
      </c>
      <c r="O113" s="103">
        <f>VLOOKUP($A113,'OI(Value)'!$A$7:$O$329,12,0)</f>
        <v>12</v>
      </c>
      <c r="P113" s="179">
        <f>VLOOKUP(A113,'OI(Value)'!A113:O337,8,0)</f>
        <v>334</v>
      </c>
      <c r="Q113" s="179">
        <f>VLOOKUP(A113,'OI(Value)'!A113:O337,9,0)</f>
        <v>17</v>
      </c>
      <c r="R113" s="179">
        <f>VLOOKUP(A113,'OI(Value)'!A113:O337,11,0)</f>
        <v>229</v>
      </c>
      <c r="S113" s="179">
        <f>VLOOKUP(A113,'OI(Value)'!A113:O337,11,0)</f>
        <v>229</v>
      </c>
    </row>
    <row r="114" spans="1:19" x14ac:dyDescent="0.25">
      <c r="A114" s="105" t="str">
        <f>'Data Vlaue (Cr)'!C109</f>
        <v>JSWSTEEL</v>
      </c>
      <c r="B114" s="143">
        <f>VLOOKUP($A114,'Data shares'!$C:$FA,118)</f>
        <v>0.72</v>
      </c>
      <c r="C114" s="143">
        <f>VLOOKUP($A114,'Data shares'!$C:$FA,119)</f>
        <v>0.7</v>
      </c>
      <c r="D114" s="143">
        <f>VLOOKUP($A114,'Data shares'!$C:$FA,121)*100</f>
        <v>2.86</v>
      </c>
      <c r="E114" s="143">
        <f>VLOOKUP($A114,'Data shares'!$C:$FA,124)</f>
        <v>0.56999999999999995</v>
      </c>
      <c r="F114" s="143">
        <f>VLOOKUP($A114,'Data shares'!$C:$FA,125)</f>
        <v>0.87</v>
      </c>
      <c r="G114" s="143">
        <f>VLOOKUP($A114,'Data shares'!$C:$FA,127)*100</f>
        <v>-34.479999999999997</v>
      </c>
      <c r="H114" s="103">
        <f>VLOOKUP($A114,'OI(Volume)'!$A$7:$O$445,8)</f>
        <v>4544775</v>
      </c>
      <c r="I114" s="103">
        <f>VLOOKUP($A114,'OI(Volume)'!$A$7:$O$445,9)</f>
        <v>-263250</v>
      </c>
      <c r="J114" s="103">
        <f>VLOOKUP($A114,'OI(Volume)'!$A$7:$O$445,11)</f>
        <v>3290625</v>
      </c>
      <c r="K114" s="103">
        <f>VLOOKUP($A114,'OI(Volume)'!$A$7:$O$445,12)</f>
        <v>-65475</v>
      </c>
      <c r="L114" s="103">
        <f>VLOOKUP($A114,'OI(Value)'!$A$7:$O$329,8,0)</f>
        <v>582</v>
      </c>
      <c r="M114" s="103">
        <f>VLOOKUP($A114,'OI(Value)'!$A$7:$O$329,9,0)</f>
        <v>-34</v>
      </c>
      <c r="N114" s="103">
        <f>VLOOKUP($A114,'OI(Value)'!$A$7:$O$329,11,0)</f>
        <v>421</v>
      </c>
      <c r="O114" s="103">
        <f>VLOOKUP($A114,'OI(Value)'!$A$7:$O$329,12,0)</f>
        <v>-8</v>
      </c>
      <c r="P114" s="179">
        <f>VLOOKUP(A114,'OI(Value)'!A114:O338,8,0)</f>
        <v>582</v>
      </c>
      <c r="Q114" s="179">
        <f>VLOOKUP(A114,'OI(Value)'!A114:O338,9,0)</f>
        <v>-34</v>
      </c>
      <c r="R114" s="179">
        <f>VLOOKUP(A114,'OI(Value)'!A114:O338,11,0)</f>
        <v>421</v>
      </c>
      <c r="S114" s="179">
        <f>VLOOKUP(A114,'OI(Value)'!A114:O338,11,0)</f>
        <v>421</v>
      </c>
    </row>
    <row r="115" spans="1:19" x14ac:dyDescent="0.25">
      <c r="A115" s="105" t="str">
        <f>'Data Vlaue (Cr)'!C110</f>
        <v>JUBLFOOD</v>
      </c>
      <c r="B115" s="143">
        <f>VLOOKUP($A115,'Data shares'!$C:$FA,118)</f>
        <v>0.63</v>
      </c>
      <c r="C115" s="143">
        <f>VLOOKUP($A115,'Data shares'!$C:$FA,119)</f>
        <v>0.63</v>
      </c>
      <c r="D115" s="143">
        <f>VLOOKUP($A115,'Data shares'!$C:$FA,121)*100</f>
        <v>0</v>
      </c>
      <c r="E115" s="143">
        <f>VLOOKUP($A115,'Data shares'!$C:$FA,124)</f>
        <v>0.28999999999999998</v>
      </c>
      <c r="F115" s="143">
        <f>VLOOKUP($A115,'Data shares'!$C:$FA,125)</f>
        <v>0.35</v>
      </c>
      <c r="G115" s="143">
        <f>VLOOKUP($A115,'Data shares'!$C:$FA,127)*100</f>
        <v>-17.14</v>
      </c>
      <c r="H115" s="103">
        <f>VLOOKUP($A115,'OI(Volume)'!$A$7:$O$445,8)</f>
        <v>7053750</v>
      </c>
      <c r="I115" s="103">
        <f>VLOOKUP($A115,'OI(Volume)'!$A$7:$O$445,9)</f>
        <v>358750</v>
      </c>
      <c r="J115" s="103">
        <f>VLOOKUP($A115,'OI(Volume)'!$A$7:$O$445,11)</f>
        <v>4433750</v>
      </c>
      <c r="K115" s="103">
        <f>VLOOKUP($A115,'OI(Volume)'!$A$7:$O$445,12)</f>
        <v>232500</v>
      </c>
      <c r="L115" s="103">
        <f>VLOOKUP($A115,'OI(Value)'!$A$7:$O$329,8,0)</f>
        <v>334</v>
      </c>
      <c r="M115" s="103">
        <f>VLOOKUP($A115,'OI(Value)'!$A$7:$O$329,9,0)</f>
        <v>17</v>
      </c>
      <c r="N115" s="103">
        <f>VLOOKUP($A115,'OI(Value)'!$A$7:$O$329,11,0)</f>
        <v>210</v>
      </c>
      <c r="O115" s="103">
        <f>VLOOKUP($A115,'OI(Value)'!$A$7:$O$329,12,0)</f>
        <v>11</v>
      </c>
      <c r="P115" s="179">
        <f>VLOOKUP(A115,'OI(Value)'!A115:O339,8,0)</f>
        <v>334</v>
      </c>
      <c r="Q115" s="179">
        <f>VLOOKUP(A115,'OI(Value)'!A115:O339,9,0)</f>
        <v>17</v>
      </c>
      <c r="R115" s="179">
        <f>VLOOKUP(A115,'OI(Value)'!A115:O339,11,0)</f>
        <v>210</v>
      </c>
      <c r="S115" s="179">
        <f>VLOOKUP(A115,'OI(Value)'!A115:O339,11,0)</f>
        <v>210</v>
      </c>
    </row>
    <row r="116" spans="1:19" x14ac:dyDescent="0.25">
      <c r="A116" s="105" t="str">
        <f>'Data Vlaue (Cr)'!C111</f>
        <v>KALYANKJIL</v>
      </c>
      <c r="B116" s="143">
        <f>VLOOKUP($A116,'Data shares'!$C:$FA,118)</f>
        <v>0.56999999999999995</v>
      </c>
      <c r="C116" s="143">
        <f>VLOOKUP($A116,'Data shares'!$C:$FA,119)</f>
        <v>0.56999999999999995</v>
      </c>
      <c r="D116" s="143">
        <f>VLOOKUP($A116,'Data shares'!$C:$FA,121)*100</f>
        <v>0</v>
      </c>
      <c r="E116" s="143">
        <f>VLOOKUP($A116,'Data shares'!$C:$FA,124)</f>
        <v>0.34</v>
      </c>
      <c r="F116" s="143">
        <f>VLOOKUP($A116,'Data shares'!$C:$FA,125)</f>
        <v>0.45</v>
      </c>
      <c r="G116" s="143">
        <f>VLOOKUP($A116,'Data shares'!$C:$FA,127)*100</f>
        <v>-24.44</v>
      </c>
      <c r="H116" s="103">
        <f>VLOOKUP($A116,'OI(Volume)'!$A$7:$O$445,8)</f>
        <v>7072325</v>
      </c>
      <c r="I116" s="103">
        <f>VLOOKUP($A116,'OI(Volume)'!$A$7:$O$445,9)</f>
        <v>847175</v>
      </c>
      <c r="J116" s="103">
        <f>VLOOKUP($A116,'OI(Volume)'!$A$7:$O$445,11)</f>
        <v>4018500</v>
      </c>
      <c r="K116" s="103">
        <f>VLOOKUP($A116,'OI(Volume)'!$A$7:$O$445,12)</f>
        <v>492325</v>
      </c>
      <c r="L116" s="103">
        <f>VLOOKUP($A116,'OI(Value)'!$A$7:$O$329,8,0)</f>
        <v>296</v>
      </c>
      <c r="M116" s="103">
        <f>VLOOKUP($A116,'OI(Value)'!$A$7:$O$329,9,0)</f>
        <v>35</v>
      </c>
      <c r="N116" s="103">
        <f>VLOOKUP($A116,'OI(Value)'!$A$7:$O$329,11,0)</f>
        <v>168</v>
      </c>
      <c r="O116" s="103">
        <f>VLOOKUP($A116,'OI(Value)'!$A$7:$O$329,12,0)</f>
        <v>21</v>
      </c>
      <c r="P116" s="179">
        <f>VLOOKUP(A116,'OI(Value)'!A116:O340,8,0)</f>
        <v>296</v>
      </c>
      <c r="Q116" s="179">
        <f>VLOOKUP(A116,'OI(Value)'!A116:O340,9,0)</f>
        <v>35</v>
      </c>
      <c r="R116" s="179">
        <f>VLOOKUP(A116,'OI(Value)'!A116:O340,11,0)</f>
        <v>168</v>
      </c>
      <c r="S116" s="179">
        <f>VLOOKUP(A116,'OI(Value)'!A116:O340,11,0)</f>
        <v>168</v>
      </c>
    </row>
    <row r="117" spans="1:19" x14ac:dyDescent="0.25">
      <c r="A117" s="105" t="str">
        <f>'Data Vlaue (Cr)'!C112</f>
        <v>KAYNES</v>
      </c>
      <c r="B117" s="143">
        <f>VLOOKUP($A117,'Data shares'!$C:$FA,118)</f>
        <v>0.7</v>
      </c>
      <c r="C117" s="143">
        <f>VLOOKUP($A117,'Data shares'!$C:$FA,119)</f>
        <v>0.65</v>
      </c>
      <c r="D117" s="143">
        <f>VLOOKUP($A117,'Data shares'!$C:$FA,121)*100</f>
        <v>7.6899999999999995</v>
      </c>
      <c r="E117" s="143">
        <f>VLOOKUP($A117,'Data shares'!$C:$FA,124)</f>
        <v>0.38</v>
      </c>
      <c r="F117" s="143">
        <f>VLOOKUP($A117,'Data shares'!$C:$FA,125)</f>
        <v>0.35</v>
      </c>
      <c r="G117" s="143">
        <f>VLOOKUP($A117,'Data shares'!$C:$FA,127)*100</f>
        <v>8.57</v>
      </c>
      <c r="H117" s="103">
        <f>VLOOKUP($A117,'OI(Volume)'!$A$7:$O$445,8)</f>
        <v>1004900</v>
      </c>
      <c r="I117" s="103">
        <f>VLOOKUP($A117,'OI(Volume)'!$A$7:$O$445,9)</f>
        <v>-64000</v>
      </c>
      <c r="J117" s="103">
        <f>VLOOKUP($A117,'OI(Volume)'!$A$7:$O$445,11)</f>
        <v>704800</v>
      </c>
      <c r="K117" s="103">
        <f>VLOOKUP($A117,'OI(Volume)'!$A$7:$O$445,12)</f>
        <v>8100</v>
      </c>
      <c r="L117" s="103">
        <f>VLOOKUP($A117,'OI(Value)'!$A$7:$O$329,8,0)</f>
        <v>435</v>
      </c>
      <c r="M117" s="103">
        <f>VLOOKUP($A117,'OI(Value)'!$A$7:$O$329,9,0)</f>
        <v>-28</v>
      </c>
      <c r="N117" s="103">
        <f>VLOOKUP($A117,'OI(Value)'!$A$7:$O$329,11,0)</f>
        <v>305</v>
      </c>
      <c r="O117" s="103">
        <f>VLOOKUP($A117,'OI(Value)'!$A$7:$O$329,12,0)</f>
        <v>4</v>
      </c>
      <c r="P117" s="179">
        <f>VLOOKUP(A117,'OI(Value)'!A117:O341,8,0)</f>
        <v>435</v>
      </c>
      <c r="Q117" s="179">
        <f>VLOOKUP(A117,'OI(Value)'!A117:O341,9,0)</f>
        <v>-28</v>
      </c>
      <c r="R117" s="179">
        <f>VLOOKUP(A117,'OI(Value)'!A117:O341,11,0)</f>
        <v>305</v>
      </c>
      <c r="S117" s="179">
        <f>VLOOKUP(A117,'OI(Value)'!A117:O341,11,0)</f>
        <v>305</v>
      </c>
    </row>
    <row r="118" spans="1:19" x14ac:dyDescent="0.25">
      <c r="A118" s="105" t="str">
        <f>'Data Vlaue (Cr)'!C113</f>
        <v>KEI</v>
      </c>
      <c r="B118" s="143">
        <f>VLOOKUP($A118,'Data shares'!$C:$FA,118)</f>
        <v>0.81</v>
      </c>
      <c r="C118" s="143">
        <f>VLOOKUP($A118,'Data shares'!$C:$FA,119)</f>
        <v>0.76</v>
      </c>
      <c r="D118" s="143">
        <f>VLOOKUP($A118,'Data shares'!$C:$FA,121)*100</f>
        <v>6.58</v>
      </c>
      <c r="E118" s="143">
        <f>VLOOKUP($A118,'Data shares'!$C:$FA,124)</f>
        <v>0.45</v>
      </c>
      <c r="F118" s="143">
        <f>VLOOKUP($A118,'Data shares'!$C:$FA,125)</f>
        <v>0.66</v>
      </c>
      <c r="G118" s="143">
        <f>VLOOKUP($A118,'Data shares'!$C:$FA,127)*100</f>
        <v>-31.819999999999997</v>
      </c>
      <c r="H118" s="103">
        <f>VLOOKUP($A118,'OI(Volume)'!$A$7:$O$445,8)</f>
        <v>725550</v>
      </c>
      <c r="I118" s="103">
        <f>VLOOKUP($A118,'OI(Volume)'!$A$7:$O$445,9)</f>
        <v>-25200</v>
      </c>
      <c r="J118" s="103">
        <f>VLOOKUP($A118,'OI(Volume)'!$A$7:$O$445,11)</f>
        <v>586950</v>
      </c>
      <c r="K118" s="103">
        <f>VLOOKUP($A118,'OI(Volume)'!$A$7:$O$445,12)</f>
        <v>12950</v>
      </c>
      <c r="L118" s="103">
        <f>VLOOKUP($A118,'OI(Value)'!$A$7:$O$329,8,0)</f>
        <v>376</v>
      </c>
      <c r="M118" s="103">
        <f>VLOOKUP($A118,'OI(Value)'!$A$7:$O$329,9,0)</f>
        <v>-13</v>
      </c>
      <c r="N118" s="103">
        <f>VLOOKUP($A118,'OI(Value)'!$A$7:$O$329,11,0)</f>
        <v>304</v>
      </c>
      <c r="O118" s="103">
        <f>VLOOKUP($A118,'OI(Value)'!$A$7:$O$329,12,0)</f>
        <v>7</v>
      </c>
      <c r="P118" s="179">
        <f>VLOOKUP(A118,'OI(Value)'!A118:O342,8,0)</f>
        <v>376</v>
      </c>
      <c r="Q118" s="179">
        <f>VLOOKUP(A118,'OI(Value)'!A118:O342,9,0)</f>
        <v>-13</v>
      </c>
      <c r="R118" s="179">
        <f>VLOOKUP(A118,'OI(Value)'!A118:O342,11,0)</f>
        <v>304</v>
      </c>
      <c r="S118" s="179">
        <f>VLOOKUP(A118,'OI(Value)'!A118:O342,11,0)</f>
        <v>304</v>
      </c>
    </row>
    <row r="119" spans="1:19" x14ac:dyDescent="0.25">
      <c r="A119" s="105" t="str">
        <f>'Data Vlaue (Cr)'!C114</f>
        <v>KFINTECH</v>
      </c>
      <c r="B119" s="143">
        <f>VLOOKUP($A119,'Data shares'!$C:$FA,118)</f>
        <v>0.69</v>
      </c>
      <c r="C119" s="143">
        <f>VLOOKUP($A119,'Data shares'!$C:$FA,119)</f>
        <v>0.59</v>
      </c>
      <c r="D119" s="143">
        <f>VLOOKUP($A119,'Data shares'!$C:$FA,121)*100</f>
        <v>16.950000000000003</v>
      </c>
      <c r="E119" s="143">
        <f>VLOOKUP($A119,'Data shares'!$C:$FA,124)</f>
        <v>0.43</v>
      </c>
      <c r="F119" s="143">
        <f>VLOOKUP($A119,'Data shares'!$C:$FA,125)</f>
        <v>0.48</v>
      </c>
      <c r="G119" s="143">
        <f>VLOOKUP($A119,'Data shares'!$C:$FA,127)*100</f>
        <v>-10.42</v>
      </c>
      <c r="H119" s="103">
        <f>VLOOKUP($A119,'OI(Volume)'!$A$7:$O$445,8)</f>
        <v>3452500</v>
      </c>
      <c r="I119" s="103">
        <f>VLOOKUP($A119,'OI(Volume)'!$A$7:$O$445,9)</f>
        <v>-893000</v>
      </c>
      <c r="J119" s="103">
        <f>VLOOKUP($A119,'OI(Volume)'!$A$7:$O$445,11)</f>
        <v>2395075</v>
      </c>
      <c r="K119" s="103">
        <f>VLOOKUP($A119,'OI(Volume)'!$A$7:$O$445,12)</f>
        <v>-151500</v>
      </c>
      <c r="L119" s="103">
        <f>VLOOKUP($A119,'OI(Value)'!$A$7:$O$329,8,0)</f>
        <v>315</v>
      </c>
      <c r="M119" s="103">
        <f>VLOOKUP($A119,'OI(Value)'!$A$7:$O$329,9,0)</f>
        <v>-81</v>
      </c>
      <c r="N119" s="103">
        <f>VLOOKUP($A119,'OI(Value)'!$A$7:$O$329,11,0)</f>
        <v>218</v>
      </c>
      <c r="O119" s="103">
        <f>VLOOKUP($A119,'OI(Value)'!$A$7:$O$329,12,0)</f>
        <v>-14</v>
      </c>
      <c r="P119" s="179">
        <f>VLOOKUP(A119,'OI(Value)'!A119:O343,8,0)</f>
        <v>315</v>
      </c>
      <c r="Q119" s="179">
        <f>VLOOKUP(A119,'OI(Value)'!A119:O343,9,0)</f>
        <v>-81</v>
      </c>
      <c r="R119" s="179">
        <f>VLOOKUP(A119,'OI(Value)'!A119:O343,11,0)</f>
        <v>218</v>
      </c>
      <c r="S119" s="179">
        <f>VLOOKUP(A119,'OI(Value)'!A119:O343,11,0)</f>
        <v>218</v>
      </c>
    </row>
    <row r="120" spans="1:19" x14ac:dyDescent="0.25">
      <c r="A120" s="105" t="str">
        <f>'Data Vlaue (Cr)'!C115</f>
        <v>KOTAKBANK</v>
      </c>
      <c r="B120" s="143">
        <f>VLOOKUP($A120,'Data shares'!$C:$FA,118)</f>
        <v>0.61</v>
      </c>
      <c r="C120" s="143">
        <f>VLOOKUP($A120,'Data shares'!$C:$FA,119)</f>
        <v>0.65</v>
      </c>
      <c r="D120" s="143">
        <f>VLOOKUP($A120,'Data shares'!$C:$FA,121)*100</f>
        <v>-6.15</v>
      </c>
      <c r="E120" s="143">
        <f>VLOOKUP($A120,'Data shares'!$C:$FA,124)</f>
        <v>0.48</v>
      </c>
      <c r="F120" s="143">
        <f>VLOOKUP($A120,'Data shares'!$C:$FA,125)</f>
        <v>0.49</v>
      </c>
      <c r="G120" s="143">
        <f>VLOOKUP($A120,'Data shares'!$C:$FA,127)*100</f>
        <v>-2.04</v>
      </c>
      <c r="H120" s="103">
        <f>VLOOKUP($A120,'OI(Volume)'!$A$7:$O$445,8)</f>
        <v>47718000</v>
      </c>
      <c r="I120" s="103">
        <f>VLOOKUP($A120,'OI(Volume)'!$A$7:$O$445,9)</f>
        <v>-828000</v>
      </c>
      <c r="J120" s="103">
        <f>VLOOKUP($A120,'OI(Volume)'!$A$7:$O$445,11)</f>
        <v>29022000</v>
      </c>
      <c r="K120" s="103">
        <f>VLOOKUP($A120,'OI(Volume)'!$A$7:$O$445,12)</f>
        <v>-2446000</v>
      </c>
      <c r="L120" s="103">
        <f>VLOOKUP($A120,'OI(Value)'!$A$7:$O$329,8,0)</f>
        <v>1809</v>
      </c>
      <c r="M120" s="103">
        <f>VLOOKUP($A120,'OI(Value)'!$A$7:$O$329,9,0)</f>
        <v>-31</v>
      </c>
      <c r="N120" s="103">
        <f>VLOOKUP($A120,'OI(Value)'!$A$7:$O$329,11,0)</f>
        <v>1100</v>
      </c>
      <c r="O120" s="103">
        <f>VLOOKUP($A120,'OI(Value)'!$A$7:$O$329,12,0)</f>
        <v>-93</v>
      </c>
      <c r="P120" s="179">
        <f>VLOOKUP(A120,'OI(Value)'!A120:O344,8,0)</f>
        <v>1809</v>
      </c>
      <c r="Q120" s="179">
        <f>VLOOKUP(A120,'OI(Value)'!A120:O344,9,0)</f>
        <v>-31</v>
      </c>
      <c r="R120" s="179">
        <f>VLOOKUP(A120,'OI(Value)'!A120:O344,11,0)</f>
        <v>1100</v>
      </c>
      <c r="S120" s="179">
        <f>VLOOKUP(A120,'OI(Value)'!A120:O344,11,0)</f>
        <v>1100</v>
      </c>
    </row>
    <row r="121" spans="1:19" x14ac:dyDescent="0.25">
      <c r="A121" s="105" t="str">
        <f>'Data Vlaue (Cr)'!C116</f>
        <v>KPITTECH</v>
      </c>
      <c r="B121" s="143">
        <f>VLOOKUP($A121,'Data shares'!$C:$FA,118)</f>
        <v>0.54</v>
      </c>
      <c r="C121" s="143">
        <f>VLOOKUP($A121,'Data shares'!$C:$FA,119)</f>
        <v>0.59</v>
      </c>
      <c r="D121" s="143">
        <f>VLOOKUP($A121,'Data shares'!$C:$FA,121)*100</f>
        <v>-8.4699999999999989</v>
      </c>
      <c r="E121" s="143">
        <f>VLOOKUP($A121,'Data shares'!$C:$FA,124)</f>
        <v>0.55000000000000004</v>
      </c>
      <c r="F121" s="143">
        <f>VLOOKUP($A121,'Data shares'!$C:$FA,125)</f>
        <v>0.39</v>
      </c>
      <c r="G121" s="143">
        <f>VLOOKUP($A121,'Data shares'!$C:$FA,127)*100</f>
        <v>41.03</v>
      </c>
      <c r="H121" s="103">
        <f>VLOOKUP($A121,'OI(Volume)'!$A$7:$O$445,8)</f>
        <v>5533925</v>
      </c>
      <c r="I121" s="103">
        <f>VLOOKUP($A121,'OI(Volume)'!$A$7:$O$445,9)</f>
        <v>2866625</v>
      </c>
      <c r="J121" s="103">
        <f>VLOOKUP($A121,'OI(Volume)'!$A$7:$O$445,11)</f>
        <v>3013675</v>
      </c>
      <c r="K121" s="103">
        <f>VLOOKUP($A121,'OI(Volume)'!$A$7:$O$445,12)</f>
        <v>1447975</v>
      </c>
      <c r="L121" s="103">
        <f>VLOOKUP($A121,'OI(Value)'!$A$7:$O$329,8,0)</f>
        <v>415</v>
      </c>
      <c r="M121" s="103">
        <f>VLOOKUP($A121,'OI(Value)'!$A$7:$O$329,9,0)</f>
        <v>215</v>
      </c>
      <c r="N121" s="103">
        <f>VLOOKUP($A121,'OI(Value)'!$A$7:$O$329,11,0)</f>
        <v>226</v>
      </c>
      <c r="O121" s="103">
        <f>VLOOKUP($A121,'OI(Value)'!$A$7:$O$329,12,0)</f>
        <v>109</v>
      </c>
      <c r="P121" s="179">
        <f>VLOOKUP(A121,'OI(Value)'!A121:O345,8,0)</f>
        <v>415</v>
      </c>
      <c r="Q121" s="179">
        <f>VLOOKUP(A121,'OI(Value)'!A121:O345,9,0)</f>
        <v>215</v>
      </c>
      <c r="R121" s="179">
        <f>VLOOKUP(A121,'OI(Value)'!A121:O345,11,0)</f>
        <v>226</v>
      </c>
      <c r="S121" s="179">
        <f>VLOOKUP(A121,'OI(Value)'!A121:O345,11,0)</f>
        <v>226</v>
      </c>
    </row>
    <row r="122" spans="1:19" x14ac:dyDescent="0.25">
      <c r="A122" s="105" t="str">
        <f>'Data Vlaue (Cr)'!C117</f>
        <v>LAURUSLABS</v>
      </c>
      <c r="B122" s="143">
        <f>VLOOKUP($A122,'Data shares'!$C:$FA,118)</f>
        <v>0.61</v>
      </c>
      <c r="C122" s="143">
        <f>VLOOKUP($A122,'Data shares'!$C:$FA,119)</f>
        <v>0.61</v>
      </c>
      <c r="D122" s="143">
        <f>VLOOKUP($A122,'Data shares'!$C:$FA,121)*100</f>
        <v>0</v>
      </c>
      <c r="E122" s="143">
        <f>VLOOKUP($A122,'Data shares'!$C:$FA,124)</f>
        <v>0.53</v>
      </c>
      <c r="F122" s="143">
        <f>VLOOKUP($A122,'Data shares'!$C:$FA,125)</f>
        <v>0.59</v>
      </c>
      <c r="G122" s="143">
        <f>VLOOKUP($A122,'Data shares'!$C:$FA,127)*100</f>
        <v>-10.17</v>
      </c>
      <c r="H122" s="103">
        <f>VLOOKUP($A122,'OI(Volume)'!$A$7:$O$445,8)</f>
        <v>6482950</v>
      </c>
      <c r="I122" s="103">
        <f>VLOOKUP($A122,'OI(Volume)'!$A$7:$O$445,9)</f>
        <v>143650</v>
      </c>
      <c r="J122" s="103">
        <f>VLOOKUP($A122,'OI(Volume)'!$A$7:$O$445,11)</f>
        <v>3972050</v>
      </c>
      <c r="K122" s="103">
        <f>VLOOKUP($A122,'OI(Volume)'!$A$7:$O$445,12)</f>
        <v>121550</v>
      </c>
      <c r="L122" s="103">
        <f>VLOOKUP($A122,'OI(Value)'!$A$7:$O$329,8,0)</f>
        <v>768</v>
      </c>
      <c r="M122" s="103">
        <f>VLOOKUP($A122,'OI(Value)'!$A$7:$O$329,9,0)</f>
        <v>17</v>
      </c>
      <c r="N122" s="103">
        <f>VLOOKUP($A122,'OI(Value)'!$A$7:$O$329,11,0)</f>
        <v>470</v>
      </c>
      <c r="O122" s="103">
        <f>VLOOKUP($A122,'OI(Value)'!$A$7:$O$329,12,0)</f>
        <v>14</v>
      </c>
      <c r="P122" s="179">
        <f>VLOOKUP(A122,'OI(Value)'!A122:O346,8,0)</f>
        <v>768</v>
      </c>
      <c r="Q122" s="179">
        <f>VLOOKUP(A122,'OI(Value)'!A122:O346,9,0)</f>
        <v>17</v>
      </c>
      <c r="R122" s="179">
        <f>VLOOKUP(A122,'OI(Value)'!A122:O346,11,0)</f>
        <v>470</v>
      </c>
      <c r="S122" s="179">
        <f>VLOOKUP(A122,'OI(Value)'!A122:O346,11,0)</f>
        <v>470</v>
      </c>
    </row>
    <row r="123" spans="1:19" x14ac:dyDescent="0.25">
      <c r="A123" s="105" t="str">
        <f>'Data Vlaue (Cr)'!C118</f>
        <v>LICHSGFIN</v>
      </c>
      <c r="B123" s="143">
        <f>VLOOKUP($A123,'Data shares'!$C:$FA,118)</f>
        <v>0.71</v>
      </c>
      <c r="C123" s="143">
        <f>VLOOKUP($A123,'Data shares'!$C:$FA,119)</f>
        <v>0.64</v>
      </c>
      <c r="D123" s="143">
        <f>VLOOKUP($A123,'Data shares'!$C:$FA,121)*100</f>
        <v>10.94</v>
      </c>
      <c r="E123" s="143">
        <f>VLOOKUP($A123,'Data shares'!$C:$FA,124)</f>
        <v>0.31</v>
      </c>
      <c r="F123" s="143">
        <f>VLOOKUP($A123,'Data shares'!$C:$FA,125)</f>
        <v>0.38</v>
      </c>
      <c r="G123" s="143">
        <f>VLOOKUP($A123,'Data shares'!$C:$FA,127)*100</f>
        <v>-18.420000000000002</v>
      </c>
      <c r="H123" s="103">
        <f>VLOOKUP($A123,'OI(Volume)'!$A$7:$O$445,8)</f>
        <v>6181000</v>
      </c>
      <c r="I123" s="103">
        <f>VLOOKUP($A123,'OI(Volume)'!$A$7:$O$445,9)</f>
        <v>687000</v>
      </c>
      <c r="J123" s="103">
        <f>VLOOKUP($A123,'OI(Volume)'!$A$7:$O$445,11)</f>
        <v>4358000</v>
      </c>
      <c r="K123" s="103">
        <f>VLOOKUP($A123,'OI(Volume)'!$A$7:$O$445,12)</f>
        <v>832000</v>
      </c>
      <c r="L123" s="103">
        <f>VLOOKUP($A123,'OI(Value)'!$A$7:$O$329,8,0)</f>
        <v>362</v>
      </c>
      <c r="M123" s="103">
        <f>VLOOKUP($A123,'OI(Value)'!$A$7:$O$329,9,0)</f>
        <v>40</v>
      </c>
      <c r="N123" s="103">
        <f>VLOOKUP($A123,'OI(Value)'!$A$7:$O$329,11,0)</f>
        <v>255</v>
      </c>
      <c r="O123" s="103">
        <f>VLOOKUP($A123,'OI(Value)'!$A$7:$O$329,12,0)</f>
        <v>49</v>
      </c>
      <c r="P123" s="179">
        <f>VLOOKUP(A123,'OI(Value)'!A123:O347,8,0)</f>
        <v>362</v>
      </c>
      <c r="Q123" s="179">
        <f>VLOOKUP(A123,'OI(Value)'!A123:O347,9,0)</f>
        <v>40</v>
      </c>
      <c r="R123" s="179">
        <f>VLOOKUP(A123,'OI(Value)'!A123:O347,11,0)</f>
        <v>255</v>
      </c>
      <c r="S123" s="179">
        <f>VLOOKUP(A123,'OI(Value)'!A123:O347,11,0)</f>
        <v>255</v>
      </c>
    </row>
    <row r="124" spans="1:19" x14ac:dyDescent="0.25">
      <c r="A124" s="105" t="str">
        <f>'Data Vlaue (Cr)'!C119</f>
        <v>LICI</v>
      </c>
      <c r="B124" s="143">
        <f>VLOOKUP($A124,'Data shares'!$C:$FA,118)</f>
        <v>0.57999999999999996</v>
      </c>
      <c r="C124" s="143">
        <f>VLOOKUP($A124,'Data shares'!$C:$FA,119)</f>
        <v>0.6</v>
      </c>
      <c r="D124" s="143">
        <f>VLOOKUP($A124,'Data shares'!$C:$FA,121)*100</f>
        <v>-3.3300000000000005</v>
      </c>
      <c r="E124" s="143">
        <f>VLOOKUP($A124,'Data shares'!$C:$FA,124)</f>
        <v>0.47</v>
      </c>
      <c r="F124" s="143">
        <f>VLOOKUP($A124,'Data shares'!$C:$FA,125)</f>
        <v>0.24</v>
      </c>
      <c r="G124" s="143">
        <f>VLOOKUP($A124,'Data shares'!$C:$FA,127)*100</f>
        <v>95.83</v>
      </c>
      <c r="H124" s="103">
        <f>VLOOKUP($A124,'OI(Volume)'!$A$7:$O$445,8)</f>
        <v>6003200</v>
      </c>
      <c r="I124" s="103">
        <f>VLOOKUP($A124,'OI(Volume)'!$A$7:$O$445,9)</f>
        <v>-70700</v>
      </c>
      <c r="J124" s="103">
        <f>VLOOKUP($A124,'OI(Volume)'!$A$7:$O$445,11)</f>
        <v>3491600</v>
      </c>
      <c r="K124" s="103">
        <f>VLOOKUP($A124,'OI(Volume)'!$A$7:$O$445,12)</f>
        <v>-135800</v>
      </c>
      <c r="L124" s="103">
        <f>VLOOKUP($A124,'OI(Value)'!$A$7:$O$329,8,0)</f>
        <v>487</v>
      </c>
      <c r="M124" s="103">
        <f>VLOOKUP($A124,'OI(Value)'!$A$7:$O$329,9,0)</f>
        <v>-6</v>
      </c>
      <c r="N124" s="103">
        <f>VLOOKUP($A124,'OI(Value)'!$A$7:$O$329,11,0)</f>
        <v>283</v>
      </c>
      <c r="O124" s="103">
        <f>VLOOKUP($A124,'OI(Value)'!$A$7:$O$329,12,0)</f>
        <v>-11</v>
      </c>
      <c r="P124" s="179">
        <f>VLOOKUP(A124,'OI(Value)'!A124:O348,8,0)</f>
        <v>487</v>
      </c>
      <c r="Q124" s="179">
        <f>VLOOKUP(A124,'OI(Value)'!A124:O348,9,0)</f>
        <v>-6</v>
      </c>
      <c r="R124" s="179">
        <f>VLOOKUP(A124,'OI(Value)'!A124:O348,11,0)</f>
        <v>283</v>
      </c>
      <c r="S124" s="179">
        <f>VLOOKUP(A124,'OI(Value)'!A124:O348,11,0)</f>
        <v>283</v>
      </c>
    </row>
    <row r="125" spans="1:19" x14ac:dyDescent="0.25">
      <c r="A125" s="105" t="str">
        <f>'Data Vlaue (Cr)'!C120</f>
        <v>LODHA</v>
      </c>
      <c r="B125" s="143">
        <f>VLOOKUP($A125,'Data shares'!$C:$FA,118)</f>
        <v>0.73</v>
      </c>
      <c r="C125" s="143">
        <f>VLOOKUP($A125,'Data shares'!$C:$FA,119)</f>
        <v>0.68</v>
      </c>
      <c r="D125" s="143">
        <f>VLOOKUP($A125,'Data shares'!$C:$FA,121)*100</f>
        <v>7.35</v>
      </c>
      <c r="E125" s="143">
        <f>VLOOKUP($A125,'Data shares'!$C:$FA,124)</f>
        <v>0.34</v>
      </c>
      <c r="F125" s="143">
        <f>VLOOKUP($A125,'Data shares'!$C:$FA,125)</f>
        <v>0.61</v>
      </c>
      <c r="G125" s="143">
        <f>VLOOKUP($A125,'Data shares'!$C:$FA,127)*100</f>
        <v>-44.26</v>
      </c>
      <c r="H125" s="103">
        <f>VLOOKUP($A125,'OI(Volume)'!$A$7:$O$445,8)</f>
        <v>2242350</v>
      </c>
      <c r="I125" s="103">
        <f>VLOOKUP($A125,'OI(Volume)'!$A$7:$O$445,9)</f>
        <v>-265500</v>
      </c>
      <c r="J125" s="103">
        <f>VLOOKUP($A125,'OI(Volume)'!$A$7:$O$445,11)</f>
        <v>1629900</v>
      </c>
      <c r="K125" s="103">
        <f>VLOOKUP($A125,'OI(Volume)'!$A$7:$O$445,12)</f>
        <v>-67050</v>
      </c>
      <c r="L125" s="103">
        <f>VLOOKUP($A125,'OI(Value)'!$A$7:$O$329,8,0)</f>
        <v>214</v>
      </c>
      <c r="M125" s="103">
        <f>VLOOKUP($A125,'OI(Value)'!$A$7:$O$329,9,0)</f>
        <v>-25</v>
      </c>
      <c r="N125" s="103">
        <f>VLOOKUP($A125,'OI(Value)'!$A$7:$O$329,11,0)</f>
        <v>155</v>
      </c>
      <c r="O125" s="103">
        <f>VLOOKUP($A125,'OI(Value)'!$A$7:$O$329,12,0)</f>
        <v>-6</v>
      </c>
      <c r="P125" s="179">
        <f>VLOOKUP(A125,'OI(Value)'!A125:O349,8,0)</f>
        <v>214</v>
      </c>
      <c r="Q125" s="179">
        <f>VLOOKUP(A125,'OI(Value)'!A125:O349,9,0)</f>
        <v>-25</v>
      </c>
      <c r="R125" s="179">
        <f>VLOOKUP(A125,'OI(Value)'!A125:O349,11,0)</f>
        <v>155</v>
      </c>
      <c r="S125" s="179">
        <f>VLOOKUP(A125,'OI(Value)'!A125:O349,11,0)</f>
        <v>155</v>
      </c>
    </row>
    <row r="126" spans="1:19" x14ac:dyDescent="0.25">
      <c r="A126" s="105" t="str">
        <f>'Data Vlaue (Cr)'!C121</f>
        <v>LT</v>
      </c>
      <c r="B126" s="143">
        <f>VLOOKUP($A126,'Data shares'!$C:$FA,118)</f>
        <v>0.6</v>
      </c>
      <c r="C126" s="143">
        <f>VLOOKUP($A126,'Data shares'!$C:$FA,119)</f>
        <v>0.79</v>
      </c>
      <c r="D126" s="143">
        <f>VLOOKUP($A126,'Data shares'!$C:$FA,121)*100</f>
        <v>-24.05</v>
      </c>
      <c r="E126" s="143">
        <f>VLOOKUP($A126,'Data shares'!$C:$FA,124)</f>
        <v>0.43</v>
      </c>
      <c r="F126" s="143">
        <f>VLOOKUP($A126,'Data shares'!$C:$FA,125)</f>
        <v>0.64</v>
      </c>
      <c r="G126" s="143">
        <f>VLOOKUP($A126,'Data shares'!$C:$FA,127)*100</f>
        <v>-32.81</v>
      </c>
      <c r="H126" s="103">
        <f>VLOOKUP($A126,'OI(Volume)'!$A$7:$O$445,8)</f>
        <v>8452500</v>
      </c>
      <c r="I126" s="103">
        <f>VLOOKUP($A126,'OI(Volume)'!$A$7:$O$445,9)</f>
        <v>2720200</v>
      </c>
      <c r="J126" s="103">
        <f>VLOOKUP($A126,'OI(Volume)'!$A$7:$O$445,11)</f>
        <v>5061000</v>
      </c>
      <c r="K126" s="103">
        <f>VLOOKUP($A126,'OI(Volume)'!$A$7:$O$445,12)</f>
        <v>557200</v>
      </c>
      <c r="L126" s="103">
        <f>VLOOKUP($A126,'OI(Value)'!$A$7:$O$329,8,0)</f>
        <v>3381</v>
      </c>
      <c r="M126" s="103">
        <f>VLOOKUP($A126,'OI(Value)'!$A$7:$O$329,9,0)</f>
        <v>1088</v>
      </c>
      <c r="N126" s="103">
        <f>VLOOKUP($A126,'OI(Value)'!$A$7:$O$329,11,0)</f>
        <v>2024</v>
      </c>
      <c r="O126" s="103">
        <f>VLOOKUP($A126,'OI(Value)'!$A$7:$O$329,12,0)</f>
        <v>223</v>
      </c>
      <c r="P126" s="179">
        <f>VLOOKUP(A126,'OI(Value)'!A126:O350,8,0)</f>
        <v>3381</v>
      </c>
      <c r="Q126" s="179">
        <f>VLOOKUP(A126,'OI(Value)'!A126:O350,9,0)</f>
        <v>1088</v>
      </c>
      <c r="R126" s="179">
        <f>VLOOKUP(A126,'OI(Value)'!A126:O350,11,0)</f>
        <v>2024</v>
      </c>
      <c r="S126" s="179">
        <f>VLOOKUP(A126,'OI(Value)'!A126:O350,11,0)</f>
        <v>2024</v>
      </c>
    </row>
    <row r="127" spans="1:19" x14ac:dyDescent="0.25">
      <c r="A127" s="105" t="str">
        <f>'Data Vlaue (Cr)'!C122</f>
        <v>LTF</v>
      </c>
      <c r="B127" s="143">
        <f>VLOOKUP($A127,'Data shares'!$C:$FA,118)</f>
        <v>0.74</v>
      </c>
      <c r="C127" s="143">
        <f>VLOOKUP($A127,'Data shares'!$C:$FA,119)</f>
        <v>0.72</v>
      </c>
      <c r="D127" s="143">
        <f>VLOOKUP($A127,'Data shares'!$C:$FA,121)*100</f>
        <v>2.78</v>
      </c>
      <c r="E127" s="143">
        <f>VLOOKUP($A127,'Data shares'!$C:$FA,124)</f>
        <v>0.34</v>
      </c>
      <c r="F127" s="143">
        <f>VLOOKUP($A127,'Data shares'!$C:$FA,125)</f>
        <v>0.36</v>
      </c>
      <c r="G127" s="143">
        <f>VLOOKUP($A127,'Data shares'!$C:$FA,127)*100</f>
        <v>-5.56</v>
      </c>
      <c r="H127" s="103">
        <f>VLOOKUP($A127,'OI(Volume)'!$A$7:$O$445,8)</f>
        <v>14487750</v>
      </c>
      <c r="I127" s="103">
        <f>VLOOKUP($A127,'OI(Volume)'!$A$7:$O$445,9)</f>
        <v>-380250</v>
      </c>
      <c r="J127" s="103">
        <f>VLOOKUP($A127,'OI(Volume)'!$A$7:$O$445,11)</f>
        <v>10766250</v>
      </c>
      <c r="K127" s="103">
        <f>VLOOKUP($A127,'OI(Volume)'!$A$7:$O$445,12)</f>
        <v>126000</v>
      </c>
      <c r="L127" s="103">
        <f>VLOOKUP($A127,'OI(Value)'!$A$7:$O$329,8,0)</f>
        <v>433</v>
      </c>
      <c r="M127" s="103">
        <f>VLOOKUP($A127,'OI(Value)'!$A$7:$O$329,9,0)</f>
        <v>-11</v>
      </c>
      <c r="N127" s="103">
        <f>VLOOKUP($A127,'OI(Value)'!$A$7:$O$329,11,0)</f>
        <v>321</v>
      </c>
      <c r="O127" s="103">
        <f>VLOOKUP($A127,'OI(Value)'!$A$7:$O$329,12,0)</f>
        <v>4</v>
      </c>
      <c r="P127" s="179">
        <f>VLOOKUP(A127,'OI(Value)'!A127:O351,8,0)</f>
        <v>433</v>
      </c>
      <c r="Q127" s="179">
        <f>VLOOKUP(A127,'OI(Value)'!A127:O351,9,0)</f>
        <v>-11</v>
      </c>
      <c r="R127" s="179">
        <f>VLOOKUP(A127,'OI(Value)'!A127:O351,11,0)</f>
        <v>321</v>
      </c>
      <c r="S127" s="179">
        <f>VLOOKUP(A127,'OI(Value)'!A127:O351,11,0)</f>
        <v>321</v>
      </c>
    </row>
    <row r="128" spans="1:19" x14ac:dyDescent="0.25">
      <c r="A128" s="105" t="str">
        <f>'Data Vlaue (Cr)'!C123</f>
        <v>LTM</v>
      </c>
      <c r="B128" s="143">
        <f>VLOOKUP($A128,'Data shares'!$C:$FA,118)</f>
        <v>0.56999999999999995</v>
      </c>
      <c r="C128" s="143">
        <f>VLOOKUP($A128,'Data shares'!$C:$FA,119)</f>
        <v>0.7</v>
      </c>
      <c r="D128" s="143">
        <f>VLOOKUP($A128,'Data shares'!$C:$FA,121)*100</f>
        <v>-18.57</v>
      </c>
      <c r="E128" s="143">
        <f>VLOOKUP($A128,'Data shares'!$C:$FA,124)</f>
        <v>0.33</v>
      </c>
      <c r="F128" s="143">
        <f>VLOOKUP($A128,'Data shares'!$C:$FA,125)</f>
        <v>0.53</v>
      </c>
      <c r="G128" s="143">
        <f>VLOOKUP($A128,'Data shares'!$C:$FA,127)*100</f>
        <v>-37.74</v>
      </c>
      <c r="H128" s="103">
        <f>VLOOKUP($A128,'OI(Volume)'!$A$7:$O$445,8)</f>
        <v>1072500</v>
      </c>
      <c r="I128" s="103">
        <f>VLOOKUP($A128,'OI(Volume)'!$A$7:$O$445,9)</f>
        <v>134850</v>
      </c>
      <c r="J128" s="103">
        <f>VLOOKUP($A128,'OI(Volume)'!$A$7:$O$445,11)</f>
        <v>612750</v>
      </c>
      <c r="K128" s="103">
        <f>VLOOKUP($A128,'OI(Volume)'!$A$7:$O$445,12)</f>
        <v>-46350</v>
      </c>
      <c r="L128" s="103">
        <f>VLOOKUP($A128,'OI(Value)'!$A$7:$O$329,8,0)</f>
        <v>457</v>
      </c>
      <c r="M128" s="103">
        <f>VLOOKUP($A128,'OI(Value)'!$A$7:$O$329,9,0)</f>
        <v>57</v>
      </c>
      <c r="N128" s="103">
        <f>VLOOKUP($A128,'OI(Value)'!$A$7:$O$329,11,0)</f>
        <v>261</v>
      </c>
      <c r="O128" s="103">
        <f>VLOOKUP($A128,'OI(Value)'!$A$7:$O$329,12,0)</f>
        <v>-20</v>
      </c>
      <c r="P128" s="179">
        <f>VLOOKUP(A128,'OI(Value)'!A128:O352,8,0)</f>
        <v>457</v>
      </c>
      <c r="Q128" s="179">
        <f>VLOOKUP(A128,'OI(Value)'!A128:O352,9,0)</f>
        <v>57</v>
      </c>
      <c r="R128" s="179">
        <f>VLOOKUP(A128,'OI(Value)'!A128:O352,11,0)</f>
        <v>261</v>
      </c>
      <c r="S128" s="179">
        <f>VLOOKUP(A128,'OI(Value)'!A128:O352,11,0)</f>
        <v>261</v>
      </c>
    </row>
    <row r="129" spans="1:19" x14ac:dyDescent="0.25">
      <c r="A129" s="105" t="str">
        <f>'Data Vlaue (Cr)'!C124</f>
        <v>LUPIN</v>
      </c>
      <c r="B129" s="143">
        <f>VLOOKUP($A129,'Data shares'!$C:$FA,118)</f>
        <v>0.76</v>
      </c>
      <c r="C129" s="143">
        <f>VLOOKUP($A129,'Data shares'!$C:$FA,119)</f>
        <v>0.62</v>
      </c>
      <c r="D129" s="143">
        <f>VLOOKUP($A129,'Data shares'!$C:$FA,121)*100</f>
        <v>22.58</v>
      </c>
      <c r="E129" s="143">
        <f>VLOOKUP($A129,'Data shares'!$C:$FA,124)</f>
        <v>0.36</v>
      </c>
      <c r="F129" s="143">
        <f>VLOOKUP($A129,'Data shares'!$C:$FA,125)</f>
        <v>0.32</v>
      </c>
      <c r="G129" s="143">
        <f>VLOOKUP($A129,'Data shares'!$C:$FA,127)*100</f>
        <v>12.5</v>
      </c>
      <c r="H129" s="103">
        <f>VLOOKUP($A129,'OI(Volume)'!$A$7:$O$445,8)</f>
        <v>3519425</v>
      </c>
      <c r="I129" s="103">
        <f>VLOOKUP($A129,'OI(Volume)'!$A$7:$O$445,9)</f>
        <v>255425</v>
      </c>
      <c r="J129" s="103">
        <f>VLOOKUP($A129,'OI(Volume)'!$A$7:$O$445,11)</f>
        <v>2670700</v>
      </c>
      <c r="K129" s="103">
        <f>VLOOKUP($A129,'OI(Volume)'!$A$7:$O$445,12)</f>
        <v>631550</v>
      </c>
      <c r="L129" s="103">
        <f>VLOOKUP($A129,'OI(Value)'!$A$7:$O$329,8,0)</f>
        <v>865</v>
      </c>
      <c r="M129" s="103">
        <f>VLOOKUP($A129,'OI(Value)'!$A$7:$O$329,9,0)</f>
        <v>63</v>
      </c>
      <c r="N129" s="103">
        <f>VLOOKUP($A129,'OI(Value)'!$A$7:$O$329,11,0)</f>
        <v>657</v>
      </c>
      <c r="O129" s="103">
        <f>VLOOKUP($A129,'OI(Value)'!$A$7:$O$329,12,0)</f>
        <v>155</v>
      </c>
      <c r="P129" s="179">
        <f>VLOOKUP(A129,'OI(Value)'!A129:O353,8,0)</f>
        <v>865</v>
      </c>
      <c r="Q129" s="179">
        <f>VLOOKUP(A129,'OI(Value)'!A129:O353,9,0)</f>
        <v>63</v>
      </c>
      <c r="R129" s="179">
        <f>VLOOKUP(A129,'OI(Value)'!A129:O353,11,0)</f>
        <v>657</v>
      </c>
      <c r="S129" s="179">
        <f>VLOOKUP(A129,'OI(Value)'!A129:O353,11,0)</f>
        <v>657</v>
      </c>
    </row>
    <row r="130" spans="1:19" x14ac:dyDescent="0.25">
      <c r="A130" s="105" t="str">
        <f>'Data Vlaue (Cr)'!C125</f>
        <v>M&amp;M</v>
      </c>
      <c r="B130" s="143">
        <f>VLOOKUP($A130,'Data shares'!$C:$FA,118)</f>
        <v>0.88</v>
      </c>
      <c r="C130" s="143">
        <f>VLOOKUP($A130,'Data shares'!$C:$FA,119)</f>
        <v>0.78</v>
      </c>
      <c r="D130" s="143">
        <f>VLOOKUP($A130,'Data shares'!$C:$FA,121)*100</f>
        <v>12.82</v>
      </c>
      <c r="E130" s="143">
        <f>VLOOKUP($A130,'Data shares'!$C:$FA,124)</f>
        <v>0.5</v>
      </c>
      <c r="F130" s="143">
        <f>VLOOKUP($A130,'Data shares'!$C:$FA,125)</f>
        <v>0.43</v>
      </c>
      <c r="G130" s="143">
        <f>VLOOKUP($A130,'Data shares'!$C:$FA,127)*100</f>
        <v>16.28</v>
      </c>
      <c r="H130" s="103">
        <f>VLOOKUP($A130,'OI(Volume)'!$A$7:$O$445,8)</f>
        <v>5683600</v>
      </c>
      <c r="I130" s="103">
        <f>VLOOKUP($A130,'OI(Volume)'!$A$7:$O$445,9)</f>
        <v>-241400</v>
      </c>
      <c r="J130" s="103">
        <f>VLOOKUP($A130,'OI(Volume)'!$A$7:$O$445,11)</f>
        <v>5029000</v>
      </c>
      <c r="K130" s="103">
        <f>VLOOKUP($A130,'OI(Volume)'!$A$7:$O$445,12)</f>
        <v>412800</v>
      </c>
      <c r="L130" s="103">
        <f>VLOOKUP($A130,'OI(Value)'!$A$7:$O$329,8,0)</f>
        <v>1884</v>
      </c>
      <c r="M130" s="103">
        <f>VLOOKUP($A130,'OI(Value)'!$A$7:$O$329,9,0)</f>
        <v>-80</v>
      </c>
      <c r="N130" s="103">
        <f>VLOOKUP($A130,'OI(Value)'!$A$7:$O$329,11,0)</f>
        <v>1667</v>
      </c>
      <c r="O130" s="103">
        <f>VLOOKUP($A130,'OI(Value)'!$A$7:$O$329,12,0)</f>
        <v>137</v>
      </c>
      <c r="P130" s="179">
        <f>VLOOKUP(A130,'OI(Value)'!A130:O354,8,0)</f>
        <v>1884</v>
      </c>
      <c r="Q130" s="179">
        <f>VLOOKUP(A130,'OI(Value)'!A130:O354,9,0)</f>
        <v>-80</v>
      </c>
      <c r="R130" s="179">
        <f>VLOOKUP(A130,'OI(Value)'!A130:O354,11,0)</f>
        <v>1667</v>
      </c>
      <c r="S130" s="179">
        <f>VLOOKUP(A130,'OI(Value)'!A130:O354,11,0)</f>
        <v>1667</v>
      </c>
    </row>
    <row r="131" spans="1:19" x14ac:dyDescent="0.25">
      <c r="A131" s="105" t="str">
        <f>'Data Vlaue (Cr)'!C126</f>
        <v>MANAPPURAM</v>
      </c>
      <c r="B131" s="143">
        <f>VLOOKUP($A131,'Data shares'!$C:$FA,118)</f>
        <v>0.72</v>
      </c>
      <c r="C131" s="143">
        <f>VLOOKUP($A131,'Data shares'!$C:$FA,119)</f>
        <v>0.68</v>
      </c>
      <c r="D131" s="143">
        <f>VLOOKUP($A131,'Data shares'!$C:$FA,121)*100</f>
        <v>5.88</v>
      </c>
      <c r="E131" s="143">
        <f>VLOOKUP($A131,'Data shares'!$C:$FA,124)</f>
        <v>0.57999999999999996</v>
      </c>
      <c r="F131" s="143">
        <f>VLOOKUP($A131,'Data shares'!$C:$FA,125)</f>
        <v>0.56999999999999995</v>
      </c>
      <c r="G131" s="143">
        <f>VLOOKUP($A131,'Data shares'!$C:$FA,127)*100</f>
        <v>1.7500000000000002</v>
      </c>
      <c r="H131" s="103">
        <f>VLOOKUP($A131,'OI(Volume)'!$A$7:$O$445,8)</f>
        <v>12201000</v>
      </c>
      <c r="I131" s="103">
        <f>VLOOKUP($A131,'OI(Volume)'!$A$7:$O$445,9)</f>
        <v>-387000</v>
      </c>
      <c r="J131" s="103">
        <f>VLOOKUP($A131,'OI(Volume)'!$A$7:$O$445,11)</f>
        <v>8811000</v>
      </c>
      <c r="K131" s="103">
        <f>VLOOKUP($A131,'OI(Volume)'!$A$7:$O$445,12)</f>
        <v>291000</v>
      </c>
      <c r="L131" s="103">
        <f>VLOOKUP($A131,'OI(Value)'!$A$7:$O$329,8,0)</f>
        <v>380</v>
      </c>
      <c r="M131" s="103">
        <f>VLOOKUP($A131,'OI(Value)'!$A$7:$O$329,9,0)</f>
        <v>-12</v>
      </c>
      <c r="N131" s="103">
        <f>VLOOKUP($A131,'OI(Value)'!$A$7:$O$329,11,0)</f>
        <v>275</v>
      </c>
      <c r="O131" s="103">
        <f>VLOOKUP($A131,'OI(Value)'!$A$7:$O$329,12,0)</f>
        <v>9</v>
      </c>
      <c r="P131" s="179">
        <f>VLOOKUP(A131,'OI(Value)'!A131:O355,8,0)</f>
        <v>380</v>
      </c>
      <c r="Q131" s="179">
        <f>VLOOKUP(A131,'OI(Value)'!A131:O355,9,0)</f>
        <v>-12</v>
      </c>
      <c r="R131" s="179">
        <f>VLOOKUP(A131,'OI(Value)'!A131:O355,11,0)</f>
        <v>275</v>
      </c>
      <c r="S131" s="179">
        <f>VLOOKUP(A131,'OI(Value)'!A131:O355,11,0)</f>
        <v>275</v>
      </c>
    </row>
    <row r="132" spans="1:19" x14ac:dyDescent="0.25">
      <c r="A132" s="105" t="str">
        <f>'Data Vlaue (Cr)'!C127</f>
        <v>MANKIND</v>
      </c>
      <c r="B132" s="143">
        <f>VLOOKUP($A132,'Data shares'!$C:$FA,118)</f>
        <v>0.73</v>
      </c>
      <c r="C132" s="143">
        <f>VLOOKUP($A132,'Data shares'!$C:$FA,119)</f>
        <v>0.62</v>
      </c>
      <c r="D132" s="143">
        <f>VLOOKUP($A132,'Data shares'!$C:$FA,121)*100</f>
        <v>17.740000000000002</v>
      </c>
      <c r="E132" s="143">
        <f>VLOOKUP($A132,'Data shares'!$C:$FA,124)</f>
        <v>0.14000000000000001</v>
      </c>
      <c r="F132" s="143">
        <f>VLOOKUP($A132,'Data shares'!$C:$FA,125)</f>
        <v>0.2</v>
      </c>
      <c r="G132" s="143">
        <f>VLOOKUP($A132,'Data shares'!$C:$FA,127)*100</f>
        <v>-30</v>
      </c>
      <c r="H132" s="103">
        <f>VLOOKUP($A132,'OI(Volume)'!$A$7:$O$445,8)</f>
        <v>1055925</v>
      </c>
      <c r="I132" s="103">
        <f>VLOOKUP($A132,'OI(Volume)'!$A$7:$O$445,9)</f>
        <v>-43875</v>
      </c>
      <c r="J132" s="103">
        <f>VLOOKUP($A132,'OI(Volume)'!$A$7:$O$445,11)</f>
        <v>773775</v>
      </c>
      <c r="K132" s="103">
        <f>VLOOKUP($A132,'OI(Volume)'!$A$7:$O$445,12)</f>
        <v>86850</v>
      </c>
      <c r="L132" s="103">
        <f>VLOOKUP($A132,'OI(Value)'!$A$7:$O$329,8,0)</f>
        <v>250</v>
      </c>
      <c r="M132" s="103">
        <f>VLOOKUP($A132,'OI(Value)'!$A$7:$O$329,9,0)</f>
        <v>-10</v>
      </c>
      <c r="N132" s="103">
        <f>VLOOKUP($A132,'OI(Value)'!$A$7:$O$329,11,0)</f>
        <v>183</v>
      </c>
      <c r="O132" s="103">
        <f>VLOOKUP($A132,'OI(Value)'!$A$7:$O$329,12,0)</f>
        <v>21</v>
      </c>
      <c r="P132" s="179">
        <f>VLOOKUP(A132,'OI(Value)'!A132:O356,8,0)</f>
        <v>250</v>
      </c>
      <c r="Q132" s="179">
        <f>VLOOKUP(A132,'OI(Value)'!A132:O356,9,0)</f>
        <v>-10</v>
      </c>
      <c r="R132" s="179">
        <f>VLOOKUP(A132,'OI(Value)'!A132:O356,11,0)</f>
        <v>183</v>
      </c>
      <c r="S132" s="179">
        <f>VLOOKUP(A132,'OI(Value)'!A132:O356,11,0)</f>
        <v>183</v>
      </c>
    </row>
    <row r="133" spans="1:19" x14ac:dyDescent="0.25">
      <c r="A133" s="105" t="str">
        <f>'Data Vlaue (Cr)'!C128</f>
        <v>MARICO</v>
      </c>
      <c r="B133" s="143">
        <f>VLOOKUP($A133,'Data shares'!$C:$FA,118)</f>
        <v>0.71</v>
      </c>
      <c r="C133" s="143">
        <f>VLOOKUP($A133,'Data shares'!$C:$FA,119)</f>
        <v>0.74</v>
      </c>
      <c r="D133" s="143">
        <f>VLOOKUP($A133,'Data shares'!$C:$FA,121)*100</f>
        <v>-4.05</v>
      </c>
      <c r="E133" s="143">
        <f>VLOOKUP($A133,'Data shares'!$C:$FA,124)</f>
        <v>0.64</v>
      </c>
      <c r="F133" s="143">
        <f>VLOOKUP($A133,'Data shares'!$C:$FA,125)</f>
        <v>0.4</v>
      </c>
      <c r="G133" s="143">
        <f>VLOOKUP($A133,'Data shares'!$C:$FA,127)*100</f>
        <v>60</v>
      </c>
      <c r="H133" s="103">
        <f>VLOOKUP($A133,'OI(Volume)'!$A$7:$O$445,8)</f>
        <v>8059200</v>
      </c>
      <c r="I133" s="103">
        <f>VLOOKUP($A133,'OI(Volume)'!$A$7:$O$445,9)</f>
        <v>1231200</v>
      </c>
      <c r="J133" s="103">
        <f>VLOOKUP($A133,'OI(Volume)'!$A$7:$O$445,11)</f>
        <v>5737200</v>
      </c>
      <c r="K133" s="103">
        <f>VLOOKUP($A133,'OI(Volume)'!$A$7:$O$445,12)</f>
        <v>687600</v>
      </c>
      <c r="L133" s="103">
        <f>VLOOKUP($A133,'OI(Value)'!$A$7:$O$329,8,0)</f>
        <v>660</v>
      </c>
      <c r="M133" s="103">
        <f>VLOOKUP($A133,'OI(Value)'!$A$7:$O$329,9,0)</f>
        <v>101</v>
      </c>
      <c r="N133" s="103">
        <f>VLOOKUP($A133,'OI(Value)'!$A$7:$O$329,11,0)</f>
        <v>470</v>
      </c>
      <c r="O133" s="103">
        <f>VLOOKUP($A133,'OI(Value)'!$A$7:$O$329,12,0)</f>
        <v>56</v>
      </c>
      <c r="P133" s="179">
        <f>VLOOKUP(A133,'OI(Value)'!A133:O357,8,0)</f>
        <v>660</v>
      </c>
      <c r="Q133" s="179">
        <f>VLOOKUP(A133,'OI(Value)'!A133:O357,9,0)</f>
        <v>101</v>
      </c>
      <c r="R133" s="179">
        <f>VLOOKUP(A133,'OI(Value)'!A133:O357,11,0)</f>
        <v>470</v>
      </c>
      <c r="S133" s="179">
        <f>VLOOKUP(A133,'OI(Value)'!A133:O357,11,0)</f>
        <v>470</v>
      </c>
    </row>
    <row r="134" spans="1:19" x14ac:dyDescent="0.25">
      <c r="A134" s="105" t="str">
        <f>'Data Vlaue (Cr)'!C129</f>
        <v>MARUTI</v>
      </c>
      <c r="B134" s="143">
        <f>VLOOKUP($A134,'Data shares'!$C:$FA,118)</f>
        <v>0.48</v>
      </c>
      <c r="C134" s="143">
        <f>VLOOKUP($A134,'Data shares'!$C:$FA,119)</f>
        <v>0.4</v>
      </c>
      <c r="D134" s="143">
        <f>VLOOKUP($A134,'Data shares'!$C:$FA,121)*100</f>
        <v>20</v>
      </c>
      <c r="E134" s="143">
        <f>VLOOKUP($A134,'Data shares'!$C:$FA,124)</f>
        <v>0.46</v>
      </c>
      <c r="F134" s="143">
        <f>VLOOKUP($A134,'Data shares'!$C:$FA,125)</f>
        <v>0.53</v>
      </c>
      <c r="G134" s="143">
        <f>VLOOKUP($A134,'Data shares'!$C:$FA,127)*100</f>
        <v>-13.209999999999999</v>
      </c>
      <c r="H134" s="103">
        <f>VLOOKUP($A134,'OI(Volume)'!$A$7:$O$445,8)</f>
        <v>2050450</v>
      </c>
      <c r="I134" s="103">
        <f>VLOOKUP($A134,'OI(Volume)'!$A$7:$O$445,9)</f>
        <v>-216950</v>
      </c>
      <c r="J134" s="103">
        <f>VLOOKUP($A134,'OI(Volume)'!$A$7:$O$445,11)</f>
        <v>994100</v>
      </c>
      <c r="K134" s="103">
        <f>VLOOKUP($A134,'OI(Volume)'!$A$7:$O$445,12)</f>
        <v>78250</v>
      </c>
      <c r="L134" s="103">
        <f>VLOOKUP($A134,'OI(Value)'!$A$7:$O$329,8,0)</f>
        <v>2830</v>
      </c>
      <c r="M134" s="103">
        <f>VLOOKUP($A134,'OI(Value)'!$A$7:$O$329,9,0)</f>
        <v>-299</v>
      </c>
      <c r="N134" s="103">
        <f>VLOOKUP($A134,'OI(Value)'!$A$7:$O$329,11,0)</f>
        <v>1372</v>
      </c>
      <c r="O134" s="103">
        <f>VLOOKUP($A134,'OI(Value)'!$A$7:$O$329,12,0)</f>
        <v>108</v>
      </c>
      <c r="P134" s="179">
        <f>VLOOKUP(A134,'OI(Value)'!A134:O358,8,0)</f>
        <v>2830</v>
      </c>
      <c r="Q134" s="179">
        <f>VLOOKUP(A134,'OI(Value)'!A134:O358,9,0)</f>
        <v>-299</v>
      </c>
      <c r="R134" s="179">
        <f>VLOOKUP(A134,'OI(Value)'!A134:O358,11,0)</f>
        <v>1372</v>
      </c>
      <c r="S134" s="179">
        <f>VLOOKUP(A134,'OI(Value)'!A134:O358,11,0)</f>
        <v>1372</v>
      </c>
    </row>
    <row r="135" spans="1:19" x14ac:dyDescent="0.25">
      <c r="A135" s="105" t="str">
        <f>'Data Vlaue (Cr)'!C130</f>
        <v>MAXHEALTH</v>
      </c>
      <c r="B135" s="143">
        <f>VLOOKUP($A135,'Data shares'!$C:$FA,118)</f>
        <v>0.51</v>
      </c>
      <c r="C135" s="143">
        <f>VLOOKUP($A135,'Data shares'!$C:$FA,119)</f>
        <v>0.59</v>
      </c>
      <c r="D135" s="143">
        <f>VLOOKUP($A135,'Data shares'!$C:$FA,121)*100</f>
        <v>-13.56</v>
      </c>
      <c r="E135" s="143">
        <f>VLOOKUP($A135,'Data shares'!$C:$FA,124)</f>
        <v>0.45</v>
      </c>
      <c r="F135" s="143">
        <f>VLOOKUP($A135,'Data shares'!$C:$FA,125)</f>
        <v>0.72</v>
      </c>
      <c r="G135" s="143">
        <f>VLOOKUP($A135,'Data shares'!$C:$FA,127)*100</f>
        <v>-37.5</v>
      </c>
      <c r="H135" s="103">
        <f>VLOOKUP($A135,'OI(Volume)'!$A$7:$O$445,8)</f>
        <v>2504775</v>
      </c>
      <c r="I135" s="103">
        <f>VLOOKUP($A135,'OI(Volume)'!$A$7:$O$445,9)</f>
        <v>265125</v>
      </c>
      <c r="J135" s="103">
        <f>VLOOKUP($A135,'OI(Volume)'!$A$7:$O$445,11)</f>
        <v>1277325</v>
      </c>
      <c r="K135" s="103">
        <f>VLOOKUP($A135,'OI(Volume)'!$A$7:$O$445,12)</f>
        <v>-34650</v>
      </c>
      <c r="L135" s="103">
        <f>VLOOKUP($A135,'OI(Value)'!$A$7:$O$329,8,0)</f>
        <v>256</v>
      </c>
      <c r="M135" s="103">
        <f>VLOOKUP($A135,'OI(Value)'!$A$7:$O$329,9,0)</f>
        <v>27</v>
      </c>
      <c r="N135" s="103">
        <f>VLOOKUP($A135,'OI(Value)'!$A$7:$O$329,11,0)</f>
        <v>131</v>
      </c>
      <c r="O135" s="103">
        <f>VLOOKUP($A135,'OI(Value)'!$A$7:$O$329,12,0)</f>
        <v>-4</v>
      </c>
      <c r="P135" s="179">
        <f>VLOOKUP(A135,'OI(Value)'!A135:O359,8,0)</f>
        <v>256</v>
      </c>
      <c r="Q135" s="179">
        <f>VLOOKUP(A135,'OI(Value)'!A135:O359,9,0)</f>
        <v>27</v>
      </c>
      <c r="R135" s="179">
        <f>VLOOKUP(A135,'OI(Value)'!A135:O359,11,0)</f>
        <v>131</v>
      </c>
      <c r="S135" s="179">
        <f>VLOOKUP(A135,'OI(Value)'!A135:O359,11,0)</f>
        <v>131</v>
      </c>
    </row>
    <row r="136" spans="1:19" x14ac:dyDescent="0.25">
      <c r="A136" s="105" t="str">
        <f>'Data Vlaue (Cr)'!C131</f>
        <v>MAZDOCK</v>
      </c>
      <c r="B136" s="143">
        <f>VLOOKUP($A136,'Data shares'!$C:$FA,118)</f>
        <v>0.42</v>
      </c>
      <c r="C136" s="143">
        <f>VLOOKUP($A136,'Data shares'!$C:$FA,119)</f>
        <v>0.41</v>
      </c>
      <c r="D136" s="143">
        <f>VLOOKUP($A136,'Data shares'!$C:$FA,121)*100</f>
        <v>2.44</v>
      </c>
      <c r="E136" s="143">
        <f>VLOOKUP($A136,'Data shares'!$C:$FA,124)</f>
        <v>0.28999999999999998</v>
      </c>
      <c r="F136" s="143">
        <f>VLOOKUP($A136,'Data shares'!$C:$FA,125)</f>
        <v>0.31</v>
      </c>
      <c r="G136" s="143">
        <f>VLOOKUP($A136,'Data shares'!$C:$FA,127)*100</f>
        <v>-6.45</v>
      </c>
      <c r="H136" s="103">
        <f>VLOOKUP($A136,'OI(Volume)'!$A$7:$O$445,8)</f>
        <v>4426000</v>
      </c>
      <c r="I136" s="103">
        <f>VLOOKUP($A136,'OI(Volume)'!$A$7:$O$445,9)</f>
        <v>10000</v>
      </c>
      <c r="J136" s="103">
        <f>VLOOKUP($A136,'OI(Volume)'!$A$7:$O$445,11)</f>
        <v>1853200</v>
      </c>
      <c r="K136" s="103">
        <f>VLOOKUP($A136,'OI(Volume)'!$A$7:$O$445,12)</f>
        <v>21000</v>
      </c>
      <c r="L136" s="103">
        <f>VLOOKUP($A136,'OI(Value)'!$A$7:$O$329,8,0)</f>
        <v>1177</v>
      </c>
      <c r="M136" s="103">
        <f>VLOOKUP($A136,'OI(Value)'!$A$7:$O$329,9,0)</f>
        <v>3</v>
      </c>
      <c r="N136" s="103">
        <f>VLOOKUP($A136,'OI(Value)'!$A$7:$O$329,11,0)</f>
        <v>493</v>
      </c>
      <c r="O136" s="103">
        <f>VLOOKUP($A136,'OI(Value)'!$A$7:$O$329,12,0)</f>
        <v>6</v>
      </c>
      <c r="P136" s="179">
        <f>VLOOKUP(A136,'OI(Value)'!A136:O360,8,0)</f>
        <v>1177</v>
      </c>
      <c r="Q136" s="179">
        <f>VLOOKUP(A136,'OI(Value)'!A136:O360,9,0)</f>
        <v>3</v>
      </c>
      <c r="R136" s="179">
        <f>VLOOKUP(A136,'OI(Value)'!A136:O360,11,0)</f>
        <v>493</v>
      </c>
      <c r="S136" s="179">
        <f>VLOOKUP(A136,'OI(Value)'!A136:O360,11,0)</f>
        <v>493</v>
      </c>
    </row>
    <row r="137" spans="1:19" x14ac:dyDescent="0.25">
      <c r="A137" s="105" t="str">
        <f>'Data Vlaue (Cr)'!C132</f>
        <v>MCX</v>
      </c>
      <c r="B137" s="143">
        <f>VLOOKUP($A137,'Data shares'!$C:$FA,118)</f>
        <v>0.78</v>
      </c>
      <c r="C137" s="143">
        <f>VLOOKUP($A137,'Data shares'!$C:$FA,119)</f>
        <v>0.69</v>
      </c>
      <c r="D137" s="143">
        <f>VLOOKUP($A137,'Data shares'!$C:$FA,121)*100</f>
        <v>13.04</v>
      </c>
      <c r="E137" s="143">
        <f>VLOOKUP($A137,'Data shares'!$C:$FA,124)</f>
        <v>0.63</v>
      </c>
      <c r="F137" s="143">
        <f>VLOOKUP($A137,'Data shares'!$C:$FA,125)</f>
        <v>0.64</v>
      </c>
      <c r="G137" s="143">
        <f>VLOOKUP($A137,'Data shares'!$C:$FA,127)*100</f>
        <v>-1.5599999999999998</v>
      </c>
      <c r="H137" s="103">
        <f>VLOOKUP($A137,'OI(Volume)'!$A$7:$O$445,8)</f>
        <v>4812500</v>
      </c>
      <c r="I137" s="103">
        <f>VLOOKUP($A137,'OI(Volume)'!$A$7:$O$445,9)</f>
        <v>-106875</v>
      </c>
      <c r="J137" s="103">
        <f>VLOOKUP($A137,'OI(Volume)'!$A$7:$O$445,11)</f>
        <v>3738125</v>
      </c>
      <c r="K137" s="103">
        <f>VLOOKUP($A137,'OI(Volume)'!$A$7:$O$445,12)</f>
        <v>351250</v>
      </c>
      <c r="L137" s="103">
        <f>VLOOKUP($A137,'OI(Value)'!$A$7:$O$329,8,0)</f>
        <v>1438</v>
      </c>
      <c r="M137" s="103">
        <f>VLOOKUP($A137,'OI(Value)'!$A$7:$O$329,9,0)</f>
        <v>-32</v>
      </c>
      <c r="N137" s="103">
        <f>VLOOKUP($A137,'OI(Value)'!$A$7:$O$329,11,0)</f>
        <v>1117</v>
      </c>
      <c r="O137" s="103">
        <f>VLOOKUP($A137,'OI(Value)'!$A$7:$O$329,12,0)</f>
        <v>105</v>
      </c>
      <c r="P137" s="179">
        <f>VLOOKUP(A137,'OI(Value)'!A137:O361,8,0)</f>
        <v>1438</v>
      </c>
      <c r="Q137" s="179">
        <f>VLOOKUP(A137,'OI(Value)'!A137:O361,9,0)</f>
        <v>-32</v>
      </c>
      <c r="R137" s="179">
        <f>VLOOKUP(A137,'OI(Value)'!A137:O361,11,0)</f>
        <v>1117</v>
      </c>
      <c r="S137" s="179">
        <f>VLOOKUP(A137,'OI(Value)'!A137:O361,11,0)</f>
        <v>1117</v>
      </c>
    </row>
    <row r="138" spans="1:19" x14ac:dyDescent="0.25">
      <c r="A138" s="105" t="str">
        <f>'Data Vlaue (Cr)'!C133</f>
        <v>MFSL</v>
      </c>
      <c r="B138" s="143">
        <f>VLOOKUP($A138,'Data shares'!$C:$FA,118)</f>
        <v>0.51</v>
      </c>
      <c r="C138" s="143">
        <f>VLOOKUP($A138,'Data shares'!$C:$FA,119)</f>
        <v>0.67</v>
      </c>
      <c r="D138" s="143">
        <f>VLOOKUP($A138,'Data shares'!$C:$FA,121)*100</f>
        <v>-23.880000000000003</v>
      </c>
      <c r="E138" s="143">
        <f>VLOOKUP($A138,'Data shares'!$C:$FA,124)</f>
        <v>0.25</v>
      </c>
      <c r="F138" s="143">
        <f>VLOOKUP($A138,'Data shares'!$C:$FA,125)</f>
        <v>0.36</v>
      </c>
      <c r="G138" s="143">
        <f>VLOOKUP($A138,'Data shares'!$C:$FA,127)*100</f>
        <v>-30.56</v>
      </c>
      <c r="H138" s="103">
        <f>VLOOKUP($A138,'OI(Volume)'!$A$7:$O$445,8)</f>
        <v>762000</v>
      </c>
      <c r="I138" s="103">
        <f>VLOOKUP($A138,'OI(Volume)'!$A$7:$O$445,9)</f>
        <v>277200</v>
      </c>
      <c r="J138" s="103">
        <f>VLOOKUP($A138,'OI(Volume)'!$A$7:$O$445,11)</f>
        <v>389600</v>
      </c>
      <c r="K138" s="103">
        <f>VLOOKUP($A138,'OI(Volume)'!$A$7:$O$445,12)</f>
        <v>65600</v>
      </c>
      <c r="L138" s="103">
        <f>VLOOKUP($A138,'OI(Value)'!$A$7:$O$329,8,0)</f>
        <v>127</v>
      </c>
      <c r="M138" s="103">
        <f>VLOOKUP($A138,'OI(Value)'!$A$7:$O$329,9,0)</f>
        <v>46</v>
      </c>
      <c r="N138" s="103">
        <f>VLOOKUP($A138,'OI(Value)'!$A$7:$O$329,11,0)</f>
        <v>65</v>
      </c>
      <c r="O138" s="103">
        <f>VLOOKUP($A138,'OI(Value)'!$A$7:$O$329,12,0)</f>
        <v>11</v>
      </c>
      <c r="P138" s="179">
        <f>VLOOKUP(A138,'OI(Value)'!A138:O362,8,0)</f>
        <v>127</v>
      </c>
      <c r="Q138" s="179">
        <f>VLOOKUP(A138,'OI(Value)'!A138:O362,9,0)</f>
        <v>46</v>
      </c>
      <c r="R138" s="179">
        <f>VLOOKUP(A138,'OI(Value)'!A138:O362,11,0)</f>
        <v>65</v>
      </c>
      <c r="S138" s="179">
        <f>VLOOKUP(A138,'OI(Value)'!A138:O362,11,0)</f>
        <v>65</v>
      </c>
    </row>
    <row r="139" spans="1:19" x14ac:dyDescent="0.25">
      <c r="A139" s="105" t="str">
        <f>'Data Vlaue (Cr)'!C134</f>
        <v>MIDCPNIFTY</v>
      </c>
      <c r="B139" s="143">
        <f>VLOOKUP($A139,'Data shares'!$C:$FA,118)</f>
        <v>1.29</v>
      </c>
      <c r="C139" s="143">
        <f>VLOOKUP($A139,'Data shares'!$C:$FA,119)</f>
        <v>1.1399999999999999</v>
      </c>
      <c r="D139" s="143">
        <f>VLOOKUP($A139,'Data shares'!$C:$FA,121)*100</f>
        <v>13.16</v>
      </c>
      <c r="E139" s="143">
        <f>VLOOKUP($A139,'Data shares'!$C:$FA,124)</f>
        <v>1.35</v>
      </c>
      <c r="F139" s="143">
        <f>VLOOKUP($A139,'Data shares'!$C:$FA,125)</f>
        <v>0.93</v>
      </c>
      <c r="G139" s="143">
        <f>VLOOKUP($A139,'Data shares'!$C:$FA,127)*100</f>
        <v>45.16</v>
      </c>
      <c r="H139" s="103">
        <f>VLOOKUP($A139,'OI(Volume)'!$A$7:$O$445,8)</f>
        <v>4194000</v>
      </c>
      <c r="I139" s="103">
        <f>VLOOKUP($A139,'OI(Volume)'!$A$7:$O$445,9)</f>
        <v>551160</v>
      </c>
      <c r="J139" s="103">
        <f>VLOOKUP($A139,'OI(Volume)'!$A$7:$O$445,11)</f>
        <v>5417160</v>
      </c>
      <c r="K139" s="103">
        <f>VLOOKUP($A139,'OI(Volume)'!$A$7:$O$445,12)</f>
        <v>1252200</v>
      </c>
      <c r="L139" s="103">
        <f>VLOOKUP($A139,'OI(Value)'!$A$7:$O$329,8,0)</f>
        <v>6040</v>
      </c>
      <c r="M139" s="103">
        <f>VLOOKUP($A139,'OI(Value)'!$A$7:$O$329,9,0)</f>
        <v>794</v>
      </c>
      <c r="N139" s="103">
        <f>VLOOKUP($A139,'OI(Value)'!$A$7:$O$329,11,0)</f>
        <v>7801</v>
      </c>
      <c r="O139" s="103">
        <f>VLOOKUP($A139,'OI(Value)'!$A$7:$O$329,12,0)</f>
        <v>1803</v>
      </c>
      <c r="P139" s="179">
        <f>VLOOKUP(A139,'OI(Value)'!A139:O363,8,0)</f>
        <v>6040</v>
      </c>
      <c r="Q139" s="179">
        <f>VLOOKUP(A139,'OI(Value)'!A139:O363,9,0)</f>
        <v>794</v>
      </c>
      <c r="R139" s="179">
        <f>VLOOKUP(A139,'OI(Value)'!A139:O363,11,0)</f>
        <v>7801</v>
      </c>
      <c r="S139" s="179">
        <f>VLOOKUP(A139,'OI(Value)'!A139:O363,11,0)</f>
        <v>7801</v>
      </c>
    </row>
    <row r="140" spans="1:19" x14ac:dyDescent="0.25">
      <c r="A140" s="105" t="str">
        <f>'Data Vlaue (Cr)'!C135</f>
        <v>MOTHERSON</v>
      </c>
      <c r="B140" s="143">
        <f>VLOOKUP($A140,'Data shares'!$C:$FA,118)</f>
        <v>0.79</v>
      </c>
      <c r="C140" s="143">
        <f>VLOOKUP($A140,'Data shares'!$C:$FA,119)</f>
        <v>0.72</v>
      </c>
      <c r="D140" s="143">
        <f>VLOOKUP($A140,'Data shares'!$C:$FA,121)*100</f>
        <v>9.7199999999999989</v>
      </c>
      <c r="E140" s="143">
        <f>VLOOKUP($A140,'Data shares'!$C:$FA,124)</f>
        <v>0.34</v>
      </c>
      <c r="F140" s="143">
        <f>VLOOKUP($A140,'Data shares'!$C:$FA,125)</f>
        <v>0.55000000000000004</v>
      </c>
      <c r="G140" s="143">
        <f>VLOOKUP($A140,'Data shares'!$C:$FA,127)*100</f>
        <v>-38.18</v>
      </c>
      <c r="H140" s="103">
        <f>VLOOKUP($A140,'OI(Volume)'!$A$7:$O$445,8)</f>
        <v>27945600</v>
      </c>
      <c r="I140" s="103">
        <f>VLOOKUP($A140,'OI(Volume)'!$A$7:$O$445,9)</f>
        <v>-295200</v>
      </c>
      <c r="J140" s="103">
        <f>VLOOKUP($A140,'OI(Volume)'!$A$7:$O$445,11)</f>
        <v>22035450</v>
      </c>
      <c r="K140" s="103">
        <f>VLOOKUP($A140,'OI(Volume)'!$A$7:$O$445,12)</f>
        <v>1660500</v>
      </c>
      <c r="L140" s="103">
        <f>VLOOKUP($A140,'OI(Value)'!$A$7:$O$329,8,0)</f>
        <v>359</v>
      </c>
      <c r="M140" s="103">
        <f>VLOOKUP($A140,'OI(Value)'!$A$7:$O$329,9,0)</f>
        <v>-4</v>
      </c>
      <c r="N140" s="103">
        <f>VLOOKUP($A140,'OI(Value)'!$A$7:$O$329,11,0)</f>
        <v>283</v>
      </c>
      <c r="O140" s="103">
        <f>VLOOKUP($A140,'OI(Value)'!$A$7:$O$329,12,0)</f>
        <v>21</v>
      </c>
      <c r="P140" s="179">
        <f>VLOOKUP(A140,'OI(Value)'!A140:O364,8,0)</f>
        <v>359</v>
      </c>
      <c r="Q140" s="179">
        <f>VLOOKUP(A140,'OI(Value)'!A140:O364,9,0)</f>
        <v>-4</v>
      </c>
      <c r="R140" s="179">
        <f>VLOOKUP(A140,'OI(Value)'!A140:O364,11,0)</f>
        <v>283</v>
      </c>
      <c r="S140" s="179">
        <f>VLOOKUP(A140,'OI(Value)'!A140:O364,11,0)</f>
        <v>283</v>
      </c>
    </row>
    <row r="141" spans="1:19" x14ac:dyDescent="0.25">
      <c r="A141" s="105" t="str">
        <f>'Data Vlaue (Cr)'!C136</f>
        <v>MOTILALOFS</v>
      </c>
      <c r="B141" s="143">
        <f>VLOOKUP($A141,'Data shares'!$C:$FA,118)</f>
        <v>0.64</v>
      </c>
      <c r="C141" s="143">
        <f>VLOOKUP($A141,'Data shares'!$C:$FA,119)</f>
        <v>0.65</v>
      </c>
      <c r="D141" s="143">
        <f>VLOOKUP($A141,'Data shares'!$C:$FA,121)*100</f>
        <v>-1.54</v>
      </c>
      <c r="E141" s="143">
        <f>VLOOKUP($A141,'Data shares'!$C:$FA,124)</f>
        <v>0.5</v>
      </c>
      <c r="F141" s="143">
        <f>VLOOKUP($A141,'Data shares'!$C:$FA,125)</f>
        <v>0.28999999999999998</v>
      </c>
      <c r="G141" s="143">
        <f>VLOOKUP($A141,'Data shares'!$C:$FA,127)*100</f>
        <v>72.41</v>
      </c>
      <c r="H141" s="103">
        <f>VLOOKUP($A141,'OI(Volume)'!$A$7:$O$445,8)</f>
        <v>2108000</v>
      </c>
      <c r="I141" s="103">
        <f>VLOOKUP($A141,'OI(Volume)'!$A$7:$O$445,9)</f>
        <v>-122450</v>
      </c>
      <c r="J141" s="103">
        <f>VLOOKUP($A141,'OI(Volume)'!$A$7:$O$445,11)</f>
        <v>1357800</v>
      </c>
      <c r="K141" s="103">
        <f>VLOOKUP($A141,'OI(Volume)'!$A$7:$O$445,12)</f>
        <v>-94550</v>
      </c>
      <c r="L141" s="103">
        <f>VLOOKUP($A141,'OI(Value)'!$A$7:$O$329,8,0)</f>
        <v>186</v>
      </c>
      <c r="M141" s="103">
        <f>VLOOKUP($A141,'OI(Value)'!$A$7:$O$329,9,0)</f>
        <v>-11</v>
      </c>
      <c r="N141" s="103">
        <f>VLOOKUP($A141,'OI(Value)'!$A$7:$O$329,11,0)</f>
        <v>120</v>
      </c>
      <c r="O141" s="103">
        <f>VLOOKUP($A141,'OI(Value)'!$A$7:$O$329,12,0)</f>
        <v>-8</v>
      </c>
      <c r="P141" s="179">
        <f>VLOOKUP(A141,'OI(Value)'!A141:O365,8,0)</f>
        <v>186</v>
      </c>
      <c r="Q141" s="179">
        <f>VLOOKUP(A141,'OI(Value)'!A141:O365,9,0)</f>
        <v>-11</v>
      </c>
      <c r="R141" s="179">
        <f>VLOOKUP(A141,'OI(Value)'!A141:O365,11,0)</f>
        <v>120</v>
      </c>
      <c r="S141" s="179">
        <f>VLOOKUP(A141,'OI(Value)'!A141:O365,11,0)</f>
        <v>120</v>
      </c>
    </row>
    <row r="142" spans="1:19" x14ac:dyDescent="0.25">
      <c r="A142" s="105" t="str">
        <f>'Data Vlaue (Cr)'!C137</f>
        <v>MPHASIS</v>
      </c>
      <c r="B142" s="143">
        <f>VLOOKUP($A142,'Data shares'!$C:$FA,118)</f>
        <v>0.6</v>
      </c>
      <c r="C142" s="143">
        <f>VLOOKUP($A142,'Data shares'!$C:$FA,119)</f>
        <v>0.6</v>
      </c>
      <c r="D142" s="143">
        <f>VLOOKUP($A142,'Data shares'!$C:$FA,121)*100</f>
        <v>0</v>
      </c>
      <c r="E142" s="143">
        <f>VLOOKUP($A142,'Data shares'!$C:$FA,124)</f>
        <v>0.28999999999999998</v>
      </c>
      <c r="F142" s="143">
        <f>VLOOKUP($A142,'Data shares'!$C:$FA,125)</f>
        <v>0.48</v>
      </c>
      <c r="G142" s="143">
        <f>VLOOKUP($A142,'Data shares'!$C:$FA,127)*100</f>
        <v>-39.58</v>
      </c>
      <c r="H142" s="103">
        <f>VLOOKUP($A142,'OI(Volume)'!$A$7:$O$445,8)</f>
        <v>1588400</v>
      </c>
      <c r="I142" s="103">
        <f>VLOOKUP($A142,'OI(Volume)'!$A$7:$O$445,9)</f>
        <v>-10725</v>
      </c>
      <c r="J142" s="103">
        <f>VLOOKUP($A142,'OI(Volume)'!$A$7:$O$445,11)</f>
        <v>947375</v>
      </c>
      <c r="K142" s="103">
        <f>VLOOKUP($A142,'OI(Volume)'!$A$7:$O$445,12)</f>
        <v>-5225</v>
      </c>
      <c r="L142" s="103">
        <f>VLOOKUP($A142,'OI(Value)'!$A$7:$O$329,8,0)</f>
        <v>355</v>
      </c>
      <c r="M142" s="103">
        <f>VLOOKUP($A142,'OI(Value)'!$A$7:$O$329,9,0)</f>
        <v>-2</v>
      </c>
      <c r="N142" s="103">
        <f>VLOOKUP($A142,'OI(Value)'!$A$7:$O$329,11,0)</f>
        <v>211</v>
      </c>
      <c r="O142" s="103">
        <f>VLOOKUP($A142,'OI(Value)'!$A$7:$O$329,12,0)</f>
        <v>-1</v>
      </c>
      <c r="P142" s="179">
        <f>VLOOKUP(A142,'OI(Value)'!A142:O366,8,0)</f>
        <v>355</v>
      </c>
      <c r="Q142" s="179">
        <f>VLOOKUP(A142,'OI(Value)'!A142:O366,9,0)</f>
        <v>-2</v>
      </c>
      <c r="R142" s="179">
        <f>VLOOKUP(A142,'OI(Value)'!A142:O366,11,0)</f>
        <v>211</v>
      </c>
      <c r="S142" s="179">
        <f>VLOOKUP(A142,'OI(Value)'!A142:O366,11,0)</f>
        <v>211</v>
      </c>
    </row>
    <row r="143" spans="1:19" x14ac:dyDescent="0.25">
      <c r="A143" s="105" t="str">
        <f>'Data Vlaue (Cr)'!C138</f>
        <v>MUTHOOTFIN</v>
      </c>
      <c r="B143" s="143">
        <f>VLOOKUP($A143,'Data shares'!$C:$FA,118)</f>
        <v>0.66</v>
      </c>
      <c r="C143" s="143">
        <f>VLOOKUP($A143,'Data shares'!$C:$FA,119)</f>
        <v>0.7</v>
      </c>
      <c r="D143" s="143">
        <f>VLOOKUP($A143,'Data shares'!$C:$FA,121)*100</f>
        <v>-5.71</v>
      </c>
      <c r="E143" s="143">
        <f>VLOOKUP($A143,'Data shares'!$C:$FA,124)</f>
        <v>0.51</v>
      </c>
      <c r="F143" s="143">
        <f>VLOOKUP($A143,'Data shares'!$C:$FA,125)</f>
        <v>0.6</v>
      </c>
      <c r="G143" s="143">
        <f>VLOOKUP($A143,'Data shares'!$C:$FA,127)*100</f>
        <v>-15</v>
      </c>
      <c r="H143" s="103">
        <f>VLOOKUP($A143,'OI(Volume)'!$A$7:$O$445,8)</f>
        <v>1275725</v>
      </c>
      <c r="I143" s="103">
        <f>VLOOKUP($A143,'OI(Volume)'!$A$7:$O$445,9)</f>
        <v>198275</v>
      </c>
      <c r="J143" s="103">
        <f>VLOOKUP($A143,'OI(Volume)'!$A$7:$O$445,11)</f>
        <v>846175</v>
      </c>
      <c r="K143" s="103">
        <f>VLOOKUP($A143,'OI(Volume)'!$A$7:$O$445,12)</f>
        <v>87175</v>
      </c>
      <c r="L143" s="103">
        <f>VLOOKUP($A143,'OI(Value)'!$A$7:$O$329,8,0)</f>
        <v>454</v>
      </c>
      <c r="M143" s="103">
        <f>VLOOKUP($A143,'OI(Value)'!$A$7:$O$329,9,0)</f>
        <v>71</v>
      </c>
      <c r="N143" s="103">
        <f>VLOOKUP($A143,'OI(Value)'!$A$7:$O$329,11,0)</f>
        <v>301</v>
      </c>
      <c r="O143" s="103">
        <f>VLOOKUP($A143,'OI(Value)'!$A$7:$O$329,12,0)</f>
        <v>31</v>
      </c>
      <c r="P143" s="179">
        <f>VLOOKUP(A143,'OI(Value)'!A143:O367,8,0)</f>
        <v>454</v>
      </c>
      <c r="Q143" s="179">
        <f>VLOOKUP(A143,'OI(Value)'!A143:O367,9,0)</f>
        <v>71</v>
      </c>
      <c r="R143" s="179">
        <f>VLOOKUP(A143,'OI(Value)'!A143:O367,11,0)</f>
        <v>301</v>
      </c>
      <c r="S143" s="179">
        <f>VLOOKUP(A143,'OI(Value)'!A143:O367,11,0)</f>
        <v>301</v>
      </c>
    </row>
    <row r="144" spans="1:19" x14ac:dyDescent="0.25">
      <c r="A144" s="105" t="str">
        <f>'Data Vlaue (Cr)'!C139</f>
        <v>NAM-INDIA</v>
      </c>
      <c r="B144" s="143">
        <f>VLOOKUP($A144,'Data shares'!$C:$FA,118)</f>
        <v>0.4</v>
      </c>
      <c r="C144" s="143">
        <f>VLOOKUP($A144,'Data shares'!$C:$FA,119)</f>
        <v>0.39</v>
      </c>
      <c r="D144" s="143">
        <f>VLOOKUP($A144,'Data shares'!$C:$FA,121)*100</f>
        <v>2.56</v>
      </c>
      <c r="E144" s="143">
        <f>VLOOKUP($A144,'Data shares'!$C:$FA,124)</f>
        <v>0.19</v>
      </c>
      <c r="F144" s="143">
        <f>VLOOKUP($A144,'Data shares'!$C:$FA,125)</f>
        <v>0.16</v>
      </c>
      <c r="G144" s="143">
        <f>VLOOKUP($A144,'Data shares'!$C:$FA,127)*100</f>
        <v>18.75</v>
      </c>
      <c r="H144" s="103">
        <f>VLOOKUP($A144,'OI(Volume)'!$A$7:$O$445,8)</f>
        <v>1342500</v>
      </c>
      <c r="I144" s="103">
        <f>VLOOKUP($A144,'OI(Volume)'!$A$7:$O$445,9)</f>
        <v>-71250</v>
      </c>
      <c r="J144" s="103">
        <f>VLOOKUP($A144,'OI(Volume)'!$A$7:$O$445,11)</f>
        <v>535625</v>
      </c>
      <c r="K144" s="103">
        <f>VLOOKUP($A144,'OI(Volume)'!$A$7:$O$445,12)</f>
        <v>-15000</v>
      </c>
      <c r="L144" s="103">
        <f>VLOOKUP($A144,'OI(Value)'!$A$7:$O$329,8,0)</f>
        <v>147</v>
      </c>
      <c r="M144" s="103">
        <f>VLOOKUP($A144,'OI(Value)'!$A$7:$O$329,9,0)</f>
        <v>-8</v>
      </c>
      <c r="N144" s="103">
        <f>VLOOKUP($A144,'OI(Value)'!$A$7:$O$329,11,0)</f>
        <v>59</v>
      </c>
      <c r="O144" s="103">
        <f>VLOOKUP($A144,'OI(Value)'!$A$7:$O$329,12,0)</f>
        <v>-2</v>
      </c>
      <c r="P144" s="179">
        <f>VLOOKUP(A144,'OI(Value)'!A144:O368,8,0)</f>
        <v>147</v>
      </c>
      <c r="Q144" s="179">
        <f>VLOOKUP(A144,'OI(Value)'!A144:O368,9,0)</f>
        <v>-8</v>
      </c>
      <c r="R144" s="179">
        <f>VLOOKUP(A144,'OI(Value)'!A144:O368,11,0)</f>
        <v>59</v>
      </c>
      <c r="S144" s="179">
        <f>VLOOKUP(A144,'OI(Value)'!A144:O368,11,0)</f>
        <v>59</v>
      </c>
    </row>
    <row r="145" spans="1:19" x14ac:dyDescent="0.25">
      <c r="A145" s="105" t="str">
        <f>'Data Vlaue (Cr)'!C140</f>
        <v>NATIONALUM</v>
      </c>
      <c r="B145" s="143">
        <f>VLOOKUP($A145,'Data shares'!$C:$FA,118)</f>
        <v>0.53</v>
      </c>
      <c r="C145" s="143">
        <f>VLOOKUP($A145,'Data shares'!$C:$FA,119)</f>
        <v>0.54</v>
      </c>
      <c r="D145" s="143">
        <f>VLOOKUP($A145,'Data shares'!$C:$FA,121)*100</f>
        <v>-1.8499999999999999</v>
      </c>
      <c r="E145" s="143">
        <f>VLOOKUP($A145,'Data shares'!$C:$FA,124)</f>
        <v>0.51</v>
      </c>
      <c r="F145" s="143">
        <f>VLOOKUP($A145,'Data shares'!$C:$FA,125)</f>
        <v>0.44</v>
      </c>
      <c r="G145" s="143">
        <f>VLOOKUP($A145,'Data shares'!$C:$FA,127)*100</f>
        <v>15.909999999999998</v>
      </c>
      <c r="H145" s="103">
        <f>VLOOKUP($A145,'OI(Volume)'!$A$7:$O$445,8)</f>
        <v>29827500</v>
      </c>
      <c r="I145" s="103">
        <f>VLOOKUP($A145,'OI(Volume)'!$A$7:$O$445,9)</f>
        <v>1207500</v>
      </c>
      <c r="J145" s="103">
        <f>VLOOKUP($A145,'OI(Volume)'!$A$7:$O$445,11)</f>
        <v>15761250</v>
      </c>
      <c r="K145" s="103">
        <f>VLOOKUP($A145,'OI(Volume)'!$A$7:$O$445,12)</f>
        <v>180000</v>
      </c>
      <c r="L145" s="103">
        <f>VLOOKUP($A145,'OI(Value)'!$A$7:$O$329,8,0)</f>
        <v>1214</v>
      </c>
      <c r="M145" s="103">
        <f>VLOOKUP($A145,'OI(Value)'!$A$7:$O$329,9,0)</f>
        <v>49</v>
      </c>
      <c r="N145" s="103">
        <f>VLOOKUP($A145,'OI(Value)'!$A$7:$O$329,11,0)</f>
        <v>641</v>
      </c>
      <c r="O145" s="103">
        <f>VLOOKUP($A145,'OI(Value)'!$A$7:$O$329,12,0)</f>
        <v>7</v>
      </c>
      <c r="P145" s="179">
        <f>VLOOKUP(A145,'OI(Value)'!A145:O369,8,0)</f>
        <v>1214</v>
      </c>
      <c r="Q145" s="179">
        <f>VLOOKUP(A145,'OI(Value)'!A145:O369,9,0)</f>
        <v>49</v>
      </c>
      <c r="R145" s="179">
        <f>VLOOKUP(A145,'OI(Value)'!A145:O369,11,0)</f>
        <v>641</v>
      </c>
      <c r="S145" s="179">
        <f>VLOOKUP(A145,'OI(Value)'!A145:O369,11,0)</f>
        <v>641</v>
      </c>
    </row>
    <row r="146" spans="1:19" x14ac:dyDescent="0.25">
      <c r="A146" s="105" t="str">
        <f>'Data Vlaue (Cr)'!C141</f>
        <v>NAUKRI</v>
      </c>
      <c r="B146" s="143">
        <f>VLOOKUP($A146,'Data shares'!$C:$FA,118)</f>
        <v>0.35</v>
      </c>
      <c r="C146" s="143">
        <f>VLOOKUP($A146,'Data shares'!$C:$FA,119)</f>
        <v>0.38</v>
      </c>
      <c r="D146" s="143">
        <f>VLOOKUP($A146,'Data shares'!$C:$FA,121)*100</f>
        <v>-7.89</v>
      </c>
      <c r="E146" s="143">
        <f>VLOOKUP($A146,'Data shares'!$C:$FA,124)</f>
        <v>0.34</v>
      </c>
      <c r="F146" s="143">
        <f>VLOOKUP($A146,'Data shares'!$C:$FA,125)</f>
        <v>0.37</v>
      </c>
      <c r="G146" s="143">
        <f>VLOOKUP($A146,'Data shares'!$C:$FA,127)*100</f>
        <v>-8.1100000000000012</v>
      </c>
      <c r="H146" s="103">
        <f>VLOOKUP($A146,'OI(Volume)'!$A$7:$O$445,8)</f>
        <v>2840250</v>
      </c>
      <c r="I146" s="103">
        <f>VLOOKUP($A146,'OI(Volume)'!$A$7:$O$445,9)</f>
        <v>228375</v>
      </c>
      <c r="J146" s="103">
        <f>VLOOKUP($A146,'OI(Volume)'!$A$7:$O$445,11)</f>
        <v>988125</v>
      </c>
      <c r="K146" s="103">
        <f>VLOOKUP($A146,'OI(Volume)'!$A$7:$O$445,12)</f>
        <v>-15000</v>
      </c>
      <c r="L146" s="103">
        <f>VLOOKUP($A146,'OI(Value)'!$A$7:$O$329,8,0)</f>
        <v>281</v>
      </c>
      <c r="M146" s="103">
        <f>VLOOKUP($A146,'OI(Value)'!$A$7:$O$329,9,0)</f>
        <v>23</v>
      </c>
      <c r="N146" s="103">
        <f>VLOOKUP($A146,'OI(Value)'!$A$7:$O$329,11,0)</f>
        <v>98</v>
      </c>
      <c r="O146" s="103">
        <f>VLOOKUP($A146,'OI(Value)'!$A$7:$O$329,12,0)</f>
        <v>-1</v>
      </c>
      <c r="P146" s="179">
        <f>VLOOKUP(A146,'OI(Value)'!A146:O370,8,0)</f>
        <v>281</v>
      </c>
      <c r="Q146" s="179">
        <f>VLOOKUP(A146,'OI(Value)'!A146:O370,9,0)</f>
        <v>23</v>
      </c>
      <c r="R146" s="179">
        <f>VLOOKUP(A146,'OI(Value)'!A146:O370,11,0)</f>
        <v>98</v>
      </c>
      <c r="S146" s="179">
        <f>VLOOKUP(A146,'OI(Value)'!A146:O370,11,0)</f>
        <v>98</v>
      </c>
    </row>
    <row r="147" spans="1:19" x14ac:dyDescent="0.25">
      <c r="A147" s="105" t="str">
        <f>'Data Vlaue (Cr)'!C142</f>
        <v>NBCC</v>
      </c>
      <c r="B147" s="143">
        <f>VLOOKUP($A147,'Data shares'!$C:$FA,118)</f>
        <v>0.79</v>
      </c>
      <c r="C147" s="143">
        <f>VLOOKUP($A147,'Data shares'!$C:$FA,119)</f>
        <v>0.73</v>
      </c>
      <c r="D147" s="143">
        <f>VLOOKUP($A147,'Data shares'!$C:$FA,121)*100</f>
        <v>8.2199999999999989</v>
      </c>
      <c r="E147" s="143">
        <f>VLOOKUP($A147,'Data shares'!$C:$FA,124)</f>
        <v>0.36</v>
      </c>
      <c r="F147" s="143">
        <f>VLOOKUP($A147,'Data shares'!$C:$FA,125)</f>
        <v>0.51</v>
      </c>
      <c r="G147" s="143">
        <f>VLOOKUP($A147,'Data shares'!$C:$FA,127)*100</f>
        <v>-29.409999999999997</v>
      </c>
      <c r="H147" s="103">
        <f>VLOOKUP($A147,'OI(Volume)'!$A$7:$O$445,8)</f>
        <v>16451500</v>
      </c>
      <c r="I147" s="103">
        <f>VLOOKUP($A147,'OI(Volume)'!$A$7:$O$445,9)</f>
        <v>1228500</v>
      </c>
      <c r="J147" s="103">
        <f>VLOOKUP($A147,'OI(Volume)'!$A$7:$O$445,11)</f>
        <v>12941500</v>
      </c>
      <c r="K147" s="103">
        <f>VLOOKUP($A147,'OI(Volume)'!$A$7:$O$445,12)</f>
        <v>1807000</v>
      </c>
      <c r="L147" s="103">
        <f>VLOOKUP($A147,'OI(Value)'!$A$7:$O$329,8,0)</f>
        <v>157</v>
      </c>
      <c r="M147" s="103">
        <f>VLOOKUP($A147,'OI(Value)'!$A$7:$O$329,9,0)</f>
        <v>12</v>
      </c>
      <c r="N147" s="103">
        <f>VLOOKUP($A147,'OI(Value)'!$A$7:$O$329,11,0)</f>
        <v>124</v>
      </c>
      <c r="O147" s="103">
        <f>VLOOKUP($A147,'OI(Value)'!$A$7:$O$329,12,0)</f>
        <v>17</v>
      </c>
      <c r="P147" s="179">
        <f>VLOOKUP(A147,'OI(Value)'!A147:O371,8,0)</f>
        <v>157</v>
      </c>
      <c r="Q147" s="179">
        <f>VLOOKUP(A147,'OI(Value)'!A147:O371,9,0)</f>
        <v>12</v>
      </c>
      <c r="R147" s="179">
        <f>VLOOKUP(A147,'OI(Value)'!A147:O371,11,0)</f>
        <v>124</v>
      </c>
      <c r="S147" s="179">
        <f>VLOOKUP(A147,'OI(Value)'!A147:O371,11,0)</f>
        <v>124</v>
      </c>
    </row>
    <row r="148" spans="1:19" x14ac:dyDescent="0.25">
      <c r="A148" s="105" t="str">
        <f>'Data Vlaue (Cr)'!C143</f>
        <v>NESTLEIND</v>
      </c>
      <c r="B148" s="143">
        <f>VLOOKUP($A148,'Data shares'!$C:$FA,118)</f>
        <v>1.08</v>
      </c>
      <c r="C148" s="143">
        <f>VLOOKUP($A148,'Data shares'!$C:$FA,119)</f>
        <v>0.93</v>
      </c>
      <c r="D148" s="143">
        <f>VLOOKUP($A148,'Data shares'!$C:$FA,121)*100</f>
        <v>16.13</v>
      </c>
      <c r="E148" s="143">
        <f>VLOOKUP($A148,'Data shares'!$C:$FA,124)</f>
        <v>0.95</v>
      </c>
      <c r="F148" s="143">
        <f>VLOOKUP($A148,'Data shares'!$C:$FA,125)</f>
        <v>0.7</v>
      </c>
      <c r="G148" s="143">
        <f>VLOOKUP($A148,'Data shares'!$C:$FA,127)*100</f>
        <v>35.709999999999994</v>
      </c>
      <c r="H148" s="103">
        <f>VLOOKUP($A148,'OI(Volume)'!$A$7:$O$445,8)</f>
        <v>4218000</v>
      </c>
      <c r="I148" s="103">
        <f>VLOOKUP($A148,'OI(Volume)'!$A$7:$O$445,9)</f>
        <v>205000</v>
      </c>
      <c r="J148" s="103">
        <f>VLOOKUP($A148,'OI(Volume)'!$A$7:$O$445,11)</f>
        <v>4548000</v>
      </c>
      <c r="K148" s="103">
        <f>VLOOKUP($A148,'OI(Volume)'!$A$7:$O$445,12)</f>
        <v>808000</v>
      </c>
      <c r="L148" s="103">
        <f>VLOOKUP($A148,'OI(Value)'!$A$7:$O$329,8,0)</f>
        <v>629</v>
      </c>
      <c r="M148" s="103">
        <f>VLOOKUP($A148,'OI(Value)'!$A$7:$O$329,9,0)</f>
        <v>31</v>
      </c>
      <c r="N148" s="103">
        <f>VLOOKUP($A148,'OI(Value)'!$A$7:$O$329,11,0)</f>
        <v>678</v>
      </c>
      <c r="O148" s="103">
        <f>VLOOKUP($A148,'OI(Value)'!$A$7:$O$329,12,0)</f>
        <v>120</v>
      </c>
      <c r="P148" s="179">
        <f>VLOOKUP(A148,'OI(Value)'!A148:O372,8,0)</f>
        <v>629</v>
      </c>
      <c r="Q148" s="179">
        <f>VLOOKUP(A148,'OI(Value)'!A148:O372,9,0)</f>
        <v>31</v>
      </c>
      <c r="R148" s="179">
        <f>VLOOKUP(A148,'OI(Value)'!A148:O372,11,0)</f>
        <v>678</v>
      </c>
      <c r="S148" s="179">
        <f>VLOOKUP(A148,'OI(Value)'!A148:O372,11,0)</f>
        <v>678</v>
      </c>
    </row>
    <row r="149" spans="1:19" x14ac:dyDescent="0.25">
      <c r="A149" s="105" t="str">
        <f>'Data Vlaue (Cr)'!C144</f>
        <v>NHPC</v>
      </c>
      <c r="B149" s="143">
        <f>VLOOKUP($A149,'Data shares'!$C:$FA,118)</f>
        <v>0.57999999999999996</v>
      </c>
      <c r="C149" s="143">
        <f>VLOOKUP($A149,'Data shares'!$C:$FA,119)</f>
        <v>0.56999999999999995</v>
      </c>
      <c r="D149" s="143">
        <f>VLOOKUP($A149,'Data shares'!$C:$FA,121)*100</f>
        <v>1.7500000000000002</v>
      </c>
      <c r="E149" s="143">
        <f>VLOOKUP($A149,'Data shares'!$C:$FA,124)</f>
        <v>0.25</v>
      </c>
      <c r="F149" s="143">
        <f>VLOOKUP($A149,'Data shares'!$C:$FA,125)</f>
        <v>0.3</v>
      </c>
      <c r="G149" s="143">
        <f>VLOOKUP($A149,'Data shares'!$C:$FA,127)*100</f>
        <v>-16.669999999999998</v>
      </c>
      <c r="H149" s="103">
        <f>VLOOKUP($A149,'OI(Volume)'!$A$7:$O$445,8)</f>
        <v>41305600</v>
      </c>
      <c r="I149" s="103">
        <f>VLOOKUP($A149,'OI(Volume)'!$A$7:$O$445,9)</f>
        <v>1792000</v>
      </c>
      <c r="J149" s="103">
        <f>VLOOKUP($A149,'OI(Volume)'!$A$7:$O$445,11)</f>
        <v>23942400</v>
      </c>
      <c r="K149" s="103">
        <f>VLOOKUP($A149,'OI(Volume)'!$A$7:$O$445,12)</f>
        <v>1459200</v>
      </c>
      <c r="L149" s="103">
        <f>VLOOKUP($A149,'OI(Value)'!$A$7:$O$329,8,0)</f>
        <v>343</v>
      </c>
      <c r="M149" s="103">
        <f>VLOOKUP($A149,'OI(Value)'!$A$7:$O$329,9,0)</f>
        <v>15</v>
      </c>
      <c r="N149" s="103">
        <f>VLOOKUP($A149,'OI(Value)'!$A$7:$O$329,11,0)</f>
        <v>199</v>
      </c>
      <c r="O149" s="103">
        <f>VLOOKUP($A149,'OI(Value)'!$A$7:$O$329,12,0)</f>
        <v>12</v>
      </c>
      <c r="P149" s="179">
        <f>VLOOKUP(A149,'OI(Value)'!A149:O373,8,0)</f>
        <v>343</v>
      </c>
      <c r="Q149" s="179">
        <f>VLOOKUP(A149,'OI(Value)'!A149:O373,9,0)</f>
        <v>15</v>
      </c>
      <c r="R149" s="179">
        <f>VLOOKUP(A149,'OI(Value)'!A149:O373,11,0)</f>
        <v>199</v>
      </c>
      <c r="S149" s="179">
        <f>VLOOKUP(A149,'OI(Value)'!A149:O373,11,0)</f>
        <v>199</v>
      </c>
    </row>
    <row r="150" spans="1:19" x14ac:dyDescent="0.25">
      <c r="A150" s="105" t="str">
        <f>'Data Vlaue (Cr)'!C145</f>
        <v>NIFTY</v>
      </c>
      <c r="B150" s="143">
        <f>VLOOKUP($A150,'Data shares'!$C:$FA,118)</f>
        <v>1.19</v>
      </c>
      <c r="C150" s="143">
        <f>VLOOKUP($A150,'Data shares'!$C:$FA,119)</f>
        <v>1.08</v>
      </c>
      <c r="D150" s="143">
        <f>VLOOKUP($A150,'Data shares'!$C:$FA,121)*100</f>
        <v>10.190000000000001</v>
      </c>
      <c r="E150" s="143">
        <f>VLOOKUP($A150,'Data shares'!$C:$FA,124)</f>
        <v>1.01</v>
      </c>
      <c r="F150" s="143">
        <f>VLOOKUP($A150,'Data shares'!$C:$FA,125)</f>
        <v>0.89</v>
      </c>
      <c r="G150" s="143">
        <f>VLOOKUP($A150,'Data shares'!$C:$FA,127)*100</f>
        <v>13.48</v>
      </c>
      <c r="H150" s="103">
        <f>VLOOKUP($A150,'OI(Volume)'!$A$7:$O$445,8)</f>
        <v>179240005</v>
      </c>
      <c r="I150" s="103">
        <f>VLOOKUP($A150,'OI(Volume)'!$A$7:$O$445,9)</f>
        <v>31988245</v>
      </c>
      <c r="J150" s="103">
        <f>VLOOKUP($A150,'OI(Volume)'!$A$7:$O$445,11)</f>
        <v>212634745</v>
      </c>
      <c r="K150" s="103">
        <f>VLOOKUP($A150,'OI(Volume)'!$A$7:$O$445,12)</f>
        <v>53791275</v>
      </c>
      <c r="L150" s="103">
        <f>VLOOKUP($A150,'OI(Value)'!$A$7:$O$329,8,0)</f>
        <v>438195</v>
      </c>
      <c r="M150" s="103">
        <f>VLOOKUP($A150,'OI(Value)'!$A$7:$O$329,9,0)</f>
        <v>78203</v>
      </c>
      <c r="N150" s="103">
        <f>VLOOKUP($A150,'OI(Value)'!$A$7:$O$329,11,0)</f>
        <v>519837</v>
      </c>
      <c r="O150" s="103">
        <f>VLOOKUP($A150,'OI(Value)'!$A$7:$O$329,12,0)</f>
        <v>131506</v>
      </c>
      <c r="P150" s="179">
        <f>VLOOKUP(A150,'OI(Value)'!A150:O374,8,0)</f>
        <v>438195</v>
      </c>
      <c r="Q150" s="179">
        <f>VLOOKUP(A150,'OI(Value)'!A150:O374,9,0)</f>
        <v>78203</v>
      </c>
      <c r="R150" s="179">
        <f>VLOOKUP(A150,'OI(Value)'!A150:O374,11,0)</f>
        <v>519837</v>
      </c>
      <c r="S150" s="179">
        <f>VLOOKUP(A150,'OI(Value)'!A150:O374,11,0)</f>
        <v>519837</v>
      </c>
    </row>
    <row r="151" spans="1:19" x14ac:dyDescent="0.25">
      <c r="A151" s="105" t="str">
        <f>'Data Vlaue (Cr)'!C146</f>
        <v>NIFTYNXT50</v>
      </c>
      <c r="B151" s="143">
        <f>VLOOKUP($A151,'Data shares'!$C:$FA,118)</f>
        <v>0.11</v>
      </c>
      <c r="C151" s="143">
        <f>VLOOKUP($A151,'Data shares'!$C:$FA,119)</f>
        <v>0.1</v>
      </c>
      <c r="D151" s="143">
        <f>VLOOKUP($A151,'Data shares'!$C:$FA,121)*100</f>
        <v>10</v>
      </c>
      <c r="E151" s="143">
        <f>VLOOKUP($A151,'Data shares'!$C:$FA,124)</f>
        <v>0.06</v>
      </c>
      <c r="F151" s="143">
        <f>VLOOKUP($A151,'Data shares'!$C:$FA,125)</f>
        <v>0.04</v>
      </c>
      <c r="G151" s="143">
        <f>VLOOKUP($A151,'Data shares'!$C:$FA,127)*100</f>
        <v>50</v>
      </c>
      <c r="H151" s="103">
        <f>VLOOKUP($A151,'OI(Volume)'!$A$7:$O$445,8)</f>
        <v>3625</v>
      </c>
      <c r="I151" s="103">
        <f>VLOOKUP($A151,'OI(Volume)'!$A$7:$O$445,9)</f>
        <v>1550</v>
      </c>
      <c r="J151" s="103">
        <f>VLOOKUP($A151,'OI(Volume)'!$A$7:$O$445,11)</f>
        <v>400</v>
      </c>
      <c r="K151" s="103">
        <f>VLOOKUP($A151,'OI(Volume)'!$A$7:$O$445,12)</f>
        <v>200</v>
      </c>
      <c r="L151" s="103">
        <f>VLOOKUP($A151,'OI(Value)'!$A$7:$O$329,8,0)</f>
        <v>26</v>
      </c>
      <c r="M151" s="103">
        <f>VLOOKUP($A151,'OI(Value)'!$A$7:$O$329,9,0)</f>
        <v>11</v>
      </c>
      <c r="N151" s="103">
        <f>VLOOKUP($A151,'OI(Value)'!$A$7:$O$329,11,0)</f>
        <v>3</v>
      </c>
      <c r="O151" s="103">
        <f>VLOOKUP($A151,'OI(Value)'!$A$7:$O$329,12,0)</f>
        <v>1</v>
      </c>
      <c r="P151" s="179">
        <f>VLOOKUP(A151,'OI(Value)'!A151:O375,8,0)</f>
        <v>26</v>
      </c>
      <c r="Q151" s="179">
        <f>VLOOKUP(A151,'OI(Value)'!A151:O375,9,0)</f>
        <v>11</v>
      </c>
      <c r="R151" s="179">
        <f>VLOOKUP(A151,'OI(Value)'!A151:O375,11,0)</f>
        <v>3</v>
      </c>
      <c r="S151" s="179">
        <f>VLOOKUP(A151,'OI(Value)'!A151:O375,11,0)</f>
        <v>3</v>
      </c>
    </row>
    <row r="152" spans="1:19" x14ac:dyDescent="0.25">
      <c r="A152" s="105" t="str">
        <f>'Data Vlaue (Cr)'!C147</f>
        <v>NMDC</v>
      </c>
      <c r="B152" s="143">
        <f>VLOOKUP($A152,'Data shares'!$C:$FA,118)</f>
        <v>0.5</v>
      </c>
      <c r="C152" s="143">
        <f>VLOOKUP($A152,'Data shares'!$C:$FA,119)</f>
        <v>0.48</v>
      </c>
      <c r="D152" s="143">
        <f>VLOOKUP($A152,'Data shares'!$C:$FA,121)*100</f>
        <v>4.17</v>
      </c>
      <c r="E152" s="143">
        <f>VLOOKUP($A152,'Data shares'!$C:$FA,124)</f>
        <v>0.33</v>
      </c>
      <c r="F152" s="143">
        <f>VLOOKUP($A152,'Data shares'!$C:$FA,125)</f>
        <v>0.28999999999999998</v>
      </c>
      <c r="G152" s="143">
        <f>VLOOKUP($A152,'Data shares'!$C:$FA,127)*100</f>
        <v>13.79</v>
      </c>
      <c r="H152" s="103">
        <f>VLOOKUP($A152,'OI(Volume)'!$A$7:$O$445,8)</f>
        <v>72123750</v>
      </c>
      <c r="I152" s="103">
        <f>VLOOKUP($A152,'OI(Volume)'!$A$7:$O$445,9)</f>
        <v>1842750</v>
      </c>
      <c r="J152" s="103">
        <f>VLOOKUP($A152,'OI(Volume)'!$A$7:$O$445,11)</f>
        <v>35862750</v>
      </c>
      <c r="K152" s="103">
        <f>VLOOKUP($A152,'OI(Volume)'!$A$7:$O$445,12)</f>
        <v>1883250</v>
      </c>
      <c r="L152" s="103">
        <f>VLOOKUP($A152,'OI(Value)'!$A$7:$O$329,8,0)</f>
        <v>648</v>
      </c>
      <c r="M152" s="103">
        <f>VLOOKUP($A152,'OI(Value)'!$A$7:$O$329,9,0)</f>
        <v>17</v>
      </c>
      <c r="N152" s="103">
        <f>VLOOKUP($A152,'OI(Value)'!$A$7:$O$329,11,0)</f>
        <v>322</v>
      </c>
      <c r="O152" s="103">
        <f>VLOOKUP($A152,'OI(Value)'!$A$7:$O$329,12,0)</f>
        <v>17</v>
      </c>
      <c r="P152" s="179">
        <f>VLOOKUP(A152,'OI(Value)'!A152:O376,8,0)</f>
        <v>648</v>
      </c>
      <c r="Q152" s="179">
        <f>VLOOKUP(A152,'OI(Value)'!A152:O376,9,0)</f>
        <v>17</v>
      </c>
      <c r="R152" s="179">
        <f>VLOOKUP(A152,'OI(Value)'!A152:O376,11,0)</f>
        <v>322</v>
      </c>
      <c r="S152" s="179">
        <f>VLOOKUP(A152,'OI(Value)'!A152:O376,11,0)</f>
        <v>322</v>
      </c>
    </row>
    <row r="153" spans="1:19" x14ac:dyDescent="0.25">
      <c r="A153" s="105" t="str">
        <f>'Data Vlaue (Cr)'!C148</f>
        <v>NTPC</v>
      </c>
      <c r="B153" s="143">
        <f>VLOOKUP($A153,'Data shares'!$C:$FA,118)</f>
        <v>0.37</v>
      </c>
      <c r="C153" s="143">
        <f>VLOOKUP($A153,'Data shares'!$C:$FA,119)</f>
        <v>0.38</v>
      </c>
      <c r="D153" s="143">
        <f>VLOOKUP($A153,'Data shares'!$C:$FA,121)*100</f>
        <v>-2.63</v>
      </c>
      <c r="E153" s="143">
        <f>VLOOKUP($A153,'Data shares'!$C:$FA,124)</f>
        <v>0.35</v>
      </c>
      <c r="F153" s="143">
        <f>VLOOKUP($A153,'Data shares'!$C:$FA,125)</f>
        <v>0.25</v>
      </c>
      <c r="G153" s="143">
        <f>VLOOKUP($A153,'Data shares'!$C:$FA,127)*100</f>
        <v>40</v>
      </c>
      <c r="H153" s="103">
        <f>VLOOKUP($A153,'OI(Volume)'!$A$7:$O$445,8)</f>
        <v>42199500</v>
      </c>
      <c r="I153" s="103">
        <f>VLOOKUP($A153,'OI(Volume)'!$A$7:$O$445,9)</f>
        <v>3379500</v>
      </c>
      <c r="J153" s="103">
        <f>VLOOKUP($A153,'OI(Volume)'!$A$7:$O$445,11)</f>
        <v>15678000</v>
      </c>
      <c r="K153" s="103">
        <f>VLOOKUP($A153,'OI(Volume)'!$A$7:$O$445,12)</f>
        <v>876000</v>
      </c>
      <c r="L153" s="103">
        <f>VLOOKUP($A153,'OI(Value)'!$A$7:$O$329,8,0)</f>
        <v>1676</v>
      </c>
      <c r="M153" s="103">
        <f>VLOOKUP($A153,'OI(Value)'!$A$7:$O$329,9,0)</f>
        <v>134</v>
      </c>
      <c r="N153" s="103">
        <f>VLOOKUP($A153,'OI(Value)'!$A$7:$O$329,11,0)</f>
        <v>623</v>
      </c>
      <c r="O153" s="103">
        <f>VLOOKUP($A153,'OI(Value)'!$A$7:$O$329,12,0)</f>
        <v>35</v>
      </c>
      <c r="P153" s="179">
        <f>VLOOKUP(A153,'OI(Value)'!A153:O377,8,0)</f>
        <v>1676</v>
      </c>
      <c r="Q153" s="179">
        <f>VLOOKUP(A153,'OI(Value)'!A153:O377,9,0)</f>
        <v>134</v>
      </c>
      <c r="R153" s="179">
        <f>VLOOKUP(A153,'OI(Value)'!A153:O377,11,0)</f>
        <v>623</v>
      </c>
      <c r="S153" s="179">
        <f>VLOOKUP(A153,'OI(Value)'!A153:O377,11,0)</f>
        <v>623</v>
      </c>
    </row>
    <row r="154" spans="1:19" x14ac:dyDescent="0.25">
      <c r="A154" s="105" t="str">
        <f>'Data Vlaue (Cr)'!C149</f>
        <v>NUVAMA</v>
      </c>
      <c r="B154" s="143">
        <f>VLOOKUP($A154,'Data shares'!$C:$FA,118)</f>
        <v>0.62</v>
      </c>
      <c r="C154" s="143">
        <f>VLOOKUP($A154,'Data shares'!$C:$FA,119)</f>
        <v>0.5</v>
      </c>
      <c r="D154" s="143">
        <f>VLOOKUP($A154,'Data shares'!$C:$FA,121)*100</f>
        <v>24</v>
      </c>
      <c r="E154" s="143">
        <f>VLOOKUP($A154,'Data shares'!$C:$FA,124)</f>
        <v>0.41</v>
      </c>
      <c r="F154" s="143">
        <f>VLOOKUP($A154,'Data shares'!$C:$FA,125)</f>
        <v>0.21</v>
      </c>
      <c r="G154" s="143">
        <f>VLOOKUP($A154,'Data shares'!$C:$FA,127)*100</f>
        <v>95.240000000000009</v>
      </c>
      <c r="H154" s="103">
        <f>VLOOKUP($A154,'OI(Volume)'!$A$7:$O$445,8)</f>
        <v>810500</v>
      </c>
      <c r="I154" s="103">
        <f>VLOOKUP($A154,'OI(Volume)'!$A$7:$O$445,9)</f>
        <v>114500</v>
      </c>
      <c r="J154" s="103">
        <f>VLOOKUP($A154,'OI(Volume)'!$A$7:$O$445,11)</f>
        <v>506500</v>
      </c>
      <c r="K154" s="103">
        <f>VLOOKUP($A154,'OI(Volume)'!$A$7:$O$445,12)</f>
        <v>156000</v>
      </c>
      <c r="L154" s="103">
        <f>VLOOKUP($A154,'OI(Value)'!$A$7:$O$329,8,0)</f>
        <v>114</v>
      </c>
      <c r="M154" s="103">
        <f>VLOOKUP($A154,'OI(Value)'!$A$7:$O$329,9,0)</f>
        <v>16</v>
      </c>
      <c r="N154" s="103">
        <f>VLOOKUP($A154,'OI(Value)'!$A$7:$O$329,11,0)</f>
        <v>71</v>
      </c>
      <c r="O154" s="103">
        <f>VLOOKUP($A154,'OI(Value)'!$A$7:$O$329,12,0)</f>
        <v>22</v>
      </c>
      <c r="P154" s="179">
        <f>VLOOKUP(A154,'OI(Value)'!A154:O378,8,0)</f>
        <v>114</v>
      </c>
      <c r="Q154" s="179">
        <f>VLOOKUP(A154,'OI(Value)'!A154:O378,9,0)</f>
        <v>16</v>
      </c>
      <c r="R154" s="179">
        <f>VLOOKUP(A154,'OI(Value)'!A154:O378,11,0)</f>
        <v>71</v>
      </c>
      <c r="S154" s="179">
        <f>VLOOKUP(A154,'OI(Value)'!A154:O378,11,0)</f>
        <v>71</v>
      </c>
    </row>
    <row r="155" spans="1:19" x14ac:dyDescent="0.25">
      <c r="A155" s="105" t="str">
        <f>'Data Vlaue (Cr)'!C150</f>
        <v>NYKAA</v>
      </c>
      <c r="B155" s="143">
        <f>VLOOKUP($A155,'Data shares'!$C:$FA,118)</f>
        <v>0.51</v>
      </c>
      <c r="C155" s="143">
        <f>VLOOKUP($A155,'Data shares'!$C:$FA,119)</f>
        <v>0.55000000000000004</v>
      </c>
      <c r="D155" s="143">
        <f>VLOOKUP($A155,'Data shares'!$C:$FA,121)*100</f>
        <v>-7.2700000000000005</v>
      </c>
      <c r="E155" s="143">
        <f>VLOOKUP($A155,'Data shares'!$C:$FA,124)</f>
        <v>0.21</v>
      </c>
      <c r="F155" s="143">
        <f>VLOOKUP($A155,'Data shares'!$C:$FA,125)</f>
        <v>0.28000000000000003</v>
      </c>
      <c r="G155" s="143">
        <f>VLOOKUP($A155,'Data shares'!$C:$FA,127)*100</f>
        <v>-25</v>
      </c>
      <c r="H155" s="103">
        <f>VLOOKUP($A155,'OI(Volume)'!$A$7:$O$445,8)</f>
        <v>6940625</v>
      </c>
      <c r="I155" s="103">
        <f>VLOOKUP($A155,'OI(Volume)'!$A$7:$O$445,9)</f>
        <v>1268750</v>
      </c>
      <c r="J155" s="103">
        <f>VLOOKUP($A155,'OI(Volume)'!$A$7:$O$445,11)</f>
        <v>3553125</v>
      </c>
      <c r="K155" s="103">
        <f>VLOOKUP($A155,'OI(Volume)'!$A$7:$O$445,12)</f>
        <v>456250</v>
      </c>
      <c r="L155" s="103">
        <f>VLOOKUP($A155,'OI(Value)'!$A$7:$O$329,8,0)</f>
        <v>190</v>
      </c>
      <c r="M155" s="103">
        <f>VLOOKUP($A155,'OI(Value)'!$A$7:$O$329,9,0)</f>
        <v>35</v>
      </c>
      <c r="N155" s="103">
        <f>VLOOKUP($A155,'OI(Value)'!$A$7:$O$329,11,0)</f>
        <v>97</v>
      </c>
      <c r="O155" s="103">
        <f>VLOOKUP($A155,'OI(Value)'!$A$7:$O$329,12,0)</f>
        <v>12</v>
      </c>
      <c r="P155" s="179">
        <f>VLOOKUP(A155,'OI(Value)'!A155:O379,8,0)</f>
        <v>190</v>
      </c>
      <c r="Q155" s="179">
        <f>VLOOKUP(A155,'OI(Value)'!A155:O379,9,0)</f>
        <v>35</v>
      </c>
      <c r="R155" s="179">
        <f>VLOOKUP(A155,'OI(Value)'!A155:O379,11,0)</f>
        <v>97</v>
      </c>
      <c r="S155" s="179">
        <f>VLOOKUP(A155,'OI(Value)'!A155:O379,11,0)</f>
        <v>97</v>
      </c>
    </row>
    <row r="156" spans="1:19" x14ac:dyDescent="0.25">
      <c r="A156" s="105" t="str">
        <f>'Data Vlaue (Cr)'!C151</f>
        <v>OBEROIRLTY</v>
      </c>
      <c r="B156" s="143">
        <f>VLOOKUP($A156,'Data shares'!$C:$FA,118)</f>
        <v>0.36</v>
      </c>
      <c r="C156" s="143">
        <f>VLOOKUP($A156,'Data shares'!$C:$FA,119)</f>
        <v>0.36</v>
      </c>
      <c r="D156" s="143">
        <f>VLOOKUP($A156,'Data shares'!$C:$FA,121)*100</f>
        <v>0</v>
      </c>
      <c r="E156" s="143">
        <f>VLOOKUP($A156,'Data shares'!$C:$FA,124)</f>
        <v>0.3</v>
      </c>
      <c r="F156" s="143">
        <f>VLOOKUP($A156,'Data shares'!$C:$FA,125)</f>
        <v>0.52</v>
      </c>
      <c r="G156" s="143">
        <f>VLOOKUP($A156,'Data shares'!$C:$FA,127)*100</f>
        <v>-42.309999999999995</v>
      </c>
      <c r="H156" s="103">
        <f>VLOOKUP($A156,'OI(Volume)'!$A$7:$O$445,8)</f>
        <v>1107750</v>
      </c>
      <c r="I156" s="103">
        <f>VLOOKUP($A156,'OI(Volume)'!$A$7:$O$445,9)</f>
        <v>95200</v>
      </c>
      <c r="J156" s="103">
        <f>VLOOKUP($A156,'OI(Volume)'!$A$7:$O$445,11)</f>
        <v>397250</v>
      </c>
      <c r="K156" s="103">
        <f>VLOOKUP($A156,'OI(Volume)'!$A$7:$O$445,12)</f>
        <v>36400</v>
      </c>
      <c r="L156" s="103">
        <f>VLOOKUP($A156,'OI(Value)'!$A$7:$O$329,8,0)</f>
        <v>186</v>
      </c>
      <c r="M156" s="103">
        <f>VLOOKUP($A156,'OI(Value)'!$A$7:$O$329,9,0)</f>
        <v>16</v>
      </c>
      <c r="N156" s="103">
        <f>VLOOKUP($A156,'OI(Value)'!$A$7:$O$329,11,0)</f>
        <v>67</v>
      </c>
      <c r="O156" s="103">
        <f>VLOOKUP($A156,'OI(Value)'!$A$7:$O$329,12,0)</f>
        <v>6</v>
      </c>
      <c r="P156" s="179">
        <f>VLOOKUP(A156,'OI(Value)'!A156:O380,8,0)</f>
        <v>186</v>
      </c>
      <c r="Q156" s="179">
        <f>VLOOKUP(A156,'OI(Value)'!A156:O380,9,0)</f>
        <v>16</v>
      </c>
      <c r="R156" s="179">
        <f>VLOOKUP(A156,'OI(Value)'!A156:O380,11,0)</f>
        <v>67</v>
      </c>
      <c r="S156" s="179">
        <f>VLOOKUP(A156,'OI(Value)'!A156:O380,11,0)</f>
        <v>67</v>
      </c>
    </row>
    <row r="157" spans="1:19" x14ac:dyDescent="0.25">
      <c r="A157" s="105" t="str">
        <f>'Data Vlaue (Cr)'!C152</f>
        <v>OFSS</v>
      </c>
      <c r="B157" s="143">
        <f>VLOOKUP($A157,'Data shares'!$C:$FA,118)</f>
        <v>1.1000000000000001</v>
      </c>
      <c r="C157" s="143">
        <f>VLOOKUP($A157,'Data shares'!$C:$FA,119)</f>
        <v>1.03</v>
      </c>
      <c r="D157" s="143">
        <f>VLOOKUP($A157,'Data shares'!$C:$FA,121)*100</f>
        <v>6.8000000000000007</v>
      </c>
      <c r="E157" s="143">
        <f>VLOOKUP($A157,'Data shares'!$C:$FA,124)</f>
        <v>1.76</v>
      </c>
      <c r="F157" s="143">
        <f>VLOOKUP($A157,'Data shares'!$C:$FA,125)</f>
        <v>0.73</v>
      </c>
      <c r="G157" s="143">
        <f>VLOOKUP($A157,'Data shares'!$C:$FA,127)*100</f>
        <v>141.1</v>
      </c>
      <c r="H157" s="103">
        <f>VLOOKUP($A157,'OI(Volume)'!$A$7:$O$445,8)</f>
        <v>637350</v>
      </c>
      <c r="I157" s="103">
        <f>VLOOKUP($A157,'OI(Volume)'!$A$7:$O$445,9)</f>
        <v>3075</v>
      </c>
      <c r="J157" s="103">
        <f>VLOOKUP($A157,'OI(Volume)'!$A$7:$O$445,11)</f>
        <v>698475</v>
      </c>
      <c r="K157" s="103">
        <f>VLOOKUP($A157,'OI(Volume)'!$A$7:$O$445,12)</f>
        <v>46125</v>
      </c>
      <c r="L157" s="103">
        <f>VLOOKUP($A157,'OI(Value)'!$A$7:$O$329,8,0)</f>
        <v>615</v>
      </c>
      <c r="M157" s="103">
        <f>VLOOKUP($A157,'OI(Value)'!$A$7:$O$329,9,0)</f>
        <v>3</v>
      </c>
      <c r="N157" s="103">
        <f>VLOOKUP($A157,'OI(Value)'!$A$7:$O$329,11,0)</f>
        <v>674</v>
      </c>
      <c r="O157" s="103">
        <f>VLOOKUP($A157,'OI(Value)'!$A$7:$O$329,12,0)</f>
        <v>44</v>
      </c>
      <c r="P157" s="179">
        <f>VLOOKUP(A157,'OI(Value)'!A157:O381,8,0)</f>
        <v>615</v>
      </c>
      <c r="Q157" s="179">
        <f>VLOOKUP(A157,'OI(Value)'!A157:O381,9,0)</f>
        <v>3</v>
      </c>
      <c r="R157" s="179">
        <f>VLOOKUP(A157,'OI(Value)'!A157:O381,11,0)</f>
        <v>674</v>
      </c>
      <c r="S157" s="179">
        <f>VLOOKUP(A157,'OI(Value)'!A157:O381,11,0)</f>
        <v>674</v>
      </c>
    </row>
    <row r="158" spans="1:19" x14ac:dyDescent="0.25">
      <c r="A158" s="105" t="str">
        <f>'Data Vlaue (Cr)'!C153</f>
        <v>OIL</v>
      </c>
      <c r="B158" s="143">
        <f>VLOOKUP($A158,'Data shares'!$C:$FA,118)</f>
        <v>0.45</v>
      </c>
      <c r="C158" s="143">
        <f>VLOOKUP($A158,'Data shares'!$C:$FA,119)</f>
        <v>0.52</v>
      </c>
      <c r="D158" s="143">
        <f>VLOOKUP($A158,'Data shares'!$C:$FA,121)*100</f>
        <v>-13.459999999999999</v>
      </c>
      <c r="E158" s="143">
        <f>VLOOKUP($A158,'Data shares'!$C:$FA,124)</f>
        <v>0.52</v>
      </c>
      <c r="F158" s="143">
        <f>VLOOKUP($A158,'Data shares'!$C:$FA,125)</f>
        <v>0.4</v>
      </c>
      <c r="G158" s="143">
        <f>VLOOKUP($A158,'Data shares'!$C:$FA,127)*100</f>
        <v>30</v>
      </c>
      <c r="H158" s="103">
        <f>VLOOKUP($A158,'OI(Volume)'!$A$7:$O$445,8)</f>
        <v>11859400</v>
      </c>
      <c r="I158" s="103">
        <f>VLOOKUP($A158,'OI(Volume)'!$A$7:$O$445,9)</f>
        <v>2549400</v>
      </c>
      <c r="J158" s="103">
        <f>VLOOKUP($A158,'OI(Volume)'!$A$7:$O$445,11)</f>
        <v>5335400</v>
      </c>
      <c r="K158" s="103">
        <f>VLOOKUP($A158,'OI(Volume)'!$A$7:$O$445,12)</f>
        <v>450800</v>
      </c>
      <c r="L158" s="103">
        <f>VLOOKUP($A158,'OI(Value)'!$A$7:$O$329,8,0)</f>
        <v>538</v>
      </c>
      <c r="M158" s="103">
        <f>VLOOKUP($A158,'OI(Value)'!$A$7:$O$329,9,0)</f>
        <v>116</v>
      </c>
      <c r="N158" s="103">
        <f>VLOOKUP($A158,'OI(Value)'!$A$7:$O$329,11,0)</f>
        <v>242</v>
      </c>
      <c r="O158" s="103">
        <f>VLOOKUP($A158,'OI(Value)'!$A$7:$O$329,12,0)</f>
        <v>20</v>
      </c>
      <c r="P158" s="179">
        <f>VLOOKUP(A158,'OI(Value)'!A158:O382,8,0)</f>
        <v>538</v>
      </c>
      <c r="Q158" s="179">
        <f>VLOOKUP(A158,'OI(Value)'!A158:O382,9,0)</f>
        <v>116</v>
      </c>
      <c r="R158" s="179">
        <f>VLOOKUP(A158,'OI(Value)'!A158:O382,11,0)</f>
        <v>242</v>
      </c>
      <c r="S158" s="179">
        <f>VLOOKUP(A158,'OI(Value)'!A158:O382,11,0)</f>
        <v>242</v>
      </c>
    </row>
    <row r="159" spans="1:19" x14ac:dyDescent="0.25">
      <c r="A159" s="105" t="str">
        <f>'Data Vlaue (Cr)'!C154</f>
        <v>ONGC</v>
      </c>
      <c r="B159" s="143">
        <f>VLOOKUP($A159,'Data shares'!$C:$FA,118)</f>
        <v>0.33</v>
      </c>
      <c r="C159" s="143">
        <f>VLOOKUP($A159,'Data shares'!$C:$FA,119)</f>
        <v>0.37</v>
      </c>
      <c r="D159" s="143">
        <f>VLOOKUP($A159,'Data shares'!$C:$FA,121)*100</f>
        <v>-10.81</v>
      </c>
      <c r="E159" s="143">
        <f>VLOOKUP($A159,'Data shares'!$C:$FA,124)</f>
        <v>0.41</v>
      </c>
      <c r="F159" s="143">
        <f>VLOOKUP($A159,'Data shares'!$C:$FA,125)</f>
        <v>0.34</v>
      </c>
      <c r="G159" s="143">
        <f>VLOOKUP($A159,'Data shares'!$C:$FA,127)*100</f>
        <v>20.59</v>
      </c>
      <c r="H159" s="103">
        <f>VLOOKUP($A159,'OI(Volume)'!$A$7:$O$445,8)</f>
        <v>57163500</v>
      </c>
      <c r="I159" s="103">
        <f>VLOOKUP($A159,'OI(Volume)'!$A$7:$O$445,9)</f>
        <v>10140750</v>
      </c>
      <c r="J159" s="103">
        <f>VLOOKUP($A159,'OI(Volume)'!$A$7:$O$445,11)</f>
        <v>18841500</v>
      </c>
      <c r="K159" s="103">
        <f>VLOOKUP($A159,'OI(Volume)'!$A$7:$O$445,12)</f>
        <v>1620000</v>
      </c>
      <c r="L159" s="103">
        <f>VLOOKUP($A159,'OI(Value)'!$A$7:$O$329,8,0)</f>
        <v>1616</v>
      </c>
      <c r="M159" s="103">
        <f>VLOOKUP($A159,'OI(Value)'!$A$7:$O$329,9,0)</f>
        <v>287</v>
      </c>
      <c r="N159" s="103">
        <f>VLOOKUP($A159,'OI(Value)'!$A$7:$O$329,11,0)</f>
        <v>533</v>
      </c>
      <c r="O159" s="103">
        <f>VLOOKUP($A159,'OI(Value)'!$A$7:$O$329,12,0)</f>
        <v>46</v>
      </c>
      <c r="P159" s="179">
        <f>VLOOKUP(A159,'OI(Value)'!A159:O383,8,0)</f>
        <v>1616</v>
      </c>
      <c r="Q159" s="179">
        <f>VLOOKUP(A159,'OI(Value)'!A159:O383,9,0)</f>
        <v>287</v>
      </c>
      <c r="R159" s="179">
        <f>VLOOKUP(A159,'OI(Value)'!A159:O383,11,0)</f>
        <v>533</v>
      </c>
      <c r="S159" s="179">
        <f>VLOOKUP(A159,'OI(Value)'!A159:O383,11,0)</f>
        <v>533</v>
      </c>
    </row>
    <row r="160" spans="1:19" x14ac:dyDescent="0.25">
      <c r="A160" s="105" t="str">
        <f>'Data Vlaue (Cr)'!C155</f>
        <v>PAGEIND</v>
      </c>
      <c r="B160" s="143">
        <f>VLOOKUP($A160,'Data shares'!$C:$FA,118)</f>
        <v>0.83</v>
      </c>
      <c r="C160" s="143">
        <f>VLOOKUP($A160,'Data shares'!$C:$FA,119)</f>
        <v>0.77</v>
      </c>
      <c r="D160" s="143">
        <f>VLOOKUP($A160,'Data shares'!$C:$FA,121)*100</f>
        <v>7.79</v>
      </c>
      <c r="E160" s="143">
        <f>VLOOKUP($A160,'Data shares'!$C:$FA,124)</f>
        <v>2.21</v>
      </c>
      <c r="F160" s="143">
        <f>VLOOKUP($A160,'Data shares'!$C:$FA,125)</f>
        <v>0.39</v>
      </c>
      <c r="G160" s="143">
        <f>VLOOKUP($A160,'Data shares'!$C:$FA,127)*100</f>
        <v>466.66999999999996</v>
      </c>
      <c r="H160" s="103">
        <f>VLOOKUP($A160,'OI(Volume)'!$A$7:$O$445,8)</f>
        <v>20400</v>
      </c>
      <c r="I160" s="103">
        <f>VLOOKUP($A160,'OI(Volume)'!$A$7:$O$445,9)</f>
        <v>-345</v>
      </c>
      <c r="J160" s="103">
        <f>VLOOKUP($A160,'OI(Volume)'!$A$7:$O$445,11)</f>
        <v>16905</v>
      </c>
      <c r="K160" s="103">
        <f>VLOOKUP($A160,'OI(Volume)'!$A$7:$O$445,12)</f>
        <v>1020</v>
      </c>
      <c r="L160" s="103">
        <f>VLOOKUP($A160,'OI(Value)'!$A$7:$O$329,8,0)</f>
        <v>77</v>
      </c>
      <c r="M160" s="103">
        <f>VLOOKUP($A160,'OI(Value)'!$A$7:$O$329,9,0)</f>
        <v>-1</v>
      </c>
      <c r="N160" s="103">
        <f>VLOOKUP($A160,'OI(Value)'!$A$7:$O$329,11,0)</f>
        <v>64</v>
      </c>
      <c r="O160" s="103">
        <f>VLOOKUP($A160,'OI(Value)'!$A$7:$O$329,12,0)</f>
        <v>4</v>
      </c>
      <c r="P160" s="179">
        <f>VLOOKUP(A160,'OI(Value)'!A160:O384,8,0)</f>
        <v>77</v>
      </c>
      <c r="Q160" s="179">
        <f>VLOOKUP(A160,'OI(Value)'!A160:O384,9,0)</f>
        <v>-1</v>
      </c>
      <c r="R160" s="179">
        <f>VLOOKUP(A160,'OI(Value)'!A160:O384,11,0)</f>
        <v>64</v>
      </c>
      <c r="S160" s="179">
        <f>VLOOKUP(A160,'OI(Value)'!A160:O384,11,0)</f>
        <v>64</v>
      </c>
    </row>
    <row r="161" spans="1:19" x14ac:dyDescent="0.25">
      <c r="A161" s="105" t="str">
        <f>'Data Vlaue (Cr)'!C156</f>
        <v>PATANJALI</v>
      </c>
      <c r="B161" s="143">
        <f>VLOOKUP($A161,'Data shares'!$C:$FA,118)</f>
        <v>0.62</v>
      </c>
      <c r="C161" s="143">
        <f>VLOOKUP($A161,'Data shares'!$C:$FA,119)</f>
        <v>0.6</v>
      </c>
      <c r="D161" s="143">
        <f>VLOOKUP($A161,'Data shares'!$C:$FA,121)*100</f>
        <v>3.3300000000000005</v>
      </c>
      <c r="E161" s="143">
        <f>VLOOKUP($A161,'Data shares'!$C:$FA,124)</f>
        <v>0.21</v>
      </c>
      <c r="F161" s="143">
        <f>VLOOKUP($A161,'Data shares'!$C:$FA,125)</f>
        <v>0.39</v>
      </c>
      <c r="G161" s="143">
        <f>VLOOKUP($A161,'Data shares'!$C:$FA,127)*100</f>
        <v>-46.150000000000006</v>
      </c>
      <c r="H161" s="103">
        <f>VLOOKUP($A161,'OI(Volume)'!$A$7:$O$445,8)</f>
        <v>4652100</v>
      </c>
      <c r="I161" s="103">
        <f>VLOOKUP($A161,'OI(Volume)'!$A$7:$O$445,9)</f>
        <v>-38700</v>
      </c>
      <c r="J161" s="103">
        <f>VLOOKUP($A161,'OI(Volume)'!$A$7:$O$445,11)</f>
        <v>2890800</v>
      </c>
      <c r="K161" s="103">
        <f>VLOOKUP($A161,'OI(Volume)'!$A$7:$O$445,12)</f>
        <v>81900</v>
      </c>
      <c r="L161" s="103">
        <f>VLOOKUP($A161,'OI(Value)'!$A$7:$O$329,8,0)</f>
        <v>215</v>
      </c>
      <c r="M161" s="103">
        <f>VLOOKUP($A161,'OI(Value)'!$A$7:$O$329,9,0)</f>
        <v>-2</v>
      </c>
      <c r="N161" s="103">
        <f>VLOOKUP($A161,'OI(Value)'!$A$7:$O$329,11,0)</f>
        <v>134</v>
      </c>
      <c r="O161" s="103">
        <f>VLOOKUP($A161,'OI(Value)'!$A$7:$O$329,12,0)</f>
        <v>4</v>
      </c>
      <c r="P161" s="179">
        <f>VLOOKUP(A161,'OI(Value)'!A161:O385,8,0)</f>
        <v>215</v>
      </c>
      <c r="Q161" s="179">
        <f>VLOOKUP(A161,'OI(Value)'!A161:O385,9,0)</f>
        <v>-2</v>
      </c>
      <c r="R161" s="179">
        <f>VLOOKUP(A161,'OI(Value)'!A161:O385,11,0)</f>
        <v>134</v>
      </c>
      <c r="S161" s="179">
        <f>VLOOKUP(A161,'OI(Value)'!A161:O385,11,0)</f>
        <v>134</v>
      </c>
    </row>
    <row r="162" spans="1:19" x14ac:dyDescent="0.25">
      <c r="A162" s="105" t="str">
        <f>'Data Vlaue (Cr)'!C157</f>
        <v>PAYTM</v>
      </c>
      <c r="B162" s="143">
        <f>VLOOKUP($A162,'Data shares'!$C:$FA,118)</f>
        <v>0.85</v>
      </c>
      <c r="C162" s="143">
        <f>VLOOKUP($A162,'Data shares'!$C:$FA,119)</f>
        <v>0.94</v>
      </c>
      <c r="D162" s="143">
        <f>VLOOKUP($A162,'Data shares'!$C:$FA,121)*100</f>
        <v>-9.5699999999999985</v>
      </c>
      <c r="E162" s="143">
        <f>VLOOKUP($A162,'Data shares'!$C:$FA,124)</f>
        <v>0.64</v>
      </c>
      <c r="F162" s="143">
        <f>VLOOKUP($A162,'Data shares'!$C:$FA,125)</f>
        <v>0.68</v>
      </c>
      <c r="G162" s="143">
        <f>VLOOKUP($A162,'Data shares'!$C:$FA,127)*100</f>
        <v>-5.88</v>
      </c>
      <c r="H162" s="103">
        <f>VLOOKUP($A162,'OI(Volume)'!$A$7:$O$445,8)</f>
        <v>6801225</v>
      </c>
      <c r="I162" s="103">
        <f>VLOOKUP($A162,'OI(Volume)'!$A$7:$O$445,9)</f>
        <v>1078075</v>
      </c>
      <c r="J162" s="103">
        <f>VLOOKUP($A162,'OI(Volume)'!$A$7:$O$445,11)</f>
        <v>5813775</v>
      </c>
      <c r="K162" s="103">
        <f>VLOOKUP($A162,'OI(Volume)'!$A$7:$O$445,12)</f>
        <v>429200</v>
      </c>
      <c r="L162" s="103">
        <f>VLOOKUP($A162,'OI(Value)'!$A$7:$O$329,8,0)</f>
        <v>760</v>
      </c>
      <c r="M162" s="103">
        <f>VLOOKUP($A162,'OI(Value)'!$A$7:$O$329,9,0)</f>
        <v>121</v>
      </c>
      <c r="N162" s="103">
        <f>VLOOKUP($A162,'OI(Value)'!$A$7:$O$329,11,0)</f>
        <v>650</v>
      </c>
      <c r="O162" s="103">
        <f>VLOOKUP($A162,'OI(Value)'!$A$7:$O$329,12,0)</f>
        <v>48</v>
      </c>
      <c r="P162" s="179">
        <f>VLOOKUP(A162,'OI(Value)'!A162:O386,8,0)</f>
        <v>760</v>
      </c>
      <c r="Q162" s="179">
        <f>VLOOKUP(A162,'OI(Value)'!A162:O386,9,0)</f>
        <v>121</v>
      </c>
      <c r="R162" s="179">
        <f>VLOOKUP(A162,'OI(Value)'!A162:O386,11,0)</f>
        <v>650</v>
      </c>
      <c r="S162" s="179">
        <f>VLOOKUP(A162,'OI(Value)'!A162:O386,11,0)</f>
        <v>650</v>
      </c>
    </row>
    <row r="163" spans="1:19" x14ac:dyDescent="0.25">
      <c r="A163" s="105" t="str">
        <f>'Data Vlaue (Cr)'!C158</f>
        <v>PERSISTENT</v>
      </c>
      <c r="B163" s="143">
        <f>VLOOKUP($A163,'Data shares'!$C:$FA,118)</f>
        <v>0.65</v>
      </c>
      <c r="C163" s="143">
        <f>VLOOKUP($A163,'Data shares'!$C:$FA,119)</f>
        <v>0.6</v>
      </c>
      <c r="D163" s="143">
        <f>VLOOKUP($A163,'Data shares'!$C:$FA,121)*100</f>
        <v>8.33</v>
      </c>
      <c r="E163" s="143">
        <f>VLOOKUP($A163,'Data shares'!$C:$FA,124)</f>
        <v>0.4</v>
      </c>
      <c r="F163" s="143">
        <f>VLOOKUP($A163,'Data shares'!$C:$FA,125)</f>
        <v>0.38</v>
      </c>
      <c r="G163" s="143">
        <f>VLOOKUP($A163,'Data shares'!$C:$FA,127)*100</f>
        <v>5.26</v>
      </c>
      <c r="H163" s="103">
        <f>VLOOKUP($A163,'OI(Volume)'!$A$7:$O$445,8)</f>
        <v>1414700</v>
      </c>
      <c r="I163" s="103">
        <f>VLOOKUP($A163,'OI(Volume)'!$A$7:$O$445,9)</f>
        <v>-126100</v>
      </c>
      <c r="J163" s="103">
        <f>VLOOKUP($A163,'OI(Volume)'!$A$7:$O$445,11)</f>
        <v>919600</v>
      </c>
      <c r="K163" s="103">
        <f>VLOOKUP($A163,'OI(Volume)'!$A$7:$O$445,12)</f>
        <v>1800</v>
      </c>
      <c r="L163" s="103">
        <f>VLOOKUP($A163,'OI(Value)'!$A$7:$O$329,8,0)</f>
        <v>713</v>
      </c>
      <c r="M163" s="103">
        <f>VLOOKUP($A163,'OI(Value)'!$A$7:$O$329,9,0)</f>
        <v>-64</v>
      </c>
      <c r="N163" s="103">
        <f>VLOOKUP($A163,'OI(Value)'!$A$7:$O$329,11,0)</f>
        <v>464</v>
      </c>
      <c r="O163" s="103">
        <f>VLOOKUP($A163,'OI(Value)'!$A$7:$O$329,12,0)</f>
        <v>1</v>
      </c>
      <c r="P163" s="179">
        <f>VLOOKUP(A163,'OI(Value)'!A163:O387,8,0)</f>
        <v>713</v>
      </c>
      <c r="Q163" s="179">
        <f>VLOOKUP(A163,'OI(Value)'!A163:O387,9,0)</f>
        <v>-64</v>
      </c>
      <c r="R163" s="179">
        <f>VLOOKUP(A163,'OI(Value)'!A163:O387,11,0)</f>
        <v>464</v>
      </c>
      <c r="S163" s="179">
        <f>VLOOKUP(A163,'OI(Value)'!A163:O387,11,0)</f>
        <v>464</v>
      </c>
    </row>
    <row r="164" spans="1:19" x14ac:dyDescent="0.25">
      <c r="A164" s="105" t="str">
        <f>'Data Vlaue (Cr)'!C159</f>
        <v>PETRONET</v>
      </c>
      <c r="B164" s="143">
        <f>VLOOKUP($A164,'Data shares'!$C:$FA,118)</f>
        <v>0.85</v>
      </c>
      <c r="C164" s="143">
        <f>VLOOKUP($A164,'Data shares'!$C:$FA,119)</f>
        <v>0.93</v>
      </c>
      <c r="D164" s="143">
        <f>VLOOKUP($A164,'Data shares'!$C:$FA,121)*100</f>
        <v>-8.6</v>
      </c>
      <c r="E164" s="143">
        <f>VLOOKUP($A164,'Data shares'!$C:$FA,124)</f>
        <v>0.28000000000000003</v>
      </c>
      <c r="F164" s="143">
        <f>VLOOKUP($A164,'Data shares'!$C:$FA,125)</f>
        <v>0.37</v>
      </c>
      <c r="G164" s="143">
        <f>VLOOKUP($A164,'Data shares'!$C:$FA,127)*100</f>
        <v>-24.32</v>
      </c>
      <c r="H164" s="103">
        <f>VLOOKUP($A164,'OI(Volume)'!$A$7:$O$445,8)</f>
        <v>12557100</v>
      </c>
      <c r="I164" s="103">
        <f>VLOOKUP($A164,'OI(Volume)'!$A$7:$O$445,9)</f>
        <v>1748000</v>
      </c>
      <c r="J164" s="103">
        <f>VLOOKUP($A164,'OI(Volume)'!$A$7:$O$445,11)</f>
        <v>10721700</v>
      </c>
      <c r="K164" s="103">
        <f>VLOOKUP($A164,'OI(Volume)'!$A$7:$O$445,12)</f>
        <v>693500</v>
      </c>
      <c r="L164" s="103">
        <f>VLOOKUP($A164,'OI(Value)'!$A$7:$O$329,8,0)</f>
        <v>357</v>
      </c>
      <c r="M164" s="103">
        <f>VLOOKUP($A164,'OI(Value)'!$A$7:$O$329,9,0)</f>
        <v>50</v>
      </c>
      <c r="N164" s="103">
        <f>VLOOKUP($A164,'OI(Value)'!$A$7:$O$329,11,0)</f>
        <v>305</v>
      </c>
      <c r="O164" s="103">
        <f>VLOOKUP($A164,'OI(Value)'!$A$7:$O$329,12,0)</f>
        <v>20</v>
      </c>
      <c r="P164" s="179">
        <f>VLOOKUP(A164,'OI(Value)'!A164:O388,8,0)</f>
        <v>357</v>
      </c>
      <c r="Q164" s="179">
        <f>VLOOKUP(A164,'OI(Value)'!A164:O388,9,0)</f>
        <v>50</v>
      </c>
      <c r="R164" s="179">
        <f>VLOOKUP(A164,'OI(Value)'!A164:O388,11,0)</f>
        <v>305</v>
      </c>
      <c r="S164" s="179">
        <f>VLOOKUP(A164,'OI(Value)'!A164:O388,11,0)</f>
        <v>305</v>
      </c>
    </row>
    <row r="165" spans="1:19" x14ac:dyDescent="0.25">
      <c r="A165" s="105" t="str">
        <f>'Data Vlaue (Cr)'!C160</f>
        <v>PFC</v>
      </c>
      <c r="B165" s="143">
        <f>VLOOKUP($A165,'Data shares'!$C:$FA,118)</f>
        <v>0.57999999999999996</v>
      </c>
      <c r="C165" s="143">
        <f>VLOOKUP($A165,'Data shares'!$C:$FA,119)</f>
        <v>0.57999999999999996</v>
      </c>
      <c r="D165" s="143">
        <f>VLOOKUP($A165,'Data shares'!$C:$FA,121)*100</f>
        <v>0</v>
      </c>
      <c r="E165" s="143">
        <f>VLOOKUP($A165,'Data shares'!$C:$FA,124)</f>
        <v>0.44</v>
      </c>
      <c r="F165" s="143">
        <f>VLOOKUP($A165,'Data shares'!$C:$FA,125)</f>
        <v>0.43</v>
      </c>
      <c r="G165" s="143">
        <f>VLOOKUP($A165,'Data shares'!$C:$FA,127)*100</f>
        <v>2.33</v>
      </c>
      <c r="H165" s="103">
        <f>VLOOKUP($A165,'OI(Volume)'!$A$7:$O$445,8)</f>
        <v>20449000</v>
      </c>
      <c r="I165" s="103">
        <f>VLOOKUP($A165,'OI(Volume)'!$A$7:$O$445,9)</f>
        <v>625300</v>
      </c>
      <c r="J165" s="103">
        <f>VLOOKUP($A165,'OI(Volume)'!$A$7:$O$445,11)</f>
        <v>11759800</v>
      </c>
      <c r="K165" s="103">
        <f>VLOOKUP($A165,'OI(Volume)'!$A$7:$O$445,12)</f>
        <v>182000</v>
      </c>
      <c r="L165" s="103">
        <f>VLOOKUP($A165,'OI(Value)'!$A$7:$O$329,8,0)</f>
        <v>954</v>
      </c>
      <c r="M165" s="103">
        <f>VLOOKUP($A165,'OI(Value)'!$A$7:$O$329,9,0)</f>
        <v>29</v>
      </c>
      <c r="N165" s="103">
        <f>VLOOKUP($A165,'OI(Value)'!$A$7:$O$329,11,0)</f>
        <v>548</v>
      </c>
      <c r="O165" s="103">
        <f>VLOOKUP($A165,'OI(Value)'!$A$7:$O$329,12,0)</f>
        <v>8</v>
      </c>
      <c r="P165" s="179">
        <f>VLOOKUP(A165,'OI(Value)'!A165:O389,8,0)</f>
        <v>954</v>
      </c>
      <c r="Q165" s="179">
        <f>VLOOKUP(A165,'OI(Value)'!A165:O389,9,0)</f>
        <v>29</v>
      </c>
      <c r="R165" s="179">
        <f>VLOOKUP(A165,'OI(Value)'!A165:O389,11,0)</f>
        <v>548</v>
      </c>
      <c r="S165" s="179">
        <f>VLOOKUP(A165,'OI(Value)'!A165:O389,11,0)</f>
        <v>548</v>
      </c>
    </row>
    <row r="166" spans="1:19" x14ac:dyDescent="0.25">
      <c r="A166" s="105" t="str">
        <f>'Data Vlaue (Cr)'!C161</f>
        <v>PGEL</v>
      </c>
      <c r="B166" s="143">
        <f>VLOOKUP($A166,'Data shares'!$C:$FA,118)</f>
        <v>0.83</v>
      </c>
      <c r="C166" s="143">
        <f>VLOOKUP($A166,'Data shares'!$C:$FA,119)</f>
        <v>0.87</v>
      </c>
      <c r="D166" s="143">
        <f>VLOOKUP($A166,'Data shares'!$C:$FA,121)*100</f>
        <v>-4.5999999999999996</v>
      </c>
      <c r="E166" s="143">
        <f>VLOOKUP($A166,'Data shares'!$C:$FA,124)</f>
        <v>0.44</v>
      </c>
      <c r="F166" s="143">
        <f>VLOOKUP($A166,'Data shares'!$C:$FA,125)</f>
        <v>0.33</v>
      </c>
      <c r="G166" s="143">
        <f>VLOOKUP($A166,'Data shares'!$C:$FA,127)*100</f>
        <v>33.33</v>
      </c>
      <c r="H166" s="103">
        <f>VLOOKUP($A166,'OI(Volume)'!$A$7:$O$445,8)</f>
        <v>4479250</v>
      </c>
      <c r="I166" s="103">
        <f>VLOOKUP($A166,'OI(Volume)'!$A$7:$O$445,9)</f>
        <v>241300</v>
      </c>
      <c r="J166" s="103">
        <f>VLOOKUP($A166,'OI(Volume)'!$A$7:$O$445,11)</f>
        <v>3705950</v>
      </c>
      <c r="K166" s="103">
        <f>VLOOKUP($A166,'OI(Volume)'!$A$7:$O$445,12)</f>
        <v>33250</v>
      </c>
      <c r="L166" s="103">
        <f>VLOOKUP($A166,'OI(Value)'!$A$7:$O$329,8,0)</f>
        <v>246</v>
      </c>
      <c r="M166" s="103">
        <f>VLOOKUP($A166,'OI(Value)'!$A$7:$O$329,9,0)</f>
        <v>13</v>
      </c>
      <c r="N166" s="103">
        <f>VLOOKUP($A166,'OI(Value)'!$A$7:$O$329,11,0)</f>
        <v>203</v>
      </c>
      <c r="O166" s="103">
        <f>VLOOKUP($A166,'OI(Value)'!$A$7:$O$329,12,0)</f>
        <v>2</v>
      </c>
      <c r="P166" s="179">
        <f>VLOOKUP(A166,'OI(Value)'!A166:O390,8,0)</f>
        <v>246</v>
      </c>
      <c r="Q166" s="179">
        <f>VLOOKUP(A166,'OI(Value)'!A166:O390,9,0)</f>
        <v>13</v>
      </c>
      <c r="R166" s="179">
        <f>VLOOKUP(A166,'OI(Value)'!A166:O390,11,0)</f>
        <v>203</v>
      </c>
      <c r="S166" s="179">
        <f>VLOOKUP(A166,'OI(Value)'!A166:O390,11,0)</f>
        <v>203</v>
      </c>
    </row>
    <row r="167" spans="1:19" x14ac:dyDescent="0.25">
      <c r="A167" s="105" t="str">
        <f>'Data Vlaue (Cr)'!C162</f>
        <v>PHOENIXLTD</v>
      </c>
      <c r="B167" s="143">
        <f>VLOOKUP($A167,'Data shares'!$C:$FA,118)</f>
        <v>0.62</v>
      </c>
      <c r="C167" s="143">
        <f>VLOOKUP($A167,'Data shares'!$C:$FA,119)</f>
        <v>0.67</v>
      </c>
      <c r="D167" s="143">
        <f>VLOOKUP($A167,'Data shares'!$C:$FA,121)*100</f>
        <v>-7.46</v>
      </c>
      <c r="E167" s="143">
        <f>VLOOKUP($A167,'Data shares'!$C:$FA,124)</f>
        <v>0.28999999999999998</v>
      </c>
      <c r="F167" s="143">
        <f>VLOOKUP($A167,'Data shares'!$C:$FA,125)</f>
        <v>0.48</v>
      </c>
      <c r="G167" s="143">
        <f>VLOOKUP($A167,'Data shares'!$C:$FA,127)*100</f>
        <v>-39.58</v>
      </c>
      <c r="H167" s="103">
        <f>VLOOKUP($A167,'OI(Volume)'!$A$7:$O$445,8)</f>
        <v>1066800</v>
      </c>
      <c r="I167" s="103">
        <f>VLOOKUP($A167,'OI(Volume)'!$A$7:$O$445,9)</f>
        <v>40250</v>
      </c>
      <c r="J167" s="103">
        <f>VLOOKUP($A167,'OI(Volume)'!$A$7:$O$445,11)</f>
        <v>656250</v>
      </c>
      <c r="K167" s="103">
        <f>VLOOKUP($A167,'OI(Volume)'!$A$7:$O$445,12)</f>
        <v>-31500</v>
      </c>
      <c r="L167" s="103">
        <f>VLOOKUP($A167,'OI(Value)'!$A$7:$O$329,8,0)</f>
        <v>197</v>
      </c>
      <c r="M167" s="103">
        <f>VLOOKUP($A167,'OI(Value)'!$A$7:$O$329,9,0)</f>
        <v>7</v>
      </c>
      <c r="N167" s="103">
        <f>VLOOKUP($A167,'OI(Value)'!$A$7:$O$329,11,0)</f>
        <v>121</v>
      </c>
      <c r="O167" s="103">
        <f>VLOOKUP($A167,'OI(Value)'!$A$7:$O$329,12,0)</f>
        <v>-6</v>
      </c>
      <c r="P167" s="179">
        <f>VLOOKUP(A167,'OI(Value)'!A167:O391,8,0)</f>
        <v>197</v>
      </c>
      <c r="Q167" s="179">
        <f>VLOOKUP(A167,'OI(Value)'!A167:O391,9,0)</f>
        <v>7</v>
      </c>
      <c r="R167" s="179">
        <f>VLOOKUP(A167,'OI(Value)'!A167:O391,11,0)</f>
        <v>121</v>
      </c>
      <c r="S167" s="179">
        <f>VLOOKUP(A167,'OI(Value)'!A167:O391,11,0)</f>
        <v>121</v>
      </c>
    </row>
    <row r="168" spans="1:19" x14ac:dyDescent="0.25">
      <c r="A168" s="105" t="str">
        <f>'Data Vlaue (Cr)'!C163</f>
        <v>PIDILITIND</v>
      </c>
      <c r="B168" s="143">
        <f>VLOOKUP($A168,'Data shares'!$C:$FA,118)</f>
        <v>0.56999999999999995</v>
      </c>
      <c r="C168" s="143">
        <f>VLOOKUP($A168,'Data shares'!$C:$FA,119)</f>
        <v>0.61</v>
      </c>
      <c r="D168" s="143">
        <f>VLOOKUP($A168,'Data shares'!$C:$FA,121)*100</f>
        <v>-6.5600000000000005</v>
      </c>
      <c r="E168" s="143">
        <f>VLOOKUP($A168,'Data shares'!$C:$FA,124)</f>
        <v>0.37</v>
      </c>
      <c r="F168" s="143">
        <f>VLOOKUP($A168,'Data shares'!$C:$FA,125)</f>
        <v>0.61</v>
      </c>
      <c r="G168" s="143">
        <f>VLOOKUP($A168,'Data shares'!$C:$FA,127)*100</f>
        <v>-39.340000000000003</v>
      </c>
      <c r="H168" s="103">
        <f>VLOOKUP($A168,'OI(Volume)'!$A$7:$O$445,8)</f>
        <v>1664000</v>
      </c>
      <c r="I168" s="103">
        <f>VLOOKUP($A168,'OI(Volume)'!$A$7:$O$445,9)</f>
        <v>404500</v>
      </c>
      <c r="J168" s="103">
        <f>VLOOKUP($A168,'OI(Volume)'!$A$7:$O$445,11)</f>
        <v>944500</v>
      </c>
      <c r="K168" s="103">
        <f>VLOOKUP($A168,'OI(Volume)'!$A$7:$O$445,12)</f>
        <v>182500</v>
      </c>
      <c r="L168" s="103">
        <f>VLOOKUP($A168,'OI(Value)'!$A$7:$O$329,8,0)</f>
        <v>238</v>
      </c>
      <c r="M168" s="103">
        <f>VLOOKUP($A168,'OI(Value)'!$A$7:$O$329,9,0)</f>
        <v>58</v>
      </c>
      <c r="N168" s="103">
        <f>VLOOKUP($A168,'OI(Value)'!$A$7:$O$329,11,0)</f>
        <v>135</v>
      </c>
      <c r="O168" s="103">
        <f>VLOOKUP($A168,'OI(Value)'!$A$7:$O$329,12,0)</f>
        <v>26</v>
      </c>
      <c r="P168" s="179">
        <f>VLOOKUP(A168,'OI(Value)'!A168:O392,8,0)</f>
        <v>238</v>
      </c>
      <c r="Q168" s="179">
        <f>VLOOKUP(A168,'OI(Value)'!A168:O392,9,0)</f>
        <v>58</v>
      </c>
      <c r="R168" s="179">
        <f>VLOOKUP(A168,'OI(Value)'!A168:O392,11,0)</f>
        <v>135</v>
      </c>
      <c r="S168" s="179">
        <f>VLOOKUP(A168,'OI(Value)'!A168:O392,11,0)</f>
        <v>135</v>
      </c>
    </row>
    <row r="169" spans="1:19" x14ac:dyDescent="0.25">
      <c r="A169" s="105" t="str">
        <f>'Data Vlaue (Cr)'!C164</f>
        <v>PIIND</v>
      </c>
      <c r="B169" s="143">
        <f>VLOOKUP($A169,'Data shares'!$C:$FA,118)</f>
        <v>0.52</v>
      </c>
      <c r="C169" s="143">
        <f>VLOOKUP($A169,'Data shares'!$C:$FA,119)</f>
        <v>0.54</v>
      </c>
      <c r="D169" s="143">
        <f>VLOOKUP($A169,'Data shares'!$C:$FA,121)*100</f>
        <v>-3.6999999999999997</v>
      </c>
      <c r="E169" s="143">
        <f>VLOOKUP($A169,'Data shares'!$C:$FA,124)</f>
        <v>0.28000000000000003</v>
      </c>
      <c r="F169" s="143">
        <f>VLOOKUP($A169,'Data shares'!$C:$FA,125)</f>
        <v>0.31</v>
      </c>
      <c r="G169" s="143">
        <f>VLOOKUP($A169,'Data shares'!$C:$FA,127)*100</f>
        <v>-9.68</v>
      </c>
      <c r="H169" s="103">
        <f>VLOOKUP($A169,'OI(Volume)'!$A$7:$O$445,8)</f>
        <v>994350</v>
      </c>
      <c r="I169" s="103">
        <f>VLOOKUP($A169,'OI(Volume)'!$A$7:$O$445,9)</f>
        <v>10150</v>
      </c>
      <c r="J169" s="103">
        <f>VLOOKUP($A169,'OI(Volume)'!$A$7:$O$445,11)</f>
        <v>513275</v>
      </c>
      <c r="K169" s="103">
        <f>VLOOKUP($A169,'OI(Volume)'!$A$7:$O$445,12)</f>
        <v>-15575</v>
      </c>
      <c r="L169" s="103">
        <f>VLOOKUP($A169,'OI(Value)'!$A$7:$O$329,8,0)</f>
        <v>307</v>
      </c>
      <c r="M169" s="103">
        <f>VLOOKUP($A169,'OI(Value)'!$A$7:$O$329,9,0)</f>
        <v>3</v>
      </c>
      <c r="N169" s="103">
        <f>VLOOKUP($A169,'OI(Value)'!$A$7:$O$329,11,0)</f>
        <v>159</v>
      </c>
      <c r="O169" s="103">
        <f>VLOOKUP($A169,'OI(Value)'!$A$7:$O$329,12,0)</f>
        <v>-5</v>
      </c>
      <c r="P169" s="179">
        <f>VLOOKUP(A169,'OI(Value)'!A169:O393,8,0)</f>
        <v>307</v>
      </c>
      <c r="Q169" s="179">
        <f>VLOOKUP(A169,'OI(Value)'!A169:O393,9,0)</f>
        <v>3</v>
      </c>
      <c r="R169" s="179">
        <f>VLOOKUP(A169,'OI(Value)'!A169:O393,11,0)</f>
        <v>159</v>
      </c>
      <c r="S169" s="179">
        <f>VLOOKUP(A169,'OI(Value)'!A169:O393,11,0)</f>
        <v>159</v>
      </c>
    </row>
    <row r="170" spans="1:19" x14ac:dyDescent="0.25">
      <c r="A170" s="105" t="str">
        <f>'Data Vlaue (Cr)'!C165</f>
        <v>PNB</v>
      </c>
      <c r="B170" s="143">
        <f>VLOOKUP($A170,'Data shares'!$C:$FA,118)</f>
        <v>0.68</v>
      </c>
      <c r="C170" s="143">
        <f>VLOOKUP($A170,'Data shares'!$C:$FA,119)</f>
        <v>0.67</v>
      </c>
      <c r="D170" s="143">
        <f>VLOOKUP($A170,'Data shares'!$C:$FA,121)*100</f>
        <v>1.49</v>
      </c>
      <c r="E170" s="143">
        <f>VLOOKUP($A170,'Data shares'!$C:$FA,124)</f>
        <v>0.67</v>
      </c>
      <c r="F170" s="143">
        <f>VLOOKUP($A170,'Data shares'!$C:$FA,125)</f>
        <v>0.62</v>
      </c>
      <c r="G170" s="143">
        <f>VLOOKUP($A170,'Data shares'!$C:$FA,127)*100</f>
        <v>8.06</v>
      </c>
      <c r="H170" s="103">
        <f>VLOOKUP($A170,'OI(Volume)'!$A$7:$O$445,8)</f>
        <v>105928000</v>
      </c>
      <c r="I170" s="103">
        <f>VLOOKUP($A170,'OI(Volume)'!$A$7:$O$445,9)</f>
        <v>4064000</v>
      </c>
      <c r="J170" s="103">
        <f>VLOOKUP($A170,'OI(Volume)'!$A$7:$O$445,11)</f>
        <v>72488000</v>
      </c>
      <c r="K170" s="103">
        <f>VLOOKUP($A170,'OI(Volume)'!$A$7:$O$445,12)</f>
        <v>3912000</v>
      </c>
      <c r="L170" s="103">
        <f>VLOOKUP($A170,'OI(Value)'!$A$7:$O$329,8,0)</f>
        <v>1175</v>
      </c>
      <c r="M170" s="103">
        <f>VLOOKUP($A170,'OI(Value)'!$A$7:$O$329,9,0)</f>
        <v>45</v>
      </c>
      <c r="N170" s="103">
        <f>VLOOKUP($A170,'OI(Value)'!$A$7:$O$329,11,0)</f>
        <v>804</v>
      </c>
      <c r="O170" s="103">
        <f>VLOOKUP($A170,'OI(Value)'!$A$7:$O$329,12,0)</f>
        <v>43</v>
      </c>
      <c r="P170" s="179">
        <f>VLOOKUP(A170,'OI(Value)'!A170:O394,8,0)</f>
        <v>1175</v>
      </c>
      <c r="Q170" s="179">
        <f>VLOOKUP(A170,'OI(Value)'!A170:O394,9,0)</f>
        <v>45</v>
      </c>
      <c r="R170" s="179">
        <f>VLOOKUP(A170,'OI(Value)'!A170:O394,11,0)</f>
        <v>804</v>
      </c>
      <c r="S170" s="179">
        <f>VLOOKUP(A170,'OI(Value)'!A170:O394,11,0)</f>
        <v>804</v>
      </c>
    </row>
    <row r="171" spans="1:19" x14ac:dyDescent="0.25">
      <c r="A171" s="105" t="str">
        <f>'Data Vlaue (Cr)'!C166</f>
        <v>PNBHOUSING</v>
      </c>
      <c r="B171" s="143">
        <f>VLOOKUP($A171,'Data shares'!$C:$FA,118)</f>
        <v>0.59</v>
      </c>
      <c r="C171" s="143">
        <f>VLOOKUP($A171,'Data shares'!$C:$FA,119)</f>
        <v>0.64</v>
      </c>
      <c r="D171" s="143">
        <f>VLOOKUP($A171,'Data shares'!$C:$FA,121)*100</f>
        <v>-7.8100000000000005</v>
      </c>
      <c r="E171" s="143">
        <f>VLOOKUP($A171,'Data shares'!$C:$FA,124)</f>
        <v>0.26</v>
      </c>
      <c r="F171" s="143">
        <f>VLOOKUP($A171,'Data shares'!$C:$FA,125)</f>
        <v>0.33</v>
      </c>
      <c r="G171" s="143">
        <f>VLOOKUP($A171,'Data shares'!$C:$FA,127)*100</f>
        <v>-21.21</v>
      </c>
      <c r="H171" s="103">
        <f>VLOOKUP($A171,'OI(Volume)'!$A$7:$O$445,8)</f>
        <v>2245750</v>
      </c>
      <c r="I171" s="103">
        <f>VLOOKUP($A171,'OI(Volume)'!$A$7:$O$445,9)</f>
        <v>243100</v>
      </c>
      <c r="J171" s="103">
        <f>VLOOKUP($A171,'OI(Volume)'!$A$7:$O$445,11)</f>
        <v>1314950</v>
      </c>
      <c r="K171" s="103">
        <f>VLOOKUP($A171,'OI(Volume)'!$A$7:$O$445,12)</f>
        <v>28600</v>
      </c>
      <c r="L171" s="103">
        <f>VLOOKUP($A171,'OI(Value)'!$A$7:$O$329,8,0)</f>
        <v>240</v>
      </c>
      <c r="M171" s="103">
        <f>VLOOKUP($A171,'OI(Value)'!$A$7:$O$329,9,0)</f>
        <v>26</v>
      </c>
      <c r="N171" s="103">
        <f>VLOOKUP($A171,'OI(Value)'!$A$7:$O$329,11,0)</f>
        <v>141</v>
      </c>
      <c r="O171" s="103">
        <f>VLOOKUP($A171,'OI(Value)'!$A$7:$O$329,12,0)</f>
        <v>3</v>
      </c>
      <c r="P171" s="179">
        <f>VLOOKUP(A171,'OI(Value)'!A171:O395,8,0)</f>
        <v>240</v>
      </c>
      <c r="Q171" s="179">
        <f>VLOOKUP(A171,'OI(Value)'!A171:O395,9,0)</f>
        <v>26</v>
      </c>
      <c r="R171" s="179">
        <f>VLOOKUP(A171,'OI(Value)'!A171:O395,11,0)</f>
        <v>141</v>
      </c>
      <c r="S171" s="179">
        <f>VLOOKUP(A171,'OI(Value)'!A171:O395,11,0)</f>
        <v>141</v>
      </c>
    </row>
    <row r="172" spans="1:19" x14ac:dyDescent="0.25">
      <c r="A172" s="105" t="str">
        <f>'Data Vlaue (Cr)'!C167</f>
        <v>POLICYBZR</v>
      </c>
      <c r="B172" s="143">
        <f>VLOOKUP($A172,'Data shares'!$C:$FA,118)</f>
        <v>0.63</v>
      </c>
      <c r="C172" s="143">
        <f>VLOOKUP($A172,'Data shares'!$C:$FA,119)</f>
        <v>0.59</v>
      </c>
      <c r="D172" s="143">
        <f>VLOOKUP($A172,'Data shares'!$C:$FA,121)*100</f>
        <v>6.78</v>
      </c>
      <c r="E172" s="143">
        <f>VLOOKUP($A172,'Data shares'!$C:$FA,124)</f>
        <v>0.61</v>
      </c>
      <c r="F172" s="143">
        <f>VLOOKUP($A172,'Data shares'!$C:$FA,125)</f>
        <v>0.42</v>
      </c>
      <c r="G172" s="143">
        <f>VLOOKUP($A172,'Data shares'!$C:$FA,127)*100</f>
        <v>45.24</v>
      </c>
      <c r="H172" s="103">
        <f>VLOOKUP($A172,'OI(Volume)'!$A$7:$O$445,8)</f>
        <v>1681400</v>
      </c>
      <c r="I172" s="103">
        <f>VLOOKUP($A172,'OI(Volume)'!$A$7:$O$445,9)</f>
        <v>457450</v>
      </c>
      <c r="J172" s="103">
        <f>VLOOKUP($A172,'OI(Volume)'!$A$7:$O$445,11)</f>
        <v>1064700</v>
      </c>
      <c r="K172" s="103">
        <f>VLOOKUP($A172,'OI(Volume)'!$A$7:$O$445,12)</f>
        <v>343350</v>
      </c>
      <c r="L172" s="103">
        <f>VLOOKUP($A172,'OI(Value)'!$A$7:$O$329,8,0)</f>
        <v>288</v>
      </c>
      <c r="M172" s="103">
        <f>VLOOKUP($A172,'OI(Value)'!$A$7:$O$329,9,0)</f>
        <v>78</v>
      </c>
      <c r="N172" s="103">
        <f>VLOOKUP($A172,'OI(Value)'!$A$7:$O$329,11,0)</f>
        <v>183</v>
      </c>
      <c r="O172" s="103">
        <f>VLOOKUP($A172,'OI(Value)'!$A$7:$O$329,12,0)</f>
        <v>59</v>
      </c>
      <c r="P172" s="179">
        <f>VLOOKUP(A172,'OI(Value)'!A172:O396,8,0)</f>
        <v>288</v>
      </c>
      <c r="Q172" s="179">
        <f>VLOOKUP(A172,'OI(Value)'!A172:O396,9,0)</f>
        <v>78</v>
      </c>
      <c r="R172" s="179">
        <f>VLOOKUP(A172,'OI(Value)'!A172:O396,11,0)</f>
        <v>183</v>
      </c>
      <c r="S172" s="179">
        <f>VLOOKUP(A172,'OI(Value)'!A172:O396,11,0)</f>
        <v>183</v>
      </c>
    </row>
    <row r="173" spans="1:19" x14ac:dyDescent="0.25">
      <c r="A173" s="105" t="str">
        <f>'Data Vlaue (Cr)'!C168</f>
        <v>POLYCAB</v>
      </c>
      <c r="B173" s="143">
        <f>VLOOKUP($A173,'Data shares'!$C:$FA,118)</f>
        <v>1.0900000000000001</v>
      </c>
      <c r="C173" s="143">
        <f>VLOOKUP($A173,'Data shares'!$C:$FA,119)</f>
        <v>1.33</v>
      </c>
      <c r="D173" s="143">
        <f>VLOOKUP($A173,'Data shares'!$C:$FA,121)*100</f>
        <v>-18.05</v>
      </c>
      <c r="E173" s="143">
        <f>VLOOKUP($A173,'Data shares'!$C:$FA,124)</f>
        <v>0.62</v>
      </c>
      <c r="F173" s="143">
        <f>VLOOKUP($A173,'Data shares'!$C:$FA,125)</f>
        <v>0.53</v>
      </c>
      <c r="G173" s="143">
        <f>VLOOKUP($A173,'Data shares'!$C:$FA,127)*100</f>
        <v>16.98</v>
      </c>
      <c r="H173" s="103">
        <f>VLOOKUP($A173,'OI(Volume)'!$A$7:$O$445,8)</f>
        <v>1250875</v>
      </c>
      <c r="I173" s="103">
        <f>VLOOKUP($A173,'OI(Volume)'!$A$7:$O$445,9)</f>
        <v>354875</v>
      </c>
      <c r="J173" s="103">
        <f>VLOOKUP($A173,'OI(Volume)'!$A$7:$O$445,11)</f>
        <v>1362875</v>
      </c>
      <c r="K173" s="103">
        <f>VLOOKUP($A173,'OI(Volume)'!$A$7:$O$445,12)</f>
        <v>167625</v>
      </c>
      <c r="L173" s="103">
        <f>VLOOKUP($A173,'OI(Value)'!$A$7:$O$329,8,0)</f>
        <v>1060</v>
      </c>
      <c r="M173" s="103">
        <f>VLOOKUP($A173,'OI(Value)'!$A$7:$O$329,9,0)</f>
        <v>301</v>
      </c>
      <c r="N173" s="103">
        <f>VLOOKUP($A173,'OI(Value)'!$A$7:$O$329,11,0)</f>
        <v>1155</v>
      </c>
      <c r="O173" s="103">
        <f>VLOOKUP($A173,'OI(Value)'!$A$7:$O$329,12,0)</f>
        <v>142</v>
      </c>
    </row>
    <row r="174" spans="1:19" x14ac:dyDescent="0.25">
      <c r="A174" s="105" t="str">
        <f>'Data Vlaue (Cr)'!C169</f>
        <v>POWERGRID</v>
      </c>
      <c r="B174" s="143">
        <f>VLOOKUP($A174,'Data shares'!$C:$FA,118)</f>
        <v>0.5</v>
      </c>
      <c r="C174" s="143">
        <f>VLOOKUP($A174,'Data shares'!$C:$FA,119)</f>
        <v>0.53</v>
      </c>
      <c r="D174" s="143">
        <f>VLOOKUP($A174,'Data shares'!$C:$FA,121)*100</f>
        <v>-5.66</v>
      </c>
      <c r="E174" s="143">
        <f>VLOOKUP($A174,'Data shares'!$C:$FA,124)</f>
        <v>0.45</v>
      </c>
      <c r="F174" s="143">
        <f>VLOOKUP($A174,'Data shares'!$C:$FA,125)</f>
        <v>0.4</v>
      </c>
      <c r="G174" s="143">
        <f>VLOOKUP($A174,'Data shares'!$C:$FA,127)*100</f>
        <v>12.5</v>
      </c>
      <c r="H174" s="103">
        <f>VLOOKUP($A174,'OI(Volume)'!$A$7:$O$445,8)</f>
        <v>24183200</v>
      </c>
      <c r="I174" s="103">
        <f>VLOOKUP($A174,'OI(Volume)'!$A$7:$O$445,9)</f>
        <v>1430700</v>
      </c>
      <c r="J174" s="103">
        <f>VLOOKUP($A174,'OI(Volume)'!$A$7:$O$445,11)</f>
        <v>12051700</v>
      </c>
      <c r="K174" s="103">
        <f>VLOOKUP($A174,'OI(Volume)'!$A$7:$O$445,12)</f>
        <v>5700</v>
      </c>
      <c r="L174" s="103">
        <f>VLOOKUP($A174,'OI(Value)'!$A$7:$O$329,8,0)</f>
        <v>766</v>
      </c>
      <c r="M174" s="103">
        <f>VLOOKUP($A174,'OI(Value)'!$A$7:$O$329,9,0)</f>
        <v>45</v>
      </c>
      <c r="N174" s="103">
        <f>VLOOKUP($A174,'OI(Value)'!$A$7:$O$329,11,0)</f>
        <v>382</v>
      </c>
      <c r="O174" s="103">
        <f>VLOOKUP($A174,'OI(Value)'!$A$7:$O$329,12,0)</f>
        <v>0</v>
      </c>
    </row>
    <row r="175" spans="1:19" x14ac:dyDescent="0.25">
      <c r="A175" s="105" t="str">
        <f>'Data Vlaue (Cr)'!C170</f>
        <v>POWERINDIA</v>
      </c>
      <c r="B175" s="143">
        <f>VLOOKUP($A175,'Data shares'!$C:$FA,118)</f>
        <v>0.86</v>
      </c>
      <c r="C175" s="143">
        <f>VLOOKUP($A175,'Data shares'!$C:$FA,119)</f>
        <v>0.96</v>
      </c>
      <c r="D175" s="143">
        <f>VLOOKUP($A175,'Data shares'!$C:$FA,121)*100</f>
        <v>-10.42</v>
      </c>
      <c r="E175" s="143">
        <f>VLOOKUP($A175,'Data shares'!$C:$FA,124)</f>
        <v>1.4</v>
      </c>
      <c r="F175" s="143">
        <f>VLOOKUP($A175,'Data shares'!$C:$FA,125)</f>
        <v>2.42</v>
      </c>
      <c r="G175" s="143">
        <f>VLOOKUP($A175,'Data shares'!$C:$FA,127)*100</f>
        <v>-42.15</v>
      </c>
      <c r="H175" s="103">
        <f>VLOOKUP($A175,'OI(Volume)'!$A$7:$O$445,8)</f>
        <v>244750</v>
      </c>
      <c r="I175" s="103">
        <f>VLOOKUP($A175,'OI(Volume)'!$A$7:$O$445,9)</f>
        <v>17850</v>
      </c>
      <c r="J175" s="103">
        <f>VLOOKUP($A175,'OI(Volume)'!$A$7:$O$445,11)</f>
        <v>211700</v>
      </c>
      <c r="K175" s="103">
        <f>VLOOKUP($A175,'OI(Volume)'!$A$7:$O$445,12)</f>
        <v>-6200</v>
      </c>
      <c r="L175" s="103">
        <f>VLOOKUP($A175,'OI(Value)'!$A$7:$O$329,8,0)</f>
        <v>822</v>
      </c>
      <c r="M175" s="103">
        <f>VLOOKUP($A175,'OI(Value)'!$A$7:$O$329,9,0)</f>
        <v>60</v>
      </c>
      <c r="N175" s="103">
        <f>VLOOKUP($A175,'OI(Value)'!$A$7:$O$329,11,0)</f>
        <v>711</v>
      </c>
      <c r="O175" s="103">
        <f>VLOOKUP($A175,'OI(Value)'!$A$7:$O$329,12,0)</f>
        <v>-21</v>
      </c>
    </row>
    <row r="176" spans="1:19" x14ac:dyDescent="0.25">
      <c r="A176" s="105" t="str">
        <f>'Data Vlaue (Cr)'!C171</f>
        <v>PREMIERENE</v>
      </c>
      <c r="B176" s="143">
        <f>VLOOKUP($A176,'Data shares'!$C:$FA,118)</f>
        <v>0.89</v>
      </c>
      <c r="C176" s="143">
        <f>VLOOKUP($A176,'Data shares'!$C:$FA,119)</f>
        <v>0.96</v>
      </c>
      <c r="D176" s="143">
        <f>VLOOKUP($A176,'Data shares'!$C:$FA,121)*100</f>
        <v>-7.2900000000000009</v>
      </c>
      <c r="E176" s="143">
        <f>VLOOKUP($A176,'Data shares'!$C:$FA,124)</f>
        <v>0.55000000000000004</v>
      </c>
      <c r="F176" s="143">
        <f>VLOOKUP($A176,'Data shares'!$C:$FA,125)</f>
        <v>0.53</v>
      </c>
      <c r="G176" s="143">
        <f>VLOOKUP($A176,'Data shares'!$C:$FA,127)*100</f>
        <v>3.7699999999999996</v>
      </c>
      <c r="H176" s="103">
        <f>VLOOKUP($A176,'OI(Volume)'!$A$7:$O$445,8)</f>
        <v>2275850</v>
      </c>
      <c r="I176" s="103">
        <f>VLOOKUP($A176,'OI(Volume)'!$A$7:$O$445,9)</f>
        <v>263350</v>
      </c>
      <c r="J176" s="103">
        <f>VLOOKUP($A176,'OI(Volume)'!$A$7:$O$445,11)</f>
        <v>2036650</v>
      </c>
      <c r="K176" s="103">
        <f>VLOOKUP($A176,'OI(Volume)'!$A$7:$O$445,12)</f>
        <v>104650</v>
      </c>
      <c r="L176" s="103">
        <f>VLOOKUP($A176,'OI(Value)'!$A$7:$O$329,8,0)</f>
        <v>232</v>
      </c>
      <c r="M176" s="103">
        <f>VLOOKUP($A176,'OI(Value)'!$A$7:$O$329,9,0)</f>
        <v>27</v>
      </c>
      <c r="N176" s="103">
        <f>VLOOKUP($A176,'OI(Value)'!$A$7:$O$329,11,0)</f>
        <v>208</v>
      </c>
      <c r="O176" s="103">
        <f>VLOOKUP($A176,'OI(Value)'!$A$7:$O$329,12,0)</f>
        <v>11</v>
      </c>
    </row>
    <row r="177" spans="1:15" x14ac:dyDescent="0.25">
      <c r="A177" s="105" t="str">
        <f>'Data Vlaue (Cr)'!C172</f>
        <v>PRESTIGE</v>
      </c>
      <c r="B177" s="143">
        <f>VLOOKUP($A177,'Data shares'!$C:$FA,118)</f>
        <v>0.74</v>
      </c>
      <c r="C177" s="143">
        <f>VLOOKUP($A177,'Data shares'!$C:$FA,119)</f>
        <v>0.81</v>
      </c>
      <c r="D177" s="143">
        <f>VLOOKUP($A177,'Data shares'!$C:$FA,121)*100</f>
        <v>-8.64</v>
      </c>
      <c r="E177" s="143">
        <f>VLOOKUP($A177,'Data shares'!$C:$FA,124)</f>
        <v>0.25</v>
      </c>
      <c r="F177" s="143">
        <f>VLOOKUP($A177,'Data shares'!$C:$FA,125)</f>
        <v>0.49</v>
      </c>
      <c r="G177" s="143">
        <f>VLOOKUP($A177,'Data shares'!$C:$FA,127)*100</f>
        <v>-48.980000000000004</v>
      </c>
      <c r="H177" s="103">
        <f>VLOOKUP($A177,'OI(Volume)'!$A$7:$O$445,8)</f>
        <v>1062000</v>
      </c>
      <c r="I177" s="103">
        <f>VLOOKUP($A177,'OI(Volume)'!$A$7:$O$445,9)</f>
        <v>63900</v>
      </c>
      <c r="J177" s="103">
        <f>VLOOKUP($A177,'OI(Volume)'!$A$7:$O$445,11)</f>
        <v>789750</v>
      </c>
      <c r="K177" s="103">
        <f>VLOOKUP($A177,'OI(Volume)'!$A$7:$O$445,12)</f>
        <v>-19800</v>
      </c>
      <c r="L177" s="103">
        <f>VLOOKUP($A177,'OI(Value)'!$A$7:$O$329,8,0)</f>
        <v>156</v>
      </c>
      <c r="M177" s="103">
        <f>VLOOKUP($A177,'OI(Value)'!$A$7:$O$329,9,0)</f>
        <v>9</v>
      </c>
      <c r="N177" s="103">
        <f>VLOOKUP($A177,'OI(Value)'!$A$7:$O$329,11,0)</f>
        <v>116</v>
      </c>
      <c r="O177" s="103">
        <f>VLOOKUP($A177,'OI(Value)'!$A$7:$O$329,12,0)</f>
        <v>-3</v>
      </c>
    </row>
    <row r="178" spans="1:15" x14ac:dyDescent="0.25">
      <c r="A178" s="105" t="str">
        <f>'Data Vlaue (Cr)'!C173</f>
        <v>RBLBANK</v>
      </c>
      <c r="B178" s="143">
        <f>VLOOKUP($A178,'Data shares'!$C:$FA,118)</f>
        <v>0.76</v>
      </c>
      <c r="C178" s="143">
        <f>VLOOKUP($A178,'Data shares'!$C:$FA,119)</f>
        <v>0.73</v>
      </c>
      <c r="D178" s="143">
        <f>VLOOKUP($A178,'Data shares'!$C:$FA,121)*100</f>
        <v>4.1099999999999994</v>
      </c>
      <c r="E178" s="143">
        <f>VLOOKUP($A178,'Data shares'!$C:$FA,124)</f>
        <v>0.4</v>
      </c>
      <c r="F178" s="143">
        <f>VLOOKUP($A178,'Data shares'!$C:$FA,125)</f>
        <v>0.48</v>
      </c>
      <c r="G178" s="143">
        <f>VLOOKUP($A178,'Data shares'!$C:$FA,127)*100</f>
        <v>-16.669999999999998</v>
      </c>
      <c r="H178" s="103">
        <f>VLOOKUP($A178,'OI(Volume)'!$A$7:$O$445,8)</f>
        <v>19926300</v>
      </c>
      <c r="I178" s="103">
        <f>VLOOKUP($A178,'OI(Volume)'!$A$7:$O$445,9)</f>
        <v>292100</v>
      </c>
      <c r="J178" s="103">
        <f>VLOOKUP($A178,'OI(Volume)'!$A$7:$O$445,11)</f>
        <v>15087600</v>
      </c>
      <c r="K178" s="103">
        <f>VLOOKUP($A178,'OI(Volume)'!$A$7:$O$445,12)</f>
        <v>669925</v>
      </c>
      <c r="L178" s="103">
        <f>VLOOKUP($A178,'OI(Value)'!$A$7:$O$329,8,0)</f>
        <v>674</v>
      </c>
      <c r="M178" s="103">
        <f>VLOOKUP($A178,'OI(Value)'!$A$7:$O$329,9,0)</f>
        <v>10</v>
      </c>
      <c r="N178" s="103">
        <f>VLOOKUP($A178,'OI(Value)'!$A$7:$O$329,11,0)</f>
        <v>510</v>
      </c>
      <c r="O178" s="103">
        <f>VLOOKUP($A178,'OI(Value)'!$A$7:$O$329,12,0)</f>
        <v>23</v>
      </c>
    </row>
    <row r="179" spans="1:15" x14ac:dyDescent="0.25">
      <c r="A179" s="105" t="str">
        <f>'Data Vlaue (Cr)'!C174</f>
        <v>RECLTD</v>
      </c>
      <c r="B179" s="143">
        <f>VLOOKUP($A179,'Data shares'!$C:$FA,118)</f>
        <v>0.61</v>
      </c>
      <c r="C179" s="143">
        <f>VLOOKUP($A179,'Data shares'!$C:$FA,119)</f>
        <v>0.6</v>
      </c>
      <c r="D179" s="143">
        <f>VLOOKUP($A179,'Data shares'!$C:$FA,121)*100</f>
        <v>1.67</v>
      </c>
      <c r="E179" s="143">
        <f>VLOOKUP($A179,'Data shares'!$C:$FA,124)</f>
        <v>0.49</v>
      </c>
      <c r="F179" s="143">
        <f>VLOOKUP($A179,'Data shares'!$C:$FA,125)</f>
        <v>0.37</v>
      </c>
      <c r="G179" s="143">
        <f>VLOOKUP($A179,'Data shares'!$C:$FA,127)*100</f>
        <v>32.43</v>
      </c>
      <c r="H179" s="103">
        <f>VLOOKUP($A179,'OI(Volume)'!$A$7:$O$445,8)</f>
        <v>28649600</v>
      </c>
      <c r="I179" s="103">
        <f>VLOOKUP($A179,'OI(Volume)'!$A$7:$O$445,9)</f>
        <v>464800</v>
      </c>
      <c r="J179" s="103">
        <f>VLOOKUP($A179,'OI(Volume)'!$A$7:$O$445,11)</f>
        <v>17333575</v>
      </c>
      <c r="K179" s="103">
        <f>VLOOKUP($A179,'OI(Volume)'!$A$7:$O$445,12)</f>
        <v>544775</v>
      </c>
      <c r="L179" s="103">
        <f>VLOOKUP($A179,'OI(Value)'!$A$7:$O$329,8,0)</f>
        <v>1036</v>
      </c>
      <c r="M179" s="103">
        <f>VLOOKUP($A179,'OI(Value)'!$A$7:$O$329,9,0)</f>
        <v>17</v>
      </c>
      <c r="N179" s="103">
        <f>VLOOKUP($A179,'OI(Value)'!$A$7:$O$329,11,0)</f>
        <v>627</v>
      </c>
      <c r="O179" s="103">
        <f>VLOOKUP($A179,'OI(Value)'!$A$7:$O$329,12,0)</f>
        <v>20</v>
      </c>
    </row>
    <row r="180" spans="1:15" x14ac:dyDescent="0.25">
      <c r="A180" s="105" t="str">
        <f>'Data Vlaue (Cr)'!C175</f>
        <v>RELIANCE</v>
      </c>
      <c r="B180" s="143">
        <f>VLOOKUP($A180,'Data shares'!$C:$FA,118)</f>
        <v>0.72</v>
      </c>
      <c r="C180" s="143">
        <f>VLOOKUP($A180,'Data shares'!$C:$FA,119)</f>
        <v>0.93</v>
      </c>
      <c r="D180" s="143">
        <f>VLOOKUP($A180,'Data shares'!$C:$FA,121)*100</f>
        <v>-22.58</v>
      </c>
      <c r="E180" s="143">
        <f>VLOOKUP($A180,'Data shares'!$C:$FA,124)</f>
        <v>0.61</v>
      </c>
      <c r="F180" s="143">
        <f>VLOOKUP($A180,'Data shares'!$C:$FA,125)</f>
        <v>0.74</v>
      </c>
      <c r="G180" s="143">
        <f>VLOOKUP($A180,'Data shares'!$C:$FA,127)*100</f>
        <v>-17.57</v>
      </c>
      <c r="H180" s="103">
        <f>VLOOKUP($A180,'OI(Volume)'!$A$7:$O$445,8)</f>
        <v>48645000</v>
      </c>
      <c r="I180" s="103">
        <f>VLOOKUP($A180,'OI(Volume)'!$A$7:$O$445,9)</f>
        <v>8559000</v>
      </c>
      <c r="J180" s="103">
        <f>VLOOKUP($A180,'OI(Volume)'!$A$7:$O$445,11)</f>
        <v>35061500</v>
      </c>
      <c r="K180" s="103">
        <f>VLOOKUP($A180,'OI(Volume)'!$A$7:$O$445,12)</f>
        <v>-2022000</v>
      </c>
      <c r="L180" s="103">
        <f>VLOOKUP($A180,'OI(Value)'!$A$7:$O$329,8,0)</f>
        <v>7035</v>
      </c>
      <c r="M180" s="103">
        <f>VLOOKUP($A180,'OI(Value)'!$A$7:$O$329,9,0)</f>
        <v>1238</v>
      </c>
      <c r="N180" s="103">
        <f>VLOOKUP($A180,'OI(Value)'!$A$7:$O$329,11,0)</f>
        <v>5071</v>
      </c>
      <c r="O180" s="103">
        <f>VLOOKUP($A180,'OI(Value)'!$A$7:$O$329,12,0)</f>
        <v>-292</v>
      </c>
    </row>
    <row r="181" spans="1:15" x14ac:dyDescent="0.25">
      <c r="A181" s="105" t="str">
        <f>'Data Vlaue (Cr)'!C176</f>
        <v>RVNL</v>
      </c>
      <c r="B181" s="143">
        <f>VLOOKUP($A181,'Data shares'!$C:$FA,118)</f>
        <v>0.61</v>
      </c>
      <c r="C181" s="143">
        <f>VLOOKUP($A181,'Data shares'!$C:$FA,119)</f>
        <v>0.56999999999999995</v>
      </c>
      <c r="D181" s="143">
        <f>VLOOKUP($A181,'Data shares'!$C:$FA,121)*100</f>
        <v>7.02</v>
      </c>
      <c r="E181" s="143">
        <f>VLOOKUP($A181,'Data shares'!$C:$FA,124)</f>
        <v>0.19</v>
      </c>
      <c r="F181" s="143">
        <f>VLOOKUP($A181,'Data shares'!$C:$FA,125)</f>
        <v>0.25</v>
      </c>
      <c r="G181" s="143">
        <f>VLOOKUP($A181,'Data shares'!$C:$FA,127)*100</f>
        <v>-24</v>
      </c>
      <c r="H181" s="103">
        <f>VLOOKUP($A181,'OI(Volume)'!$A$7:$O$445,8)</f>
        <v>14223675</v>
      </c>
      <c r="I181" s="103">
        <f>VLOOKUP($A181,'OI(Volume)'!$A$7:$O$445,9)</f>
        <v>-611525</v>
      </c>
      <c r="J181" s="103">
        <f>VLOOKUP($A181,'OI(Volume)'!$A$7:$O$445,11)</f>
        <v>8691900</v>
      </c>
      <c r="K181" s="103">
        <f>VLOOKUP($A181,'OI(Volume)'!$A$7:$O$445,12)</f>
        <v>167000</v>
      </c>
      <c r="L181" s="103">
        <f>VLOOKUP($A181,'OI(Value)'!$A$7:$O$329,8,0)</f>
        <v>433</v>
      </c>
      <c r="M181" s="103">
        <f>VLOOKUP($A181,'OI(Value)'!$A$7:$O$329,9,0)</f>
        <v>-19</v>
      </c>
      <c r="N181" s="103">
        <f>VLOOKUP($A181,'OI(Value)'!$A$7:$O$329,11,0)</f>
        <v>264</v>
      </c>
      <c r="O181" s="103">
        <f>VLOOKUP($A181,'OI(Value)'!$A$7:$O$329,12,0)</f>
        <v>5</v>
      </c>
    </row>
    <row r="182" spans="1:15" x14ac:dyDescent="0.25">
      <c r="A182" s="105" t="str">
        <f>'Data Vlaue (Cr)'!C177</f>
        <v>SAIL</v>
      </c>
      <c r="B182" s="143">
        <f>VLOOKUP($A182,'Data shares'!$C:$FA,118)</f>
        <v>0.69</v>
      </c>
      <c r="C182" s="143">
        <f>VLOOKUP($A182,'Data shares'!$C:$FA,119)</f>
        <v>0.71</v>
      </c>
      <c r="D182" s="143">
        <f>VLOOKUP($A182,'Data shares'!$C:$FA,121)*100</f>
        <v>-2.82</v>
      </c>
      <c r="E182" s="143">
        <f>VLOOKUP($A182,'Data shares'!$C:$FA,124)</f>
        <v>0.44</v>
      </c>
      <c r="F182" s="143">
        <f>VLOOKUP($A182,'Data shares'!$C:$FA,125)</f>
        <v>0.43</v>
      </c>
      <c r="G182" s="143">
        <f>VLOOKUP($A182,'Data shares'!$C:$FA,127)*100</f>
        <v>2.33</v>
      </c>
      <c r="H182" s="103">
        <f>VLOOKUP($A182,'OI(Volume)'!$A$7:$O$445,8)</f>
        <v>7792600</v>
      </c>
      <c r="I182" s="103">
        <f>VLOOKUP($A182,'OI(Volume)'!$A$7:$O$445,9)</f>
        <v>225600</v>
      </c>
      <c r="J182" s="103">
        <f>VLOOKUP($A182,'OI(Volume)'!$A$7:$O$445,11)</f>
        <v>5405000</v>
      </c>
      <c r="K182" s="103">
        <f>VLOOKUP($A182,'OI(Volume)'!$A$7:$O$445,12)</f>
        <v>9400</v>
      </c>
      <c r="L182" s="103">
        <f>VLOOKUP($A182,'OI(Value)'!$A$7:$O$329,8,0)</f>
        <v>146</v>
      </c>
      <c r="M182" s="103">
        <f>VLOOKUP($A182,'OI(Value)'!$A$7:$O$329,9,0)</f>
        <v>4</v>
      </c>
      <c r="N182" s="103">
        <f>VLOOKUP($A182,'OI(Value)'!$A$7:$O$329,11,0)</f>
        <v>101</v>
      </c>
      <c r="O182" s="103">
        <f>VLOOKUP($A182,'OI(Value)'!$A$7:$O$329,12,0)</f>
        <v>0</v>
      </c>
    </row>
    <row r="183" spans="1:15" x14ac:dyDescent="0.25">
      <c r="A183" s="105" t="str">
        <f>'Data Vlaue (Cr)'!C178</f>
        <v>SAMMAANCAP</v>
      </c>
      <c r="B183" s="143">
        <f>VLOOKUP($A183,'Data shares'!$C:$FA,118)</f>
        <v>0.61</v>
      </c>
      <c r="C183" s="143">
        <f>VLOOKUP($A183,'Data shares'!$C:$FA,119)</f>
        <v>0.63</v>
      </c>
      <c r="D183" s="143">
        <f>VLOOKUP($A183,'Data shares'!$C:$FA,121)*100</f>
        <v>-3.17</v>
      </c>
      <c r="E183" s="143">
        <f>VLOOKUP($A183,'Data shares'!$C:$FA,124)</f>
        <v>0.19</v>
      </c>
      <c r="F183" s="143">
        <f>VLOOKUP($A183,'Data shares'!$C:$FA,125)</f>
        <v>0.26</v>
      </c>
      <c r="G183" s="143">
        <f>VLOOKUP($A183,'Data shares'!$C:$FA,127)*100</f>
        <v>-26.919999999999998</v>
      </c>
      <c r="H183" s="103">
        <f>VLOOKUP($A183,'OI(Volume)'!$A$7:$O$445,8)</f>
        <v>21590300</v>
      </c>
      <c r="I183" s="103">
        <f>VLOOKUP($A183,'OI(Volume)'!$A$7:$O$445,9)</f>
        <v>288100</v>
      </c>
      <c r="J183" s="103">
        <f>VLOOKUP($A183,'OI(Volume)'!$A$7:$O$445,11)</f>
        <v>13256900</v>
      </c>
      <c r="K183" s="103">
        <f>VLOOKUP($A183,'OI(Volume)'!$A$7:$O$445,12)</f>
        <v>-172000</v>
      </c>
      <c r="L183" s="103">
        <f>VLOOKUP($A183,'OI(Value)'!$A$7:$O$329,8,0)</f>
        <v>325</v>
      </c>
      <c r="M183" s="103">
        <f>VLOOKUP($A183,'OI(Value)'!$A$7:$O$329,9,0)</f>
        <v>4</v>
      </c>
      <c r="N183" s="103">
        <f>VLOOKUP($A183,'OI(Value)'!$A$7:$O$329,11,0)</f>
        <v>200</v>
      </c>
      <c r="O183" s="103">
        <f>VLOOKUP($A183,'OI(Value)'!$A$7:$O$329,12,0)</f>
        <v>-3</v>
      </c>
    </row>
    <row r="184" spans="1:15" x14ac:dyDescent="0.25">
      <c r="A184" s="105" t="str">
        <f>'Data Vlaue (Cr)'!C179</f>
        <v>SBICARD</v>
      </c>
      <c r="B184" s="143">
        <f>VLOOKUP($A184,'Data shares'!$C:$FA,118)</f>
        <v>0.65</v>
      </c>
      <c r="C184" s="143">
        <f>VLOOKUP($A184,'Data shares'!$C:$FA,119)</f>
        <v>0.59</v>
      </c>
      <c r="D184" s="143">
        <f>VLOOKUP($A184,'Data shares'!$C:$FA,121)*100</f>
        <v>10.17</v>
      </c>
      <c r="E184" s="143">
        <f>VLOOKUP($A184,'Data shares'!$C:$FA,124)</f>
        <v>0.57999999999999996</v>
      </c>
      <c r="F184" s="143">
        <f>VLOOKUP($A184,'Data shares'!$C:$FA,125)</f>
        <v>0.49</v>
      </c>
      <c r="G184" s="143">
        <f>VLOOKUP($A184,'Data shares'!$C:$FA,127)*100</f>
        <v>18.37</v>
      </c>
      <c r="H184" s="103">
        <f>VLOOKUP($A184,'OI(Volume)'!$A$7:$O$445,8)</f>
        <v>8828000</v>
      </c>
      <c r="I184" s="103">
        <f>VLOOKUP($A184,'OI(Volume)'!$A$7:$O$445,9)</f>
        <v>-126400</v>
      </c>
      <c r="J184" s="103">
        <f>VLOOKUP($A184,'OI(Volume)'!$A$7:$O$445,11)</f>
        <v>5696800</v>
      </c>
      <c r="K184" s="103">
        <f>VLOOKUP($A184,'OI(Volume)'!$A$7:$O$445,12)</f>
        <v>398400</v>
      </c>
      <c r="L184" s="103">
        <f>VLOOKUP($A184,'OI(Value)'!$A$7:$O$329,8,0)</f>
        <v>577</v>
      </c>
      <c r="M184" s="103">
        <f>VLOOKUP($A184,'OI(Value)'!$A$7:$O$329,9,0)</f>
        <v>-8</v>
      </c>
      <c r="N184" s="103">
        <f>VLOOKUP($A184,'OI(Value)'!$A$7:$O$329,11,0)</f>
        <v>373</v>
      </c>
      <c r="O184" s="103">
        <f>VLOOKUP($A184,'OI(Value)'!$A$7:$O$329,12,0)</f>
        <v>26</v>
      </c>
    </row>
    <row r="185" spans="1:15" x14ac:dyDescent="0.25">
      <c r="A185" s="105" t="str">
        <f>'Data Vlaue (Cr)'!C180</f>
        <v>SBILIFE</v>
      </c>
      <c r="B185" s="143">
        <f>VLOOKUP($A185,'Data shares'!$C:$FA,118)</f>
        <v>0.53</v>
      </c>
      <c r="C185" s="143">
        <f>VLOOKUP($A185,'Data shares'!$C:$FA,119)</f>
        <v>0.46</v>
      </c>
      <c r="D185" s="143">
        <f>VLOOKUP($A185,'Data shares'!$C:$FA,121)*100</f>
        <v>15.22</v>
      </c>
      <c r="E185" s="143">
        <f>VLOOKUP($A185,'Data shares'!$C:$FA,124)</f>
        <v>0.47</v>
      </c>
      <c r="F185" s="143">
        <f>VLOOKUP($A185,'Data shares'!$C:$FA,125)</f>
        <v>0.41</v>
      </c>
      <c r="G185" s="143">
        <f>VLOOKUP($A185,'Data shares'!$C:$FA,127)*100</f>
        <v>14.63</v>
      </c>
      <c r="H185" s="103">
        <f>VLOOKUP($A185,'OI(Volume)'!$A$7:$O$445,8)</f>
        <v>4016625</v>
      </c>
      <c r="I185" s="103">
        <f>VLOOKUP($A185,'OI(Volume)'!$A$7:$O$445,9)</f>
        <v>-231000</v>
      </c>
      <c r="J185" s="103">
        <f>VLOOKUP($A185,'OI(Volume)'!$A$7:$O$445,11)</f>
        <v>2110500</v>
      </c>
      <c r="K185" s="103">
        <f>VLOOKUP($A185,'OI(Volume)'!$A$7:$O$445,12)</f>
        <v>141750</v>
      </c>
      <c r="L185" s="103">
        <f>VLOOKUP($A185,'OI(Value)'!$A$7:$O$329,8,0)</f>
        <v>750</v>
      </c>
      <c r="M185" s="103">
        <f>VLOOKUP($A185,'OI(Value)'!$A$7:$O$329,9,0)</f>
        <v>-43</v>
      </c>
      <c r="N185" s="103">
        <f>VLOOKUP($A185,'OI(Value)'!$A$7:$O$329,11,0)</f>
        <v>394</v>
      </c>
      <c r="O185" s="103">
        <f>VLOOKUP($A185,'OI(Value)'!$A$7:$O$329,12,0)</f>
        <v>26</v>
      </c>
    </row>
    <row r="186" spans="1:15" x14ac:dyDescent="0.25">
      <c r="A186" s="105" t="str">
        <f>'Data Vlaue (Cr)'!C181</f>
        <v>SBIN</v>
      </c>
      <c r="B186" s="143">
        <f>VLOOKUP($A186,'Data shares'!$C:$FA,118)</f>
        <v>0.76</v>
      </c>
      <c r="C186" s="143">
        <f>VLOOKUP($A186,'Data shares'!$C:$FA,119)</f>
        <v>0.68</v>
      </c>
      <c r="D186" s="143">
        <f>VLOOKUP($A186,'Data shares'!$C:$FA,121)*100</f>
        <v>11.76</v>
      </c>
      <c r="E186" s="143">
        <f>VLOOKUP($A186,'Data shares'!$C:$FA,124)</f>
        <v>0.48</v>
      </c>
      <c r="F186" s="143">
        <f>VLOOKUP($A186,'Data shares'!$C:$FA,125)</f>
        <v>0.6</v>
      </c>
      <c r="G186" s="143">
        <f>VLOOKUP($A186,'Data shares'!$C:$FA,127)*100</f>
        <v>-20</v>
      </c>
      <c r="H186" s="103">
        <f>VLOOKUP($A186,'OI(Volume)'!$A$7:$O$445,8)</f>
        <v>33020250</v>
      </c>
      <c r="I186" s="103">
        <f>VLOOKUP($A186,'OI(Volume)'!$A$7:$O$445,9)</f>
        <v>-1868250</v>
      </c>
      <c r="J186" s="103">
        <f>VLOOKUP($A186,'OI(Volume)'!$A$7:$O$445,11)</f>
        <v>25122750</v>
      </c>
      <c r="K186" s="103">
        <f>VLOOKUP($A186,'OI(Volume)'!$A$7:$O$445,12)</f>
        <v>1239750</v>
      </c>
      <c r="L186" s="103">
        <f>VLOOKUP($A186,'OI(Value)'!$A$7:$O$329,8,0)</f>
        <v>3600</v>
      </c>
      <c r="M186" s="103">
        <f>VLOOKUP($A186,'OI(Value)'!$A$7:$O$329,9,0)</f>
        <v>-204</v>
      </c>
      <c r="N186" s="103">
        <f>VLOOKUP($A186,'OI(Value)'!$A$7:$O$329,11,0)</f>
        <v>2739</v>
      </c>
      <c r="O186" s="103">
        <f>VLOOKUP($A186,'OI(Value)'!$A$7:$O$329,12,0)</f>
        <v>135</v>
      </c>
    </row>
    <row r="187" spans="1:15" x14ac:dyDescent="0.25">
      <c r="A187" s="105" t="str">
        <f>'Data Vlaue (Cr)'!C182</f>
        <v>SHREECEM</v>
      </c>
      <c r="B187" s="143">
        <f>VLOOKUP($A187,'Data shares'!$C:$FA,118)</f>
        <v>0.87</v>
      </c>
      <c r="C187" s="143">
        <f>VLOOKUP($A187,'Data shares'!$C:$FA,119)</f>
        <v>0.88</v>
      </c>
      <c r="D187" s="143">
        <f>VLOOKUP($A187,'Data shares'!$C:$FA,121)*100</f>
        <v>-1.1400000000000001</v>
      </c>
      <c r="E187" s="143">
        <f>VLOOKUP($A187,'Data shares'!$C:$FA,124)</f>
        <v>0.48</v>
      </c>
      <c r="F187" s="143">
        <f>VLOOKUP($A187,'Data shares'!$C:$FA,125)</f>
        <v>0.3</v>
      </c>
      <c r="G187" s="143">
        <f>VLOOKUP($A187,'Data shares'!$C:$FA,127)*100</f>
        <v>60</v>
      </c>
      <c r="H187" s="103">
        <f>VLOOKUP($A187,'OI(Volume)'!$A$7:$O$445,8)</f>
        <v>57275</v>
      </c>
      <c r="I187" s="103">
        <f>VLOOKUP($A187,'OI(Volume)'!$A$7:$O$445,9)</f>
        <v>16900</v>
      </c>
      <c r="J187" s="103">
        <f>VLOOKUP($A187,'OI(Volume)'!$A$7:$O$445,11)</f>
        <v>49550</v>
      </c>
      <c r="K187" s="103">
        <f>VLOOKUP($A187,'OI(Volume)'!$A$7:$O$445,12)</f>
        <v>13900</v>
      </c>
      <c r="L187" s="103">
        <f>VLOOKUP($A187,'OI(Value)'!$A$7:$O$329,8,0)</f>
        <v>142</v>
      </c>
      <c r="M187" s="103">
        <f>VLOOKUP($A187,'OI(Value)'!$A$7:$O$329,9,0)</f>
        <v>42</v>
      </c>
      <c r="N187" s="103">
        <f>VLOOKUP($A187,'OI(Value)'!$A$7:$O$329,11,0)</f>
        <v>123</v>
      </c>
      <c r="O187" s="103">
        <f>VLOOKUP($A187,'OI(Value)'!$A$7:$O$329,12,0)</f>
        <v>34</v>
      </c>
    </row>
    <row r="188" spans="1:15" x14ac:dyDescent="0.25">
      <c r="A188" s="105" t="str">
        <f>'Data Vlaue (Cr)'!C183</f>
        <v>SHRIRAMFIN</v>
      </c>
      <c r="B188" s="143">
        <f>VLOOKUP($A188,'Data shares'!$C:$FA,118)</f>
        <v>0.59</v>
      </c>
      <c r="C188" s="143">
        <f>VLOOKUP($A188,'Data shares'!$C:$FA,119)</f>
        <v>0.49</v>
      </c>
      <c r="D188" s="143">
        <f>VLOOKUP($A188,'Data shares'!$C:$FA,121)*100</f>
        <v>20.41</v>
      </c>
      <c r="E188" s="143">
        <f>VLOOKUP($A188,'Data shares'!$C:$FA,124)</f>
        <v>0.53</v>
      </c>
      <c r="F188" s="143">
        <f>VLOOKUP($A188,'Data shares'!$C:$FA,125)</f>
        <v>0.56000000000000005</v>
      </c>
      <c r="G188" s="143">
        <f>VLOOKUP($A188,'Data shares'!$C:$FA,127)*100</f>
        <v>-5.36</v>
      </c>
      <c r="H188" s="103">
        <f>VLOOKUP($A188,'OI(Volume)'!$A$7:$O$445,8)</f>
        <v>16006650</v>
      </c>
      <c r="I188" s="103">
        <f>VLOOKUP($A188,'OI(Volume)'!$A$7:$O$445,9)</f>
        <v>-2696100</v>
      </c>
      <c r="J188" s="103">
        <f>VLOOKUP($A188,'OI(Volume)'!$A$7:$O$445,11)</f>
        <v>9428100</v>
      </c>
      <c r="K188" s="103">
        <f>VLOOKUP($A188,'OI(Volume)'!$A$7:$O$445,12)</f>
        <v>330825</v>
      </c>
      <c r="L188" s="103">
        <f>VLOOKUP($A188,'OI(Value)'!$A$7:$O$329,8,0)</f>
        <v>1617</v>
      </c>
      <c r="M188" s="103">
        <f>VLOOKUP($A188,'OI(Value)'!$A$7:$O$329,9,0)</f>
        <v>-272</v>
      </c>
      <c r="N188" s="103">
        <f>VLOOKUP($A188,'OI(Value)'!$A$7:$O$329,11,0)</f>
        <v>953</v>
      </c>
      <c r="O188" s="103">
        <f>VLOOKUP($A188,'OI(Value)'!$A$7:$O$329,12,0)</f>
        <v>33</v>
      </c>
    </row>
    <row r="189" spans="1:15" x14ac:dyDescent="0.25">
      <c r="A189" s="105" t="str">
        <f>'Data Vlaue (Cr)'!C184</f>
        <v>SIEMENS</v>
      </c>
      <c r="B189" s="143">
        <f>VLOOKUP($A189,'Data shares'!$C:$FA,118)</f>
        <v>0.5</v>
      </c>
      <c r="C189" s="143">
        <f>VLOOKUP($A189,'Data shares'!$C:$FA,119)</f>
        <v>0.52</v>
      </c>
      <c r="D189" s="143">
        <f>VLOOKUP($A189,'Data shares'!$C:$FA,121)*100</f>
        <v>-3.85</v>
      </c>
      <c r="E189" s="143">
        <f>VLOOKUP($A189,'Data shares'!$C:$FA,124)</f>
        <v>0.45</v>
      </c>
      <c r="F189" s="143">
        <f>VLOOKUP($A189,'Data shares'!$C:$FA,125)</f>
        <v>0.35</v>
      </c>
      <c r="G189" s="143">
        <f>VLOOKUP($A189,'Data shares'!$C:$FA,127)*100</f>
        <v>28.57</v>
      </c>
      <c r="H189" s="103">
        <f>VLOOKUP($A189,'OI(Volume)'!$A$7:$O$445,8)</f>
        <v>1048600</v>
      </c>
      <c r="I189" s="103">
        <f>VLOOKUP($A189,'OI(Volume)'!$A$7:$O$445,9)</f>
        <v>14525</v>
      </c>
      <c r="J189" s="103">
        <f>VLOOKUP($A189,'OI(Volume)'!$A$7:$O$445,11)</f>
        <v>527450</v>
      </c>
      <c r="K189" s="103">
        <f>VLOOKUP($A189,'OI(Volume)'!$A$7:$O$445,12)</f>
        <v>-14175</v>
      </c>
      <c r="L189" s="103">
        <f>VLOOKUP($A189,'OI(Value)'!$A$7:$O$329,8,0)</f>
        <v>403</v>
      </c>
      <c r="M189" s="103">
        <f>VLOOKUP($A189,'OI(Value)'!$A$7:$O$329,9,0)</f>
        <v>6</v>
      </c>
      <c r="N189" s="103">
        <f>VLOOKUP($A189,'OI(Value)'!$A$7:$O$329,11,0)</f>
        <v>203</v>
      </c>
      <c r="O189" s="103">
        <f>VLOOKUP($A189,'OI(Value)'!$A$7:$O$329,12,0)</f>
        <v>-5</v>
      </c>
    </row>
    <row r="190" spans="1:15" x14ac:dyDescent="0.25">
      <c r="A190" s="105" t="str">
        <f>'Data Vlaue (Cr)'!C185</f>
        <v>SOLARINDS</v>
      </c>
      <c r="B190" s="143">
        <f>VLOOKUP($A190,'Data shares'!$C:$FA,118)</f>
        <v>0.76</v>
      </c>
      <c r="C190" s="143">
        <f>VLOOKUP($A190,'Data shares'!$C:$FA,119)</f>
        <v>0.8</v>
      </c>
      <c r="D190" s="143">
        <f>VLOOKUP($A190,'Data shares'!$C:$FA,121)*100</f>
        <v>-5</v>
      </c>
      <c r="E190" s="143">
        <f>VLOOKUP($A190,'Data shares'!$C:$FA,124)</f>
        <v>0.63</v>
      </c>
      <c r="F190" s="143">
        <f>VLOOKUP($A190,'Data shares'!$C:$FA,125)</f>
        <v>0.77</v>
      </c>
      <c r="G190" s="143">
        <f>VLOOKUP($A190,'Data shares'!$C:$FA,127)*100</f>
        <v>-18.18</v>
      </c>
      <c r="H190" s="103">
        <f>VLOOKUP($A190,'OI(Volume)'!$A$7:$O$445,8)</f>
        <v>114300</v>
      </c>
      <c r="I190" s="103">
        <f>VLOOKUP($A190,'OI(Volume)'!$A$7:$O$445,9)</f>
        <v>6150</v>
      </c>
      <c r="J190" s="103">
        <f>VLOOKUP($A190,'OI(Volume)'!$A$7:$O$445,11)</f>
        <v>87150</v>
      </c>
      <c r="K190" s="103">
        <f>VLOOKUP($A190,'OI(Volume)'!$A$7:$O$445,12)</f>
        <v>800</v>
      </c>
      <c r="L190" s="103">
        <f>VLOOKUP($A190,'OI(Value)'!$A$7:$O$329,8,0)</f>
        <v>180</v>
      </c>
      <c r="M190" s="103">
        <f>VLOOKUP($A190,'OI(Value)'!$A$7:$O$329,9,0)</f>
        <v>10</v>
      </c>
      <c r="N190" s="103">
        <f>VLOOKUP($A190,'OI(Value)'!$A$7:$O$329,11,0)</f>
        <v>138</v>
      </c>
      <c r="O190" s="103">
        <f>VLOOKUP($A190,'OI(Value)'!$A$7:$O$329,12,0)</f>
        <v>1</v>
      </c>
    </row>
    <row r="191" spans="1:15" x14ac:dyDescent="0.25">
      <c r="A191" s="105" t="str">
        <f>'Data Vlaue (Cr)'!C186</f>
        <v>SONACOMS</v>
      </c>
      <c r="B191" s="143">
        <f>VLOOKUP($A191,'Data shares'!$C:$FA,118)</f>
        <v>0.57999999999999996</v>
      </c>
      <c r="C191" s="143">
        <f>VLOOKUP($A191,'Data shares'!$C:$FA,119)</f>
        <v>0.56999999999999995</v>
      </c>
      <c r="D191" s="143">
        <f>VLOOKUP($A191,'Data shares'!$C:$FA,121)*100</f>
        <v>1.7500000000000002</v>
      </c>
      <c r="E191" s="143">
        <f>VLOOKUP($A191,'Data shares'!$C:$FA,124)</f>
        <v>0.39</v>
      </c>
      <c r="F191" s="143">
        <f>VLOOKUP($A191,'Data shares'!$C:$FA,125)</f>
        <v>0.5</v>
      </c>
      <c r="G191" s="143">
        <f>VLOOKUP($A191,'Data shares'!$C:$FA,127)*100</f>
        <v>-22</v>
      </c>
      <c r="H191" s="103">
        <f>VLOOKUP($A191,'OI(Volume)'!$A$7:$O$445,8)</f>
        <v>4701550</v>
      </c>
      <c r="I191" s="103">
        <f>VLOOKUP($A191,'OI(Volume)'!$A$7:$O$445,9)</f>
        <v>-75950</v>
      </c>
      <c r="J191" s="103">
        <f>VLOOKUP($A191,'OI(Volume)'!$A$7:$O$445,11)</f>
        <v>2730525</v>
      </c>
      <c r="K191" s="103">
        <f>VLOOKUP($A191,'OI(Volume)'!$A$7:$O$445,12)</f>
        <v>-3675</v>
      </c>
      <c r="L191" s="103">
        <f>VLOOKUP($A191,'OI(Value)'!$A$7:$O$329,8,0)</f>
        <v>276</v>
      </c>
      <c r="M191" s="103">
        <f>VLOOKUP($A191,'OI(Value)'!$A$7:$O$329,9,0)</f>
        <v>-4</v>
      </c>
      <c r="N191" s="103">
        <f>VLOOKUP($A191,'OI(Value)'!$A$7:$O$329,11,0)</f>
        <v>160</v>
      </c>
      <c r="O191" s="103">
        <f>VLOOKUP($A191,'OI(Value)'!$A$7:$O$329,12,0)</f>
        <v>0</v>
      </c>
    </row>
    <row r="192" spans="1:15" x14ac:dyDescent="0.25">
      <c r="A192" s="105" t="str">
        <f>'Data Vlaue (Cr)'!C187</f>
        <v>SRF</v>
      </c>
      <c r="B192" s="143">
        <f>VLOOKUP($A192,'Data shares'!$C:$FA,118)</f>
        <v>0.99</v>
      </c>
      <c r="C192" s="143">
        <f>VLOOKUP($A192,'Data shares'!$C:$FA,119)</f>
        <v>0.76</v>
      </c>
      <c r="D192" s="143">
        <f>VLOOKUP($A192,'Data shares'!$C:$FA,121)*100</f>
        <v>30.259999999999998</v>
      </c>
      <c r="E192" s="143">
        <f>VLOOKUP($A192,'Data shares'!$C:$FA,124)</f>
        <v>0.43</v>
      </c>
      <c r="F192" s="143">
        <f>VLOOKUP($A192,'Data shares'!$C:$FA,125)</f>
        <v>0.48</v>
      </c>
      <c r="G192" s="143">
        <f>VLOOKUP($A192,'Data shares'!$C:$FA,127)*100</f>
        <v>-10.42</v>
      </c>
      <c r="H192" s="103">
        <f>VLOOKUP($A192,'OI(Volume)'!$A$7:$O$445,8)</f>
        <v>1921000</v>
      </c>
      <c r="I192" s="103">
        <f>VLOOKUP($A192,'OI(Volume)'!$A$7:$O$445,9)</f>
        <v>463400</v>
      </c>
      <c r="J192" s="103">
        <f>VLOOKUP($A192,'OI(Volume)'!$A$7:$O$445,11)</f>
        <v>1900200</v>
      </c>
      <c r="K192" s="103">
        <f>VLOOKUP($A192,'OI(Volume)'!$A$7:$O$445,12)</f>
        <v>790800</v>
      </c>
      <c r="L192" s="103">
        <f>VLOOKUP($A192,'OI(Value)'!$A$7:$O$329,8,0)</f>
        <v>526</v>
      </c>
      <c r="M192" s="103">
        <f>VLOOKUP($A192,'OI(Value)'!$A$7:$O$329,9,0)</f>
        <v>127</v>
      </c>
      <c r="N192" s="103">
        <f>VLOOKUP($A192,'OI(Value)'!$A$7:$O$329,11,0)</f>
        <v>520</v>
      </c>
      <c r="O192" s="103">
        <f>VLOOKUP($A192,'OI(Value)'!$A$7:$O$329,12,0)</f>
        <v>216</v>
      </c>
    </row>
    <row r="193" spans="1:15" x14ac:dyDescent="0.25">
      <c r="A193" s="105" t="str">
        <f>'Data Vlaue (Cr)'!C188</f>
        <v>SUNPHARMA</v>
      </c>
      <c r="B193" s="143">
        <f>VLOOKUP($A193,'Data shares'!$C:$FA,118)</f>
        <v>0.77</v>
      </c>
      <c r="C193" s="143">
        <f>VLOOKUP($A193,'Data shares'!$C:$FA,119)</f>
        <v>0.71</v>
      </c>
      <c r="D193" s="143">
        <f>VLOOKUP($A193,'Data shares'!$C:$FA,121)*100</f>
        <v>8.4500000000000011</v>
      </c>
      <c r="E193" s="143">
        <f>VLOOKUP($A193,'Data shares'!$C:$FA,124)</f>
        <v>0.51</v>
      </c>
      <c r="F193" s="143">
        <f>VLOOKUP($A193,'Data shares'!$C:$FA,125)</f>
        <v>0.68</v>
      </c>
      <c r="G193" s="143">
        <f>VLOOKUP($A193,'Data shares'!$C:$FA,127)*100</f>
        <v>-25</v>
      </c>
      <c r="H193" s="103">
        <f>VLOOKUP($A193,'OI(Volume)'!$A$7:$O$445,8)</f>
        <v>9716000</v>
      </c>
      <c r="I193" s="103">
        <f>VLOOKUP($A193,'OI(Volume)'!$A$7:$O$445,9)</f>
        <v>71400</v>
      </c>
      <c r="J193" s="103">
        <f>VLOOKUP($A193,'OI(Volume)'!$A$7:$O$445,11)</f>
        <v>7490350</v>
      </c>
      <c r="K193" s="103">
        <f>VLOOKUP($A193,'OI(Volume)'!$A$7:$O$445,12)</f>
        <v>623000</v>
      </c>
      <c r="L193" s="103">
        <f>VLOOKUP($A193,'OI(Value)'!$A$7:$O$329,8,0)</f>
        <v>1805</v>
      </c>
      <c r="M193" s="103">
        <f>VLOOKUP($A193,'OI(Value)'!$A$7:$O$329,9,0)</f>
        <v>13</v>
      </c>
      <c r="N193" s="103">
        <f>VLOOKUP($A193,'OI(Value)'!$A$7:$O$329,11,0)</f>
        <v>1391</v>
      </c>
      <c r="O193" s="103">
        <f>VLOOKUP($A193,'OI(Value)'!$A$7:$O$329,12,0)</f>
        <v>116</v>
      </c>
    </row>
    <row r="194" spans="1:15" x14ac:dyDescent="0.25">
      <c r="A194" s="105" t="str">
        <f>'Data Vlaue (Cr)'!C189</f>
        <v>SUPREMEIND</v>
      </c>
      <c r="B194" s="143">
        <f>VLOOKUP($A194,'Data shares'!$C:$FA,118)</f>
        <v>0.43</v>
      </c>
      <c r="C194" s="143">
        <f>VLOOKUP($A194,'Data shares'!$C:$FA,119)</f>
        <v>0.42</v>
      </c>
      <c r="D194" s="143">
        <f>VLOOKUP($A194,'Data shares'!$C:$FA,121)*100</f>
        <v>2.3800000000000003</v>
      </c>
      <c r="E194" s="143">
        <f>VLOOKUP($A194,'Data shares'!$C:$FA,124)</f>
        <v>0.64</v>
      </c>
      <c r="F194" s="143">
        <f>VLOOKUP($A194,'Data shares'!$C:$FA,125)</f>
        <v>0.28000000000000003</v>
      </c>
      <c r="G194" s="143">
        <f>VLOOKUP($A194,'Data shares'!$C:$FA,127)*100</f>
        <v>128.57</v>
      </c>
      <c r="H194" s="103">
        <f>VLOOKUP($A194,'OI(Volume)'!$A$7:$O$445,8)</f>
        <v>906500</v>
      </c>
      <c r="I194" s="103">
        <f>VLOOKUP($A194,'OI(Volume)'!$A$7:$O$445,9)</f>
        <v>-39900</v>
      </c>
      <c r="J194" s="103">
        <f>VLOOKUP($A194,'OI(Volume)'!$A$7:$O$445,11)</f>
        <v>385700</v>
      </c>
      <c r="K194" s="103">
        <f>VLOOKUP($A194,'OI(Volume)'!$A$7:$O$445,12)</f>
        <v>-13825</v>
      </c>
      <c r="L194" s="103">
        <f>VLOOKUP($A194,'OI(Value)'!$A$7:$O$329,8,0)</f>
        <v>339</v>
      </c>
      <c r="M194" s="103">
        <f>VLOOKUP($A194,'OI(Value)'!$A$7:$O$329,9,0)</f>
        <v>-15</v>
      </c>
      <c r="N194" s="103">
        <f>VLOOKUP($A194,'OI(Value)'!$A$7:$O$329,11,0)</f>
        <v>144</v>
      </c>
      <c r="O194" s="103">
        <f>VLOOKUP($A194,'OI(Value)'!$A$7:$O$329,12,0)</f>
        <v>-5</v>
      </c>
    </row>
    <row r="195" spans="1:15" x14ac:dyDescent="0.25">
      <c r="A195" s="105" t="str">
        <f>'Data Vlaue (Cr)'!C190</f>
        <v>SUZLON</v>
      </c>
      <c r="B195" s="143">
        <f>VLOOKUP($A195,'Data shares'!$C:$FA,118)</f>
        <v>0.38</v>
      </c>
      <c r="C195" s="143">
        <f>VLOOKUP($A195,'Data shares'!$C:$FA,119)</f>
        <v>0.39</v>
      </c>
      <c r="D195" s="143">
        <f>VLOOKUP($A195,'Data shares'!$C:$FA,121)*100</f>
        <v>-2.56</v>
      </c>
      <c r="E195" s="143">
        <f>VLOOKUP($A195,'Data shares'!$C:$FA,124)</f>
        <v>0.28999999999999998</v>
      </c>
      <c r="F195" s="143">
        <f>VLOOKUP($A195,'Data shares'!$C:$FA,125)</f>
        <v>0.31</v>
      </c>
      <c r="G195" s="143">
        <f>VLOOKUP($A195,'Data shares'!$C:$FA,127)*100</f>
        <v>-6.45</v>
      </c>
      <c r="H195" s="103">
        <f>VLOOKUP($A195,'OI(Volume)'!$A$7:$O$445,8)</f>
        <v>160202775</v>
      </c>
      <c r="I195" s="103">
        <f>VLOOKUP($A195,'OI(Volume)'!$A$7:$O$445,9)</f>
        <v>7283175</v>
      </c>
      <c r="J195" s="103">
        <f>VLOOKUP($A195,'OI(Volume)'!$A$7:$O$445,11)</f>
        <v>61658800</v>
      </c>
      <c r="K195" s="103">
        <f>VLOOKUP($A195,'OI(Volume)'!$A$7:$O$445,12)</f>
        <v>1480100</v>
      </c>
      <c r="L195" s="103">
        <f>VLOOKUP($A195,'OI(Value)'!$A$7:$O$329,8,0)</f>
        <v>875</v>
      </c>
      <c r="M195" s="103">
        <f>VLOOKUP($A195,'OI(Value)'!$A$7:$O$329,9,0)</f>
        <v>40</v>
      </c>
      <c r="N195" s="103">
        <f>VLOOKUP($A195,'OI(Value)'!$A$7:$O$329,11,0)</f>
        <v>337</v>
      </c>
      <c r="O195" s="103">
        <f>VLOOKUP($A195,'OI(Value)'!$A$7:$O$329,12,0)</f>
        <v>8</v>
      </c>
    </row>
    <row r="196" spans="1:15" x14ac:dyDescent="0.25">
      <c r="A196" s="105" t="str">
        <f>'Data Vlaue (Cr)'!C191</f>
        <v>SWIGGY</v>
      </c>
      <c r="B196" s="143">
        <f>VLOOKUP($A196,'Data shares'!$C:$FA,118)</f>
        <v>0.59</v>
      </c>
      <c r="C196" s="143">
        <f>VLOOKUP($A196,'Data shares'!$C:$FA,119)</f>
        <v>0.59</v>
      </c>
      <c r="D196" s="143">
        <f>VLOOKUP($A196,'Data shares'!$C:$FA,121)*100</f>
        <v>0</v>
      </c>
      <c r="E196" s="143">
        <f>VLOOKUP($A196,'Data shares'!$C:$FA,124)</f>
        <v>0.42</v>
      </c>
      <c r="F196" s="143">
        <f>VLOOKUP($A196,'Data shares'!$C:$FA,125)</f>
        <v>0.34</v>
      </c>
      <c r="G196" s="143">
        <f>VLOOKUP($A196,'Data shares'!$C:$FA,127)*100</f>
        <v>23.53</v>
      </c>
      <c r="H196" s="103">
        <f>VLOOKUP($A196,'OI(Volume)'!$A$7:$O$445,8)</f>
        <v>10360225</v>
      </c>
      <c r="I196" s="103">
        <f>VLOOKUP($A196,'OI(Volume)'!$A$7:$O$445,9)</f>
        <v>121425</v>
      </c>
      <c r="J196" s="103">
        <f>VLOOKUP($A196,'OI(Volume)'!$A$7:$O$445,11)</f>
        <v>6158625</v>
      </c>
      <c r="K196" s="103">
        <f>VLOOKUP($A196,'OI(Volume)'!$A$7:$O$445,12)</f>
        <v>161200</v>
      </c>
      <c r="L196" s="103">
        <f>VLOOKUP($A196,'OI(Value)'!$A$7:$O$329,8,0)</f>
        <v>292</v>
      </c>
      <c r="M196" s="103">
        <f>VLOOKUP($A196,'OI(Value)'!$A$7:$O$329,9,0)</f>
        <v>3</v>
      </c>
      <c r="N196" s="103">
        <f>VLOOKUP($A196,'OI(Value)'!$A$7:$O$329,11,0)</f>
        <v>173</v>
      </c>
      <c r="O196" s="103">
        <f>VLOOKUP($A196,'OI(Value)'!$A$7:$O$329,12,0)</f>
        <v>5</v>
      </c>
    </row>
    <row r="197" spans="1:15" x14ac:dyDescent="0.25">
      <c r="A197" s="105" t="str">
        <f>'Data Vlaue (Cr)'!C192</f>
        <v>TATACONSUM</v>
      </c>
      <c r="B197" s="143">
        <f>VLOOKUP($A197,'Data shares'!$C:$FA,118)</f>
        <v>0.47</v>
      </c>
      <c r="C197" s="143">
        <f>VLOOKUP($A197,'Data shares'!$C:$FA,119)</f>
        <v>0.53</v>
      </c>
      <c r="D197" s="143">
        <f>VLOOKUP($A197,'Data shares'!$C:$FA,121)*100</f>
        <v>-11.32</v>
      </c>
      <c r="E197" s="143">
        <f>VLOOKUP($A197,'Data shares'!$C:$FA,124)</f>
        <v>0.26</v>
      </c>
      <c r="F197" s="143">
        <f>VLOOKUP($A197,'Data shares'!$C:$FA,125)</f>
        <v>0.3</v>
      </c>
      <c r="G197" s="143">
        <f>VLOOKUP($A197,'Data shares'!$C:$FA,127)*100</f>
        <v>-13.33</v>
      </c>
      <c r="H197" s="103">
        <f>VLOOKUP($A197,'OI(Volume)'!$A$7:$O$445,8)</f>
        <v>3045350</v>
      </c>
      <c r="I197" s="103">
        <f>VLOOKUP($A197,'OI(Volume)'!$A$7:$O$445,9)</f>
        <v>476300</v>
      </c>
      <c r="J197" s="103">
        <f>VLOOKUP($A197,'OI(Volume)'!$A$7:$O$445,11)</f>
        <v>1425600</v>
      </c>
      <c r="K197" s="103">
        <f>VLOOKUP($A197,'OI(Volume)'!$A$7:$O$445,12)</f>
        <v>53900</v>
      </c>
      <c r="L197" s="103">
        <f>VLOOKUP($A197,'OI(Value)'!$A$7:$O$329,8,0)</f>
        <v>353</v>
      </c>
      <c r="M197" s="103">
        <f>VLOOKUP($A197,'OI(Value)'!$A$7:$O$329,9,0)</f>
        <v>55</v>
      </c>
      <c r="N197" s="103">
        <f>VLOOKUP($A197,'OI(Value)'!$A$7:$O$329,11,0)</f>
        <v>165</v>
      </c>
      <c r="O197" s="103">
        <f>VLOOKUP($A197,'OI(Value)'!$A$7:$O$329,12,0)</f>
        <v>6</v>
      </c>
    </row>
    <row r="198" spans="1:15" x14ac:dyDescent="0.25">
      <c r="A198" s="105" t="str">
        <f>'Data Vlaue (Cr)'!C193</f>
        <v>TATAELXSI</v>
      </c>
      <c r="B198" s="143">
        <f>VLOOKUP($A198,'Data shares'!$C:$FA,118)</f>
        <v>0.45</v>
      </c>
      <c r="C198" s="143">
        <f>VLOOKUP($A198,'Data shares'!$C:$FA,119)</f>
        <v>0.43</v>
      </c>
      <c r="D198" s="143">
        <f>VLOOKUP($A198,'Data shares'!$C:$FA,121)*100</f>
        <v>4.6500000000000004</v>
      </c>
      <c r="E198" s="143">
        <f>VLOOKUP($A198,'Data shares'!$C:$FA,124)</f>
        <v>0.3</v>
      </c>
      <c r="F198" s="143">
        <f>VLOOKUP($A198,'Data shares'!$C:$FA,125)</f>
        <v>0.34</v>
      </c>
      <c r="G198" s="143">
        <f>VLOOKUP($A198,'Data shares'!$C:$FA,127)*100</f>
        <v>-11.76</v>
      </c>
      <c r="H198" s="103">
        <f>VLOOKUP($A198,'OI(Volume)'!$A$7:$O$445,8)</f>
        <v>1374200</v>
      </c>
      <c r="I198" s="103">
        <f>VLOOKUP($A198,'OI(Volume)'!$A$7:$O$445,9)</f>
        <v>6600</v>
      </c>
      <c r="J198" s="103">
        <f>VLOOKUP($A198,'OI(Volume)'!$A$7:$O$445,11)</f>
        <v>618700</v>
      </c>
      <c r="K198" s="103">
        <f>VLOOKUP($A198,'OI(Volume)'!$A$7:$O$445,12)</f>
        <v>33475</v>
      </c>
      <c r="L198" s="103">
        <f>VLOOKUP($A198,'OI(Value)'!$A$7:$O$329,8,0)</f>
        <v>589</v>
      </c>
      <c r="M198" s="103">
        <f>VLOOKUP($A198,'OI(Value)'!$A$7:$O$329,9,0)</f>
        <v>3</v>
      </c>
      <c r="N198" s="103">
        <f>VLOOKUP($A198,'OI(Value)'!$A$7:$O$329,11,0)</f>
        <v>265</v>
      </c>
      <c r="O198" s="103">
        <f>VLOOKUP($A198,'OI(Value)'!$A$7:$O$329,12,0)</f>
        <v>14</v>
      </c>
    </row>
    <row r="199" spans="1:15" x14ac:dyDescent="0.25">
      <c r="A199" s="105" t="str">
        <f>'Data Vlaue (Cr)'!C194</f>
        <v>TATAPOWER</v>
      </c>
      <c r="B199" s="143">
        <f>VLOOKUP($A199,'Data shares'!$C:$FA,118)</f>
        <v>0.6</v>
      </c>
      <c r="C199" s="143">
        <f>VLOOKUP($A199,'Data shares'!$C:$FA,119)</f>
        <v>0.63</v>
      </c>
      <c r="D199" s="143">
        <f>VLOOKUP($A199,'Data shares'!$C:$FA,121)*100</f>
        <v>-4.7600000000000007</v>
      </c>
      <c r="E199" s="143">
        <f>VLOOKUP($A199,'Data shares'!$C:$FA,124)</f>
        <v>0.36</v>
      </c>
      <c r="F199" s="143">
        <f>VLOOKUP($A199,'Data shares'!$C:$FA,125)</f>
        <v>0.41</v>
      </c>
      <c r="G199" s="143">
        <f>VLOOKUP($A199,'Data shares'!$C:$FA,127)*100</f>
        <v>-12.2</v>
      </c>
      <c r="H199" s="103">
        <f>VLOOKUP($A199,'OI(Volume)'!$A$7:$O$445,8)</f>
        <v>26865600</v>
      </c>
      <c r="I199" s="103">
        <f>VLOOKUP($A199,'OI(Volume)'!$A$7:$O$445,9)</f>
        <v>536500</v>
      </c>
      <c r="J199" s="103">
        <f>VLOOKUP($A199,'OI(Volume)'!$A$7:$O$445,11)</f>
        <v>16182000</v>
      </c>
      <c r="K199" s="103">
        <f>VLOOKUP($A199,'OI(Volume)'!$A$7:$O$445,12)</f>
        <v>-526350</v>
      </c>
      <c r="L199" s="103">
        <f>VLOOKUP($A199,'OI(Value)'!$A$7:$O$329,8,0)</f>
        <v>1196</v>
      </c>
      <c r="M199" s="103">
        <f>VLOOKUP($A199,'OI(Value)'!$A$7:$O$329,9,0)</f>
        <v>24</v>
      </c>
      <c r="N199" s="103">
        <f>VLOOKUP($A199,'OI(Value)'!$A$7:$O$329,11,0)</f>
        <v>720</v>
      </c>
      <c r="O199" s="103">
        <f>VLOOKUP($A199,'OI(Value)'!$A$7:$O$329,12,0)</f>
        <v>-23</v>
      </c>
    </row>
    <row r="200" spans="1:15" x14ac:dyDescent="0.25">
      <c r="A200" s="105" t="str">
        <f>'Data Vlaue (Cr)'!C195</f>
        <v>TATASTEEL</v>
      </c>
      <c r="B200" s="143">
        <f>VLOOKUP($A200,'Data shares'!$C:$FA,118)</f>
        <v>0.71</v>
      </c>
      <c r="C200" s="143">
        <f>VLOOKUP($A200,'Data shares'!$C:$FA,119)</f>
        <v>0.65</v>
      </c>
      <c r="D200" s="143">
        <f>VLOOKUP($A200,'Data shares'!$C:$FA,121)*100</f>
        <v>9.2299999999999986</v>
      </c>
      <c r="E200" s="143">
        <f>VLOOKUP($A200,'Data shares'!$C:$FA,124)</f>
        <v>0.69</v>
      </c>
      <c r="F200" s="143">
        <f>VLOOKUP($A200,'Data shares'!$C:$FA,125)</f>
        <v>0.69</v>
      </c>
      <c r="G200" s="143">
        <f>VLOOKUP($A200,'Data shares'!$C:$FA,127)*100</f>
        <v>0</v>
      </c>
      <c r="H200" s="103">
        <f>VLOOKUP($A200,'OI(Volume)'!$A$7:$O$445,8)</f>
        <v>80638250</v>
      </c>
      <c r="I200" s="103">
        <f>VLOOKUP($A200,'OI(Volume)'!$A$7:$O$445,9)</f>
        <v>-2667500</v>
      </c>
      <c r="J200" s="103">
        <f>VLOOKUP($A200,'OI(Volume)'!$A$7:$O$445,11)</f>
        <v>57271500</v>
      </c>
      <c r="K200" s="103">
        <f>VLOOKUP($A200,'OI(Volume)'!$A$7:$O$445,12)</f>
        <v>3437500</v>
      </c>
      <c r="L200" s="103">
        <f>VLOOKUP($A200,'OI(Value)'!$A$7:$O$329,8,0)</f>
        <v>1748</v>
      </c>
      <c r="M200" s="103">
        <f>VLOOKUP($A200,'OI(Value)'!$A$7:$O$329,9,0)</f>
        <v>-58</v>
      </c>
      <c r="N200" s="103">
        <f>VLOOKUP($A200,'OI(Value)'!$A$7:$O$329,11,0)</f>
        <v>1241</v>
      </c>
      <c r="O200" s="103">
        <f>VLOOKUP($A200,'OI(Value)'!$A$7:$O$329,12,0)</f>
        <v>75</v>
      </c>
    </row>
    <row r="201" spans="1:15" x14ac:dyDescent="0.25">
      <c r="A201" s="105" t="str">
        <f>'Data Vlaue (Cr)'!C196</f>
        <v>TCS</v>
      </c>
      <c r="B201" s="143">
        <f>VLOOKUP($A201,'Data shares'!$C:$FA,118)</f>
        <v>0.68</v>
      </c>
      <c r="C201" s="143">
        <f>VLOOKUP($A201,'Data shares'!$C:$FA,119)</f>
        <v>0.71</v>
      </c>
      <c r="D201" s="143">
        <f>VLOOKUP($A201,'Data shares'!$C:$FA,121)*100</f>
        <v>-4.2299999999999995</v>
      </c>
      <c r="E201" s="143">
        <f>VLOOKUP($A201,'Data shares'!$C:$FA,124)</f>
        <v>0.5</v>
      </c>
      <c r="F201" s="143">
        <f>VLOOKUP($A201,'Data shares'!$C:$FA,125)</f>
        <v>0.43</v>
      </c>
      <c r="G201" s="143">
        <f>VLOOKUP($A201,'Data shares'!$C:$FA,127)*100</f>
        <v>16.28</v>
      </c>
      <c r="H201" s="103">
        <f>VLOOKUP($A201,'OI(Volume)'!$A$7:$O$445,8)</f>
        <v>13320025</v>
      </c>
      <c r="I201" s="103">
        <f>VLOOKUP($A201,'OI(Volume)'!$A$7:$O$445,9)</f>
        <v>1392600</v>
      </c>
      <c r="J201" s="103">
        <f>VLOOKUP($A201,'OI(Volume)'!$A$7:$O$445,11)</f>
        <v>9109125</v>
      </c>
      <c r="K201" s="103">
        <f>VLOOKUP($A201,'OI(Volume)'!$A$7:$O$445,12)</f>
        <v>621975</v>
      </c>
      <c r="L201" s="103">
        <f>VLOOKUP($A201,'OI(Value)'!$A$7:$O$329,8,0)</f>
        <v>3209</v>
      </c>
      <c r="M201" s="103">
        <f>VLOOKUP($A201,'OI(Value)'!$A$7:$O$329,9,0)</f>
        <v>336</v>
      </c>
      <c r="N201" s="103">
        <f>VLOOKUP($A201,'OI(Value)'!$A$7:$O$329,11,0)</f>
        <v>2195</v>
      </c>
      <c r="O201" s="103">
        <f>VLOOKUP($A201,'OI(Value)'!$A$7:$O$329,12,0)</f>
        <v>150</v>
      </c>
    </row>
    <row r="202" spans="1:15" x14ac:dyDescent="0.25">
      <c r="A202" s="105" t="str">
        <f>'Data Vlaue (Cr)'!C197</f>
        <v>TECHM</v>
      </c>
      <c r="B202" s="143">
        <f>VLOOKUP($A202,'Data shares'!$C:$FA,118)</f>
        <v>0.68</v>
      </c>
      <c r="C202" s="143">
        <f>VLOOKUP($A202,'Data shares'!$C:$FA,119)</f>
        <v>0.7</v>
      </c>
      <c r="D202" s="143">
        <f>VLOOKUP($A202,'Data shares'!$C:$FA,121)*100</f>
        <v>-2.86</v>
      </c>
      <c r="E202" s="143">
        <f>VLOOKUP($A202,'Data shares'!$C:$FA,124)</f>
        <v>0.49</v>
      </c>
      <c r="F202" s="143">
        <f>VLOOKUP($A202,'Data shares'!$C:$FA,125)</f>
        <v>0.57999999999999996</v>
      </c>
      <c r="G202" s="143">
        <f>VLOOKUP($A202,'Data shares'!$C:$FA,127)*100</f>
        <v>-15.52</v>
      </c>
      <c r="H202" s="103">
        <f>VLOOKUP($A202,'OI(Volume)'!$A$7:$O$445,8)</f>
        <v>6663600</v>
      </c>
      <c r="I202" s="103">
        <f>VLOOKUP($A202,'OI(Volume)'!$A$7:$O$445,9)</f>
        <v>85800</v>
      </c>
      <c r="J202" s="103">
        <f>VLOOKUP($A202,'OI(Volume)'!$A$7:$O$445,11)</f>
        <v>4504800</v>
      </c>
      <c r="K202" s="103">
        <f>VLOOKUP($A202,'OI(Volume)'!$A$7:$O$445,12)</f>
        <v>-128400</v>
      </c>
      <c r="L202" s="103">
        <f>VLOOKUP($A202,'OI(Value)'!$A$7:$O$329,8,0)</f>
        <v>977</v>
      </c>
      <c r="M202" s="103">
        <f>VLOOKUP($A202,'OI(Value)'!$A$7:$O$329,9,0)</f>
        <v>13</v>
      </c>
      <c r="N202" s="103">
        <f>VLOOKUP($A202,'OI(Value)'!$A$7:$O$329,11,0)</f>
        <v>660</v>
      </c>
      <c r="O202" s="103">
        <f>VLOOKUP($A202,'OI(Value)'!$A$7:$O$329,12,0)</f>
        <v>-19</v>
      </c>
    </row>
    <row r="203" spans="1:15" x14ac:dyDescent="0.25">
      <c r="A203" s="105" t="str">
        <f>'Data Vlaue (Cr)'!C198</f>
        <v>TIINDIA</v>
      </c>
      <c r="B203" s="143">
        <f>VLOOKUP($A203,'Data shares'!$C:$FA,118)</f>
        <v>0.55000000000000004</v>
      </c>
      <c r="C203" s="143">
        <f>VLOOKUP($A203,'Data shares'!$C:$FA,119)</f>
        <v>0.68</v>
      </c>
      <c r="D203" s="143">
        <f>VLOOKUP($A203,'Data shares'!$C:$FA,121)*100</f>
        <v>-19.12</v>
      </c>
      <c r="E203" s="143">
        <f>VLOOKUP($A203,'Data shares'!$C:$FA,124)</f>
        <v>0.28999999999999998</v>
      </c>
      <c r="F203" s="143">
        <f>VLOOKUP($A203,'Data shares'!$C:$FA,125)</f>
        <v>0.16</v>
      </c>
      <c r="G203" s="143">
        <f>VLOOKUP($A203,'Data shares'!$C:$FA,127)*100</f>
        <v>81.25</v>
      </c>
      <c r="H203" s="103">
        <f>VLOOKUP($A203,'OI(Volume)'!$A$7:$O$445,8)</f>
        <v>431600</v>
      </c>
      <c r="I203" s="103">
        <f>VLOOKUP($A203,'OI(Volume)'!$A$7:$O$445,9)</f>
        <v>96600</v>
      </c>
      <c r="J203" s="103">
        <f>VLOOKUP($A203,'OI(Volume)'!$A$7:$O$445,11)</f>
        <v>238600</v>
      </c>
      <c r="K203" s="103">
        <f>VLOOKUP($A203,'OI(Volume)'!$A$7:$O$445,12)</f>
        <v>11800</v>
      </c>
      <c r="L203" s="103">
        <f>VLOOKUP($A203,'OI(Value)'!$A$7:$O$329,8,0)</f>
        <v>127</v>
      </c>
      <c r="M203" s="103">
        <f>VLOOKUP($A203,'OI(Value)'!$A$7:$O$329,9,0)</f>
        <v>28</v>
      </c>
      <c r="N203" s="103">
        <f>VLOOKUP($A203,'OI(Value)'!$A$7:$O$329,11,0)</f>
        <v>70</v>
      </c>
      <c r="O203" s="103">
        <f>VLOOKUP($A203,'OI(Value)'!$A$7:$O$329,12,0)</f>
        <v>3</v>
      </c>
    </row>
    <row r="204" spans="1:15" x14ac:dyDescent="0.25">
      <c r="A204" s="105" t="str">
        <f>'Data Vlaue (Cr)'!C199</f>
        <v>TITAN</v>
      </c>
      <c r="B204" s="143">
        <f>VLOOKUP($A204,'Data shares'!$C:$FA,118)</f>
        <v>0.7</v>
      </c>
      <c r="C204" s="143">
        <f>VLOOKUP($A204,'Data shares'!$C:$FA,119)</f>
        <v>0.79</v>
      </c>
      <c r="D204" s="143">
        <f>VLOOKUP($A204,'Data shares'!$C:$FA,121)*100</f>
        <v>-11.39</v>
      </c>
      <c r="E204" s="143">
        <f>VLOOKUP($A204,'Data shares'!$C:$FA,124)</f>
        <v>0.64</v>
      </c>
      <c r="F204" s="143">
        <f>VLOOKUP($A204,'Data shares'!$C:$FA,125)</f>
        <v>0.63</v>
      </c>
      <c r="G204" s="143">
        <f>VLOOKUP($A204,'Data shares'!$C:$FA,127)*100</f>
        <v>1.59</v>
      </c>
      <c r="H204" s="103">
        <f>VLOOKUP($A204,'OI(Volume)'!$A$7:$O$445,8)</f>
        <v>1934275</v>
      </c>
      <c r="I204" s="103">
        <f>VLOOKUP($A204,'OI(Volume)'!$A$7:$O$445,9)</f>
        <v>205450</v>
      </c>
      <c r="J204" s="103">
        <f>VLOOKUP($A204,'OI(Volume)'!$A$7:$O$445,11)</f>
        <v>1351525</v>
      </c>
      <c r="K204" s="103">
        <f>VLOOKUP($A204,'OI(Volume)'!$A$7:$O$445,12)</f>
        <v>-8925</v>
      </c>
      <c r="L204" s="103">
        <f>VLOOKUP($A204,'OI(Value)'!$A$7:$O$329,8,0)</f>
        <v>846</v>
      </c>
      <c r="M204" s="103">
        <f>VLOOKUP($A204,'OI(Value)'!$A$7:$O$329,9,0)</f>
        <v>90</v>
      </c>
      <c r="N204" s="103">
        <f>VLOOKUP($A204,'OI(Value)'!$A$7:$O$329,11,0)</f>
        <v>591</v>
      </c>
      <c r="O204" s="103">
        <f>VLOOKUP($A204,'OI(Value)'!$A$7:$O$329,12,0)</f>
        <v>-4</v>
      </c>
    </row>
    <row r="205" spans="1:15" x14ac:dyDescent="0.25">
      <c r="A205" s="105" t="str">
        <f>'Data Vlaue (Cr)'!C200</f>
        <v>TMPV</v>
      </c>
      <c r="B205" s="143">
        <f>VLOOKUP($A205,'Data shares'!$C:$FA,118)</f>
        <v>0.65</v>
      </c>
      <c r="C205" s="143">
        <f>VLOOKUP($A205,'Data shares'!$C:$FA,119)</f>
        <v>0.63</v>
      </c>
      <c r="D205" s="143">
        <f>VLOOKUP($A205,'Data shares'!$C:$FA,121)*100</f>
        <v>3.17</v>
      </c>
      <c r="E205" s="143">
        <f>VLOOKUP($A205,'Data shares'!$C:$FA,124)</f>
        <v>0.46</v>
      </c>
      <c r="F205" s="143">
        <f>VLOOKUP($A205,'Data shares'!$C:$FA,125)</f>
        <v>0.32</v>
      </c>
      <c r="G205" s="143">
        <f>VLOOKUP($A205,'Data shares'!$C:$FA,127)*100</f>
        <v>43.75</v>
      </c>
      <c r="H205" s="103">
        <f>VLOOKUP($A205,'OI(Volume)'!$A$7:$O$445,8)</f>
        <v>26910400</v>
      </c>
      <c r="I205" s="103">
        <f>VLOOKUP($A205,'OI(Volume)'!$A$7:$O$445,9)</f>
        <v>986400</v>
      </c>
      <c r="J205" s="103">
        <f>VLOOKUP($A205,'OI(Volume)'!$A$7:$O$445,11)</f>
        <v>17364800</v>
      </c>
      <c r="K205" s="103">
        <f>VLOOKUP($A205,'OI(Volume)'!$A$7:$O$445,12)</f>
        <v>927200</v>
      </c>
      <c r="L205" s="103">
        <f>VLOOKUP($A205,'OI(Value)'!$A$7:$O$329,8,0)</f>
        <v>970</v>
      </c>
      <c r="M205" s="103">
        <f>VLOOKUP($A205,'OI(Value)'!$A$7:$O$329,9,0)</f>
        <v>36</v>
      </c>
      <c r="N205" s="103">
        <f>VLOOKUP($A205,'OI(Value)'!$A$7:$O$329,11,0)</f>
        <v>626</v>
      </c>
      <c r="O205" s="103">
        <f>VLOOKUP($A205,'OI(Value)'!$A$7:$O$329,12,0)</f>
        <v>33</v>
      </c>
    </row>
    <row r="206" spans="1:15" x14ac:dyDescent="0.25">
      <c r="A206" s="105" t="str">
        <f>'Data Vlaue (Cr)'!C201</f>
        <v>TORNTPHARM</v>
      </c>
      <c r="B206" s="143">
        <f>VLOOKUP($A206,'Data shares'!$C:$FA,118)</f>
        <v>0.51</v>
      </c>
      <c r="C206" s="143">
        <f>VLOOKUP($A206,'Data shares'!$C:$FA,119)</f>
        <v>0.47</v>
      </c>
      <c r="D206" s="143">
        <f>VLOOKUP($A206,'Data shares'!$C:$FA,121)*100</f>
        <v>8.51</v>
      </c>
      <c r="E206" s="143">
        <f>VLOOKUP($A206,'Data shares'!$C:$FA,124)</f>
        <v>0.25</v>
      </c>
      <c r="F206" s="143">
        <f>VLOOKUP($A206,'Data shares'!$C:$FA,125)</f>
        <v>0.3</v>
      </c>
      <c r="G206" s="143">
        <f>VLOOKUP($A206,'Data shares'!$C:$FA,127)*100</f>
        <v>-16.669999999999998</v>
      </c>
      <c r="H206" s="103">
        <f>VLOOKUP($A206,'OI(Volume)'!$A$7:$O$445,8)</f>
        <v>424875</v>
      </c>
      <c r="I206" s="103">
        <f>VLOOKUP($A206,'OI(Volume)'!$A$7:$O$445,9)</f>
        <v>10375</v>
      </c>
      <c r="J206" s="103">
        <f>VLOOKUP($A206,'OI(Volume)'!$A$7:$O$445,11)</f>
        <v>216625</v>
      </c>
      <c r="K206" s="103">
        <f>VLOOKUP($A206,'OI(Volume)'!$A$7:$O$445,12)</f>
        <v>22500</v>
      </c>
      <c r="L206" s="103">
        <f>VLOOKUP($A206,'OI(Value)'!$A$7:$O$329,8,0)</f>
        <v>186</v>
      </c>
      <c r="M206" s="103">
        <f>VLOOKUP($A206,'OI(Value)'!$A$7:$O$329,9,0)</f>
        <v>5</v>
      </c>
      <c r="N206" s="103">
        <f>VLOOKUP($A206,'OI(Value)'!$A$7:$O$329,11,0)</f>
        <v>95</v>
      </c>
      <c r="O206" s="103">
        <f>VLOOKUP($A206,'OI(Value)'!$A$7:$O$329,12,0)</f>
        <v>10</v>
      </c>
    </row>
    <row r="207" spans="1:15" x14ac:dyDescent="0.25">
      <c r="A207" s="105" t="str">
        <f>'Data Vlaue (Cr)'!C202</f>
        <v>TRENT</v>
      </c>
      <c r="B207" s="143">
        <f>VLOOKUP($A207,'Data shares'!$C:$FA,118)</f>
        <v>0.45</v>
      </c>
      <c r="C207" s="143">
        <f>VLOOKUP($A207,'Data shares'!$C:$FA,119)</f>
        <v>0.39</v>
      </c>
      <c r="D207" s="143">
        <f>VLOOKUP($A207,'Data shares'!$C:$FA,121)*100</f>
        <v>15.379999999999999</v>
      </c>
      <c r="E207" s="143">
        <f>VLOOKUP($A207,'Data shares'!$C:$FA,124)</f>
        <v>0.33</v>
      </c>
      <c r="F207" s="143">
        <f>VLOOKUP($A207,'Data shares'!$C:$FA,125)</f>
        <v>0.48</v>
      </c>
      <c r="G207" s="143">
        <f>VLOOKUP($A207,'Data shares'!$C:$FA,127)*100</f>
        <v>-31.25</v>
      </c>
      <c r="H207" s="103">
        <f>VLOOKUP($A207,'OI(Volume)'!$A$7:$O$445,8)</f>
        <v>0</v>
      </c>
      <c r="I207" s="103">
        <f>VLOOKUP($A207,'OI(Volume)'!$A$7:$O$445,9)</f>
        <v>0</v>
      </c>
      <c r="J207" s="103">
        <f>VLOOKUP($A207,'OI(Volume)'!$A$7:$O$445,11)</f>
        <v>0</v>
      </c>
      <c r="K207" s="103">
        <f>VLOOKUP($A207,'OI(Volume)'!$A$7:$O$445,12)</f>
        <v>0</v>
      </c>
      <c r="L207" s="103">
        <f>VLOOKUP($A207,'OI(Value)'!$A$7:$O$329,8,0)</f>
        <v>1398</v>
      </c>
      <c r="M207" s="103">
        <f>VLOOKUP($A207,'OI(Value)'!$A$7:$O$329,9,0)</f>
        <v>-136</v>
      </c>
      <c r="N207" s="103">
        <f>VLOOKUP($A207,'OI(Value)'!$A$7:$O$329,11,0)</f>
        <v>633</v>
      </c>
      <c r="O207" s="103">
        <f>VLOOKUP($A207,'OI(Value)'!$A$7:$O$329,12,0)</f>
        <v>39</v>
      </c>
    </row>
    <row r="208" spans="1:15" x14ac:dyDescent="0.25">
      <c r="A208" s="105" t="str">
        <f>'Data Vlaue (Cr)'!C203</f>
        <v>TVSMOTOR</v>
      </c>
      <c r="B208" s="143">
        <f>VLOOKUP($A208,'Data shares'!$C:$FA,118)</f>
        <v>0.6</v>
      </c>
      <c r="C208" s="143">
        <f>VLOOKUP($A208,'Data shares'!$C:$FA,119)</f>
        <v>0.59</v>
      </c>
      <c r="D208" s="143">
        <f>VLOOKUP($A208,'Data shares'!$C:$FA,121)*100</f>
        <v>1.69</v>
      </c>
      <c r="E208" s="143">
        <f>VLOOKUP($A208,'Data shares'!$C:$FA,124)</f>
        <v>0.27</v>
      </c>
      <c r="F208" s="143">
        <f>VLOOKUP($A208,'Data shares'!$C:$FA,125)</f>
        <v>0.4</v>
      </c>
      <c r="G208" s="143">
        <f>VLOOKUP($A208,'Data shares'!$C:$FA,127)*100</f>
        <v>-32.5</v>
      </c>
      <c r="H208" s="103">
        <f>VLOOKUP($A208,'OI(Volume)'!$A$7:$O$445,8)</f>
        <v>0</v>
      </c>
      <c r="I208" s="103">
        <f>VLOOKUP($A208,'OI(Volume)'!$A$7:$O$445,9)</f>
        <v>0</v>
      </c>
      <c r="J208" s="103">
        <f>VLOOKUP($A208,'OI(Volume)'!$A$7:$O$445,11)</f>
        <v>0</v>
      </c>
      <c r="K208" s="103">
        <f>VLOOKUP($A208,'OI(Volume)'!$A$7:$O$445,12)</f>
        <v>0</v>
      </c>
      <c r="L208" s="103">
        <f>VLOOKUP($A208,'OI(Value)'!$A$7:$O$329,8,0)</f>
        <v>579</v>
      </c>
      <c r="M208" s="103">
        <f>VLOOKUP($A208,'OI(Value)'!$A$7:$O$329,9,0)</f>
        <v>9</v>
      </c>
      <c r="N208" s="103">
        <f>VLOOKUP($A208,'OI(Value)'!$A$7:$O$329,11,0)</f>
        <v>350</v>
      </c>
      <c r="O208" s="103">
        <f>VLOOKUP($A208,'OI(Value)'!$A$7:$O$329,12,0)</f>
        <v>16</v>
      </c>
    </row>
    <row r="209" spans="1:15" x14ac:dyDescent="0.25">
      <c r="A209" s="105" t="str">
        <f>'Data Vlaue (Cr)'!C204</f>
        <v>ULTRACEMCO</v>
      </c>
      <c r="B209" s="143">
        <f>VLOOKUP($A209,'Data shares'!$C:$FA,118)</f>
        <v>0.41</v>
      </c>
      <c r="C209" s="143">
        <f>VLOOKUP($A209,'Data shares'!$C:$FA,119)</f>
        <v>0.41</v>
      </c>
      <c r="D209" s="143">
        <f>VLOOKUP($A209,'Data shares'!$C:$FA,121)*100</f>
        <v>0</v>
      </c>
      <c r="E209" s="143">
        <f>VLOOKUP($A209,'Data shares'!$C:$FA,124)</f>
        <v>0.47</v>
      </c>
      <c r="F209" s="143">
        <f>VLOOKUP($A209,'Data shares'!$C:$FA,125)</f>
        <v>0.48</v>
      </c>
      <c r="G209" s="143">
        <f>VLOOKUP($A209,'Data shares'!$C:$FA,127)*100</f>
        <v>-2.08</v>
      </c>
      <c r="H209" s="103">
        <f>VLOOKUP($A209,'OI(Volume)'!$A$7:$O$445,8)</f>
        <v>0</v>
      </c>
      <c r="I209" s="103">
        <f>VLOOKUP($A209,'OI(Volume)'!$A$7:$O$445,9)</f>
        <v>0</v>
      </c>
      <c r="J209" s="103">
        <f>VLOOKUP($A209,'OI(Volume)'!$A$7:$O$445,11)</f>
        <v>0</v>
      </c>
      <c r="K209" s="103">
        <f>VLOOKUP($A209,'OI(Volume)'!$A$7:$O$445,12)</f>
        <v>0</v>
      </c>
      <c r="L209" s="103">
        <f>VLOOKUP($A209,'OI(Value)'!$A$7:$O$329,8,0)</f>
        <v>1407</v>
      </c>
      <c r="M209" s="103">
        <f>VLOOKUP($A209,'OI(Value)'!$A$7:$O$329,9,0)</f>
        <v>-52</v>
      </c>
      <c r="N209" s="103">
        <f>VLOOKUP($A209,'OI(Value)'!$A$7:$O$329,11,0)</f>
        <v>578</v>
      </c>
      <c r="O209" s="103">
        <f>VLOOKUP($A209,'OI(Value)'!$A$7:$O$329,12,0)</f>
        <v>-26</v>
      </c>
    </row>
    <row r="210" spans="1:15" x14ac:dyDescent="0.25">
      <c r="A210" s="105" t="str">
        <f>'Data Vlaue (Cr)'!C205</f>
        <v>UNIONBANK</v>
      </c>
      <c r="B210" s="143">
        <f>VLOOKUP($A210,'Data shares'!$C:$FA,118)</f>
        <v>0.46</v>
      </c>
      <c r="C210" s="143">
        <f>VLOOKUP($A210,'Data shares'!$C:$FA,119)</f>
        <v>0.49</v>
      </c>
      <c r="D210" s="143">
        <f>VLOOKUP($A210,'Data shares'!$C:$FA,121)*100</f>
        <v>-6.12</v>
      </c>
      <c r="E210" s="143">
        <f>VLOOKUP($A210,'Data shares'!$C:$FA,124)</f>
        <v>0.37</v>
      </c>
      <c r="F210" s="143">
        <f>VLOOKUP($A210,'Data shares'!$C:$FA,125)</f>
        <v>0.3</v>
      </c>
      <c r="G210" s="143">
        <f>VLOOKUP($A210,'Data shares'!$C:$FA,127)*100</f>
        <v>23.330000000000002</v>
      </c>
      <c r="H210" s="103">
        <f>VLOOKUP($A210,'OI(Volume)'!$A$7:$O$445,8)</f>
        <v>0</v>
      </c>
      <c r="I210" s="103">
        <f>VLOOKUP($A210,'OI(Volume)'!$A$7:$O$445,9)</f>
        <v>0</v>
      </c>
      <c r="J210" s="103">
        <f>VLOOKUP($A210,'OI(Volume)'!$A$7:$O$445,11)</f>
        <v>0</v>
      </c>
      <c r="K210" s="103">
        <f>VLOOKUP($A210,'OI(Volume)'!$A$7:$O$445,12)</f>
        <v>0</v>
      </c>
      <c r="L210" s="103">
        <f>VLOOKUP($A210,'OI(Value)'!$A$7:$O$329,8,0)</f>
        <v>1156</v>
      </c>
      <c r="M210" s="103">
        <f>VLOOKUP($A210,'OI(Value)'!$A$7:$O$329,9,0)</f>
        <v>22</v>
      </c>
      <c r="N210" s="103">
        <f>VLOOKUP($A210,'OI(Value)'!$A$7:$O$329,11,0)</f>
        <v>538</v>
      </c>
      <c r="O210" s="103">
        <f>VLOOKUP($A210,'OI(Value)'!$A$7:$O$329,12,0)</f>
        <v>-16</v>
      </c>
    </row>
    <row r="211" spans="1:15" x14ac:dyDescent="0.25">
      <c r="A211" s="105" t="str">
        <f>'Data Vlaue (Cr)'!C206</f>
        <v>UNITDSPR</v>
      </c>
      <c r="B211" s="143">
        <f>VLOOKUP($A211,'Data shares'!$C:$FA,118)</f>
        <v>0.67</v>
      </c>
      <c r="C211" s="143">
        <f>VLOOKUP($A211,'Data shares'!$C:$FA,119)</f>
        <v>0.68</v>
      </c>
      <c r="D211" s="143">
        <f>VLOOKUP($A211,'Data shares'!$C:$FA,121)*100</f>
        <v>-1.47</v>
      </c>
      <c r="E211" s="143">
        <f>VLOOKUP($A211,'Data shares'!$C:$FA,124)</f>
        <v>0.61</v>
      </c>
      <c r="F211" s="143">
        <f>VLOOKUP($A211,'Data shares'!$C:$FA,125)</f>
        <v>0.34</v>
      </c>
      <c r="G211" s="143">
        <f>VLOOKUP($A211,'Data shares'!$C:$FA,127)*100</f>
        <v>79.41</v>
      </c>
      <c r="H211" s="103">
        <f>VLOOKUP($A211,'OI(Volume)'!$A$7:$O$445,8)</f>
        <v>0</v>
      </c>
      <c r="I211" s="103">
        <f>VLOOKUP($A211,'OI(Volume)'!$A$7:$O$445,9)</f>
        <v>0</v>
      </c>
      <c r="J211" s="103">
        <f>VLOOKUP($A211,'OI(Volume)'!$A$7:$O$445,11)</f>
        <v>0</v>
      </c>
      <c r="K211" s="103">
        <f>VLOOKUP($A211,'OI(Volume)'!$A$7:$O$445,12)</f>
        <v>0</v>
      </c>
      <c r="L211" s="103">
        <f>VLOOKUP($A211,'OI(Value)'!$A$7:$O$329,8,0)</f>
        <v>477</v>
      </c>
      <c r="M211" s="103">
        <f>VLOOKUP($A211,'OI(Value)'!$A$7:$O$329,9,0)</f>
        <v>91</v>
      </c>
      <c r="N211" s="103">
        <f>VLOOKUP($A211,'OI(Value)'!$A$7:$O$329,11,0)</f>
        <v>321</v>
      </c>
      <c r="O211" s="103">
        <f>VLOOKUP($A211,'OI(Value)'!$A$7:$O$329,12,0)</f>
        <v>57</v>
      </c>
    </row>
    <row r="212" spans="1:15" x14ac:dyDescent="0.25">
      <c r="A212" s="105" t="str">
        <f>'Data Vlaue (Cr)'!C207</f>
        <v>UNOMINDA</v>
      </c>
      <c r="B212" s="143">
        <f>VLOOKUP($A212,'Data shares'!$C:$FA,118)</f>
        <v>0.42</v>
      </c>
      <c r="C212" s="143">
        <f>VLOOKUP($A212,'Data shares'!$C:$FA,119)</f>
        <v>0.42</v>
      </c>
      <c r="D212" s="143">
        <f>VLOOKUP($A212,'Data shares'!$C:$FA,121)*100</f>
        <v>0</v>
      </c>
      <c r="E212" s="143">
        <f>VLOOKUP($A212,'Data shares'!$C:$FA,124)</f>
        <v>0.24</v>
      </c>
      <c r="F212" s="143">
        <f>VLOOKUP($A212,'Data shares'!$C:$FA,125)</f>
        <v>0.49</v>
      </c>
      <c r="G212" s="143">
        <f>VLOOKUP($A212,'Data shares'!$C:$FA,127)*100</f>
        <v>-51.019999999999996</v>
      </c>
      <c r="H212" s="103">
        <f>VLOOKUP($A212,'OI(Volume)'!$A$7:$O$445,8)</f>
        <v>0</v>
      </c>
      <c r="I212" s="103">
        <f>VLOOKUP($A212,'OI(Volume)'!$A$7:$O$445,9)</f>
        <v>0</v>
      </c>
      <c r="J212" s="103">
        <f>VLOOKUP($A212,'OI(Volume)'!$A$7:$O$445,11)</f>
        <v>0</v>
      </c>
      <c r="K212" s="103">
        <f>VLOOKUP($A212,'OI(Volume)'!$A$7:$O$445,12)</f>
        <v>0</v>
      </c>
      <c r="L212" s="103">
        <f>VLOOKUP($A212,'OI(Value)'!$A$7:$O$329,8,0)</f>
        <v>144</v>
      </c>
      <c r="M212" s="103">
        <f>VLOOKUP($A212,'OI(Value)'!$A$7:$O$329,9,0)</f>
        <v>11</v>
      </c>
      <c r="N212" s="103">
        <f>VLOOKUP($A212,'OI(Value)'!$A$7:$O$329,11,0)</f>
        <v>61</v>
      </c>
      <c r="O212" s="103">
        <f>VLOOKUP($A212,'OI(Value)'!$A$7:$O$329,12,0)</f>
        <v>6</v>
      </c>
    </row>
    <row r="213" spans="1:15" x14ac:dyDescent="0.25">
      <c r="A213" s="105" t="str">
        <f>'Data Vlaue (Cr)'!C208</f>
        <v>UPL</v>
      </c>
      <c r="B213" s="143">
        <f>VLOOKUP($A213,'Data shares'!$C:$FA,118)</f>
        <v>0.66</v>
      </c>
      <c r="C213" s="143">
        <f>VLOOKUP($A213,'Data shares'!$C:$FA,119)</f>
        <v>0.71</v>
      </c>
      <c r="D213" s="143">
        <f>VLOOKUP($A213,'Data shares'!$C:$FA,121)*100</f>
        <v>-7.04</v>
      </c>
      <c r="E213" s="143">
        <f>VLOOKUP($A213,'Data shares'!$C:$FA,124)</f>
        <v>0.45</v>
      </c>
      <c r="F213" s="143">
        <f>VLOOKUP($A213,'Data shares'!$C:$FA,125)</f>
        <v>0.37</v>
      </c>
      <c r="G213" s="143">
        <f>VLOOKUP($A213,'Data shares'!$C:$FA,127)*100</f>
        <v>21.62</v>
      </c>
      <c r="H213" s="103">
        <f>VLOOKUP($A213,'OI(Volume)'!$A$7:$O$445,8)</f>
        <v>0</v>
      </c>
      <c r="I213" s="103">
        <f>VLOOKUP($A213,'OI(Volume)'!$A$7:$O$445,9)</f>
        <v>0</v>
      </c>
      <c r="J213" s="103">
        <f>VLOOKUP($A213,'OI(Volume)'!$A$7:$O$445,11)</f>
        <v>0</v>
      </c>
      <c r="K213" s="103">
        <f>VLOOKUP($A213,'OI(Volume)'!$A$7:$O$445,12)</f>
        <v>0</v>
      </c>
      <c r="L213" s="103">
        <f>VLOOKUP($A213,'OI(Value)'!$A$7:$O$329,8,0)</f>
        <v>345</v>
      </c>
      <c r="M213" s="103">
        <f>VLOOKUP($A213,'OI(Value)'!$A$7:$O$329,9,0)</f>
        <v>32</v>
      </c>
      <c r="N213" s="103">
        <f>VLOOKUP($A213,'OI(Value)'!$A$7:$O$329,11,0)</f>
        <v>226</v>
      </c>
      <c r="O213" s="103">
        <f>VLOOKUP($A213,'OI(Value)'!$A$7:$O$329,12,0)</f>
        <v>5</v>
      </c>
    </row>
    <row r="214" spans="1:15" x14ac:dyDescent="0.25">
      <c r="A214" s="105" t="str">
        <f>'Data Vlaue (Cr)'!C209</f>
        <v>VBL</v>
      </c>
      <c r="B214" s="143">
        <f>VLOOKUP($A214,'Data shares'!$C:$FA,118)</f>
        <v>0.56000000000000005</v>
      </c>
      <c r="C214" s="143">
        <f>VLOOKUP($A214,'Data shares'!$C:$FA,119)</f>
        <v>0.56999999999999995</v>
      </c>
      <c r="D214" s="143">
        <f>VLOOKUP($A214,'Data shares'!$C:$FA,121)*100</f>
        <v>-1.7500000000000002</v>
      </c>
      <c r="E214" s="143">
        <f>VLOOKUP($A214,'Data shares'!$C:$FA,124)</f>
        <v>0.57999999999999996</v>
      </c>
      <c r="F214" s="143">
        <f>VLOOKUP($A214,'Data shares'!$C:$FA,125)</f>
        <v>0.62</v>
      </c>
      <c r="G214" s="143">
        <f>VLOOKUP($A214,'Data shares'!$C:$FA,127)*100</f>
        <v>-6.45</v>
      </c>
      <c r="H214" s="103">
        <f>VLOOKUP($A214,'OI(Volume)'!$A$7:$O$445,8)</f>
        <v>0</v>
      </c>
      <c r="I214" s="103">
        <f>VLOOKUP($A214,'OI(Volume)'!$A$7:$O$445,9)</f>
        <v>0</v>
      </c>
      <c r="J214" s="103">
        <f>VLOOKUP($A214,'OI(Volume)'!$A$7:$O$445,11)</f>
        <v>0</v>
      </c>
      <c r="K214" s="103">
        <f>VLOOKUP($A214,'OI(Volume)'!$A$7:$O$445,12)</f>
        <v>0</v>
      </c>
      <c r="L214" s="103">
        <f>VLOOKUP($A214,'OI(Value)'!$A$7:$O$329,8,0)</f>
        <v>595</v>
      </c>
      <c r="M214" s="103">
        <f>VLOOKUP($A214,'OI(Value)'!$A$7:$O$329,9,0)</f>
        <v>19</v>
      </c>
      <c r="N214" s="103">
        <f>VLOOKUP($A214,'OI(Value)'!$A$7:$O$329,11,0)</f>
        <v>331</v>
      </c>
      <c r="O214" s="103">
        <f>VLOOKUP($A214,'OI(Value)'!$A$7:$O$329,12,0)</f>
        <v>1</v>
      </c>
    </row>
    <row r="215" spans="1:15" x14ac:dyDescent="0.25">
      <c r="A215" s="105" t="str">
        <f>'Data Vlaue (Cr)'!C210</f>
        <v>VEDL</v>
      </c>
      <c r="B215" s="143">
        <f>VLOOKUP($A215,'Data shares'!$C:$FA,118)</f>
        <v>0.75</v>
      </c>
      <c r="C215" s="143">
        <f>VLOOKUP($A215,'Data shares'!$C:$FA,119)</f>
        <v>0.66</v>
      </c>
      <c r="D215" s="143">
        <f>VLOOKUP($A215,'Data shares'!$C:$FA,121)*100</f>
        <v>13.639999999999999</v>
      </c>
      <c r="E215" s="143">
        <f>VLOOKUP($A215,'Data shares'!$C:$FA,124)</f>
        <v>0.49</v>
      </c>
      <c r="F215" s="143">
        <f>VLOOKUP($A215,'Data shares'!$C:$FA,125)</f>
        <v>0.41</v>
      </c>
      <c r="G215" s="143">
        <f>VLOOKUP($A215,'Data shares'!$C:$FA,127)*100</f>
        <v>19.509999999999998</v>
      </c>
      <c r="H215" s="103">
        <f>VLOOKUP($A215,'OI(Volume)'!$A$7:$O$445,8)</f>
        <v>0</v>
      </c>
      <c r="I215" s="103">
        <f>VLOOKUP($A215,'OI(Volume)'!$A$7:$O$445,9)</f>
        <v>0</v>
      </c>
      <c r="J215" s="103">
        <f>VLOOKUP($A215,'OI(Volume)'!$A$7:$O$445,11)</f>
        <v>0</v>
      </c>
      <c r="K215" s="103">
        <f>VLOOKUP($A215,'OI(Volume)'!$A$7:$O$445,12)</f>
        <v>0</v>
      </c>
      <c r="L215" s="103">
        <f>VLOOKUP($A215,'OI(Value)'!$A$7:$O$329,8,0)</f>
        <v>956</v>
      </c>
      <c r="M215" s="103">
        <f>VLOOKUP($A215,'OI(Value)'!$A$7:$O$329,9,0)</f>
        <v>78</v>
      </c>
      <c r="N215" s="103">
        <f>VLOOKUP($A215,'OI(Value)'!$A$7:$O$329,11,0)</f>
        <v>722</v>
      </c>
      <c r="O215" s="103">
        <f>VLOOKUP($A215,'OI(Value)'!$A$7:$O$329,12,0)</f>
        <v>142</v>
      </c>
    </row>
    <row r="216" spans="1:15" x14ac:dyDescent="0.25">
      <c r="A216" s="105" t="str">
        <f>'Data Vlaue (Cr)'!C211</f>
        <v>VMM</v>
      </c>
      <c r="B216" s="143">
        <f>VLOOKUP($A216,'Data shares'!$C:$FA,118)</f>
        <v>0.45</v>
      </c>
      <c r="C216" s="143">
        <f>VLOOKUP($A216,'Data shares'!$C:$FA,119)</f>
        <v>0.52</v>
      </c>
      <c r="D216" s="143">
        <f>VLOOKUP($A216,'Data shares'!$C:$FA,121)*100</f>
        <v>-13.459999999999999</v>
      </c>
      <c r="E216" s="143">
        <f>VLOOKUP($A216,'Data shares'!$C:$FA,124)</f>
        <v>0.34</v>
      </c>
      <c r="F216" s="143">
        <f>VLOOKUP($A216,'Data shares'!$C:$FA,125)</f>
        <v>0.3</v>
      </c>
      <c r="G216" s="143">
        <f>VLOOKUP($A216,'Data shares'!$C:$FA,127)*100</f>
        <v>13.33</v>
      </c>
      <c r="H216" s="103">
        <f>VLOOKUP($A216,'OI(Volume)'!$A$7:$O$445,8)</f>
        <v>0</v>
      </c>
      <c r="I216" s="103">
        <f>VLOOKUP($A216,'OI(Volume)'!$A$7:$O$445,9)</f>
        <v>0</v>
      </c>
      <c r="J216" s="103">
        <f>VLOOKUP($A216,'OI(Volume)'!$A$7:$O$445,11)</f>
        <v>0</v>
      </c>
      <c r="K216" s="103">
        <f>VLOOKUP($A216,'OI(Volume)'!$A$7:$O$445,12)</f>
        <v>0</v>
      </c>
      <c r="L216" s="103">
        <f>VLOOKUP($A216,'OI(Value)'!$A$7:$O$329,8,0)</f>
        <v>50</v>
      </c>
      <c r="M216" s="103">
        <f>VLOOKUP($A216,'OI(Value)'!$A$7:$O$329,9,0)</f>
        <v>10</v>
      </c>
      <c r="N216" s="103">
        <f>VLOOKUP($A216,'OI(Value)'!$A$7:$O$329,11,0)</f>
        <v>22</v>
      </c>
      <c r="O216" s="103">
        <f>VLOOKUP($A216,'OI(Value)'!$A$7:$O$329,12,0)</f>
        <v>2</v>
      </c>
    </row>
    <row r="217" spans="1:15" x14ac:dyDescent="0.25">
      <c r="A217" s="105" t="str">
        <f>'Data Vlaue (Cr)'!C212</f>
        <v>VOLTAS</v>
      </c>
      <c r="B217" s="143">
        <f>VLOOKUP($A217,'Data shares'!$C:$FA,118)</f>
        <v>0.69</v>
      </c>
      <c r="C217" s="143">
        <f>VLOOKUP($A217,'Data shares'!$C:$FA,119)</f>
        <v>0.67</v>
      </c>
      <c r="D217" s="143">
        <f>VLOOKUP($A217,'Data shares'!$C:$FA,121)*100</f>
        <v>2.9899999999999998</v>
      </c>
      <c r="E217" s="143">
        <f>VLOOKUP($A217,'Data shares'!$C:$FA,124)</f>
        <v>0.46</v>
      </c>
      <c r="F217" s="143">
        <f>VLOOKUP($A217,'Data shares'!$C:$FA,125)</f>
        <v>0.72</v>
      </c>
      <c r="G217" s="143">
        <f>VLOOKUP($A217,'Data shares'!$C:$FA,127)*100</f>
        <v>-36.11</v>
      </c>
      <c r="H217" s="103">
        <f>VLOOKUP($A217,'OI(Volume)'!$A$7:$O$445,8)</f>
        <v>0</v>
      </c>
      <c r="I217" s="103">
        <f>VLOOKUP($A217,'OI(Volume)'!$A$7:$O$445,9)</f>
        <v>0</v>
      </c>
      <c r="J217" s="103">
        <f>VLOOKUP($A217,'OI(Volume)'!$A$7:$O$445,11)</f>
        <v>0</v>
      </c>
      <c r="K217" s="103">
        <f>VLOOKUP($A217,'OI(Volume)'!$A$7:$O$445,12)</f>
        <v>0</v>
      </c>
      <c r="L217" s="103">
        <f>VLOOKUP($A217,'OI(Value)'!$A$7:$O$329,8,0)</f>
        <v>600</v>
      </c>
      <c r="M217" s="103">
        <f>VLOOKUP($A217,'OI(Value)'!$A$7:$O$329,9,0)</f>
        <v>75</v>
      </c>
      <c r="N217" s="103">
        <f>VLOOKUP($A217,'OI(Value)'!$A$7:$O$329,11,0)</f>
        <v>415</v>
      </c>
      <c r="O217" s="103">
        <f>VLOOKUP($A217,'OI(Value)'!$A$7:$O$329,12,0)</f>
        <v>65</v>
      </c>
    </row>
    <row r="218" spans="1:15" x14ac:dyDescent="0.25">
      <c r="A218" s="105" t="str">
        <f>'Data Vlaue (Cr)'!C213</f>
        <v>WAAREEENER</v>
      </c>
      <c r="B218" s="143">
        <f>VLOOKUP($A218,'Data shares'!$C:$FA,118)</f>
        <v>0.56000000000000005</v>
      </c>
      <c r="C218" s="143">
        <f>VLOOKUP($A218,'Data shares'!$C:$FA,119)</f>
        <v>0.53</v>
      </c>
      <c r="D218" s="143">
        <f>VLOOKUP($A218,'Data shares'!$C:$FA,121)*100</f>
        <v>5.66</v>
      </c>
      <c r="E218" s="143">
        <f>VLOOKUP($A218,'Data shares'!$C:$FA,124)</f>
        <v>0.35</v>
      </c>
      <c r="F218" s="143">
        <f>VLOOKUP($A218,'Data shares'!$C:$FA,125)</f>
        <v>0.38</v>
      </c>
      <c r="G218" s="143">
        <f>VLOOKUP($A218,'Data shares'!$C:$FA,127)*100</f>
        <v>-7.89</v>
      </c>
      <c r="H218" s="103">
        <f>VLOOKUP($A218,'OI(Volume)'!$A$7:$O$445,8)</f>
        <v>0</v>
      </c>
      <c r="I218" s="103">
        <f>VLOOKUP($A218,'OI(Volume)'!$A$7:$O$445,9)</f>
        <v>0</v>
      </c>
      <c r="J218" s="103">
        <f>VLOOKUP($A218,'OI(Volume)'!$A$7:$O$445,11)</f>
        <v>0</v>
      </c>
      <c r="K218" s="103">
        <f>VLOOKUP($A218,'OI(Volume)'!$A$7:$O$445,12)</f>
        <v>0</v>
      </c>
      <c r="L218" s="103">
        <f>VLOOKUP($A218,'OI(Value)'!$A$7:$O$329,8,0)</f>
        <v>1385</v>
      </c>
      <c r="M218" s="103">
        <f>VLOOKUP($A218,'OI(Value)'!$A$7:$O$329,9,0)</f>
        <v>-63</v>
      </c>
      <c r="N218" s="103">
        <f>VLOOKUP($A218,'OI(Value)'!$A$7:$O$329,11,0)</f>
        <v>770</v>
      </c>
      <c r="O218" s="103">
        <f>VLOOKUP($A218,'OI(Value)'!$A$7:$O$329,12,0)</f>
        <v>6</v>
      </c>
    </row>
    <row r="219" spans="1:15" x14ac:dyDescent="0.25">
      <c r="A219" s="105" t="str">
        <f>'Data Vlaue (Cr)'!C214</f>
        <v>WIPRO</v>
      </c>
      <c r="B219" s="143">
        <f>VLOOKUP($A219,'Data shares'!$C:$FA,118)</f>
        <v>0.53</v>
      </c>
      <c r="C219" s="143">
        <f>VLOOKUP($A219,'Data shares'!$C:$FA,119)</f>
        <v>0.53</v>
      </c>
      <c r="D219" s="143">
        <f>VLOOKUP($A219,'Data shares'!$C:$FA,121)*100</f>
        <v>0</v>
      </c>
      <c r="E219" s="143">
        <f>VLOOKUP($A219,'Data shares'!$C:$FA,124)</f>
        <v>0.48</v>
      </c>
      <c r="F219" s="143">
        <f>VLOOKUP($A219,'Data shares'!$C:$FA,125)</f>
        <v>0.42</v>
      </c>
      <c r="G219" s="143">
        <f>VLOOKUP($A219,'Data shares'!$C:$FA,127)*100</f>
        <v>14.29</v>
      </c>
      <c r="H219" s="103">
        <f>VLOOKUP($A219,'OI(Volume)'!$A$7:$O$445,8)</f>
        <v>0</v>
      </c>
      <c r="I219" s="103">
        <f>VLOOKUP($A219,'OI(Volume)'!$A$7:$O$445,9)</f>
        <v>0</v>
      </c>
      <c r="J219" s="103">
        <f>VLOOKUP($A219,'OI(Volume)'!$A$7:$O$445,11)</f>
        <v>0</v>
      </c>
      <c r="K219" s="103">
        <f>VLOOKUP($A219,'OI(Volume)'!$A$7:$O$445,12)</f>
        <v>0</v>
      </c>
      <c r="L219" s="103">
        <f>VLOOKUP($A219,'OI(Value)'!$A$7:$O$329,8,0)</f>
        <v>2603</v>
      </c>
      <c r="M219" s="103">
        <f>VLOOKUP($A219,'OI(Value)'!$A$7:$O$329,9,0)</f>
        <v>8</v>
      </c>
      <c r="N219" s="103">
        <f>VLOOKUP($A219,'OI(Value)'!$A$7:$O$329,11,0)</f>
        <v>1373</v>
      </c>
      <c r="O219" s="103">
        <f>VLOOKUP($A219,'OI(Value)'!$A$7:$O$329,12,0)</f>
        <v>-13</v>
      </c>
    </row>
    <row r="220" spans="1:15" x14ac:dyDescent="0.25">
      <c r="A220" s="105" t="str">
        <f>'Data Vlaue (Cr)'!C215</f>
        <v>YESBANK</v>
      </c>
      <c r="B220" s="143">
        <f>VLOOKUP($A220,'Data shares'!$C:$FA,118)</f>
        <v>0.61</v>
      </c>
      <c r="C220" s="143">
        <f>VLOOKUP($A220,'Data shares'!$C:$FA,119)</f>
        <v>0.56999999999999995</v>
      </c>
      <c r="D220" s="143">
        <f>VLOOKUP($A220,'Data shares'!$C:$FA,121)*100</f>
        <v>7.02</v>
      </c>
      <c r="E220" s="143">
        <f>VLOOKUP($A220,'Data shares'!$C:$FA,124)</f>
        <v>0.31</v>
      </c>
      <c r="F220" s="143">
        <f>VLOOKUP($A220,'Data shares'!$C:$FA,125)</f>
        <v>0.31</v>
      </c>
      <c r="G220" s="143">
        <f>VLOOKUP($A220,'Data shares'!$C:$FA,127)*100</f>
        <v>0</v>
      </c>
      <c r="H220" s="103">
        <f>VLOOKUP($A220,'OI(Volume)'!$A$7:$O$445,8)</f>
        <v>0</v>
      </c>
      <c r="I220" s="103">
        <f>VLOOKUP($A220,'OI(Volume)'!$A$7:$O$445,9)</f>
        <v>0</v>
      </c>
      <c r="J220" s="103">
        <f>VLOOKUP($A220,'OI(Volume)'!$A$7:$O$445,11)</f>
        <v>0</v>
      </c>
      <c r="K220" s="103">
        <f>VLOOKUP($A220,'OI(Volume)'!$A$7:$O$445,12)</f>
        <v>0</v>
      </c>
      <c r="L220" s="103">
        <f>VLOOKUP($A220,'OI(Value)'!$A$7:$O$329,8,0)</f>
        <v>899</v>
      </c>
      <c r="M220" s="103">
        <f>VLOOKUP($A220,'OI(Value)'!$A$7:$O$329,9,0)</f>
        <v>140</v>
      </c>
      <c r="N220" s="103">
        <f>VLOOKUP($A220,'OI(Value)'!$A$7:$O$329,11,0)</f>
        <v>549</v>
      </c>
      <c r="O220" s="103">
        <f>VLOOKUP($A220,'OI(Value)'!$A$7:$O$329,12,0)</f>
        <v>115</v>
      </c>
    </row>
    <row r="221" spans="1:15" x14ac:dyDescent="0.25">
      <c r="A221" s="105" t="str">
        <f>'Data Vlaue (Cr)'!C216</f>
        <v>ZYDUSLIFE</v>
      </c>
      <c r="B221" s="143">
        <f>VLOOKUP($A221,'Data shares'!$C:$FA,118)</f>
        <v>0.62</v>
      </c>
      <c r="C221" s="143">
        <f>VLOOKUP($A221,'Data shares'!$C:$FA,119)</f>
        <v>0.7</v>
      </c>
      <c r="D221" s="143">
        <f>VLOOKUP($A221,'Data shares'!$C:$FA,121)*100</f>
        <v>-11.43</v>
      </c>
      <c r="E221" s="143">
        <f>VLOOKUP($A221,'Data shares'!$C:$FA,124)</f>
        <v>0.27</v>
      </c>
      <c r="F221" s="143">
        <f>VLOOKUP($A221,'Data shares'!$C:$FA,125)</f>
        <v>0.35</v>
      </c>
      <c r="G221" s="143">
        <f>VLOOKUP($A221,'Data shares'!$C:$FA,127)*100</f>
        <v>-22.86</v>
      </c>
      <c r="H221" s="103">
        <f>VLOOKUP($A221,'OI(Volume)'!$A$7:$O$445,8)</f>
        <v>0</v>
      </c>
      <c r="I221" s="103">
        <f>VLOOKUP($A221,'OI(Volume)'!$A$7:$O$445,9)</f>
        <v>0</v>
      </c>
      <c r="J221" s="103">
        <f>VLOOKUP($A221,'OI(Volume)'!$A$7:$O$445,11)</f>
        <v>0</v>
      </c>
      <c r="K221" s="103">
        <f>VLOOKUP($A221,'OI(Volume)'!$A$7:$O$445,12)</f>
        <v>0</v>
      </c>
      <c r="L221" s="103">
        <f>VLOOKUP($A221,'OI(Value)'!$A$7:$O$329,8,0)</f>
        <v>340</v>
      </c>
      <c r="M221" s="103">
        <f>VLOOKUP($A221,'OI(Value)'!$A$7:$O$329,9,0)</f>
        <v>52</v>
      </c>
      <c r="N221" s="103">
        <f>VLOOKUP($A221,'OI(Value)'!$A$7:$O$329,11,0)</f>
        <v>212</v>
      </c>
      <c r="O221" s="103">
        <f>VLOOKUP($A221,'OI(Value)'!$A$7:$O$329,12,0)</f>
        <v>9</v>
      </c>
    </row>
    <row r="222" spans="1:15" x14ac:dyDescent="0.25">
      <c r="A222" s="105"/>
      <c r="B222" s="143"/>
      <c r="C222" s="143"/>
      <c r="D222" s="143"/>
      <c r="E222" s="143"/>
      <c r="F222" s="143"/>
      <c r="G222" s="143"/>
      <c r="H222" s="103"/>
      <c r="I222" s="103"/>
      <c r="J222" s="103"/>
      <c r="K222" s="103"/>
      <c r="L222" s="103"/>
      <c r="M222" s="103"/>
      <c r="N222" s="103"/>
      <c r="O222" s="103"/>
    </row>
    <row r="223" spans="1:15" x14ac:dyDescent="0.25">
      <c r="A223" s="105"/>
      <c r="B223" s="143"/>
      <c r="C223" s="143"/>
      <c r="D223" s="143"/>
      <c r="E223" s="143"/>
      <c r="F223" s="143"/>
      <c r="G223" s="143"/>
      <c r="H223" s="103"/>
      <c r="I223" s="103"/>
      <c r="J223" s="103"/>
      <c r="K223" s="103"/>
      <c r="L223" s="103"/>
      <c r="M223" s="103"/>
      <c r="N223" s="103"/>
      <c r="O223" s="103"/>
    </row>
    <row r="224" spans="1:15" x14ac:dyDescent="0.25">
      <c r="A224" s="105"/>
      <c r="B224" s="143"/>
      <c r="C224" s="143"/>
      <c r="D224" s="143"/>
      <c r="E224" s="143"/>
      <c r="F224" s="143"/>
      <c r="G224" s="143"/>
      <c r="H224" s="103"/>
      <c r="I224" s="103"/>
      <c r="J224" s="103"/>
      <c r="K224" s="103"/>
      <c r="L224" s="103"/>
      <c r="M224" s="103"/>
      <c r="N224" s="103"/>
      <c r="O224" s="103"/>
    </row>
    <row r="225" spans="1:15" x14ac:dyDescent="0.25">
      <c r="A225" s="105"/>
      <c r="B225" s="143"/>
      <c r="C225" s="143"/>
      <c r="D225" s="143"/>
      <c r="E225" s="143"/>
      <c r="F225" s="143"/>
      <c r="G225" s="143"/>
      <c r="H225" s="103"/>
      <c r="I225" s="103"/>
      <c r="J225" s="103"/>
      <c r="K225" s="103"/>
      <c r="L225" s="103"/>
      <c r="M225" s="103"/>
      <c r="N225" s="103"/>
      <c r="O225" s="103"/>
    </row>
    <row r="226" spans="1:15" x14ac:dyDescent="0.25">
      <c r="A226" s="105"/>
      <c r="B226" s="143"/>
      <c r="C226" s="143"/>
      <c r="D226" s="143"/>
      <c r="E226" s="143"/>
      <c r="F226" s="143"/>
      <c r="G226" s="143"/>
      <c r="H226" s="103"/>
      <c r="I226" s="103"/>
      <c r="J226" s="103"/>
      <c r="K226" s="103"/>
      <c r="L226" s="103"/>
      <c r="M226" s="103"/>
      <c r="N226" s="103"/>
      <c r="O226" s="103"/>
    </row>
    <row r="227" spans="1:15" x14ac:dyDescent="0.25">
      <c r="A227" s="105"/>
      <c r="B227" s="143"/>
      <c r="C227" s="143"/>
      <c r="D227" s="143"/>
      <c r="E227" s="143"/>
      <c r="F227" s="143"/>
      <c r="G227" s="143"/>
      <c r="H227" s="103"/>
      <c r="I227" s="103"/>
      <c r="J227" s="103"/>
      <c r="K227" s="103"/>
      <c r="L227" s="103"/>
      <c r="M227" s="103"/>
      <c r="N227" s="103"/>
      <c r="O227" s="103"/>
    </row>
    <row r="228" spans="1:15" x14ac:dyDescent="0.25">
      <c r="A228" s="105"/>
      <c r="B228" s="143"/>
      <c r="C228" s="143"/>
      <c r="D228" s="143"/>
      <c r="E228" s="143"/>
      <c r="F228" s="143"/>
      <c r="G228" s="143"/>
      <c r="H228" s="103"/>
      <c r="I228" s="103"/>
      <c r="J228" s="103"/>
      <c r="K228" s="103"/>
      <c r="L228" s="103"/>
      <c r="M228" s="103"/>
      <c r="N228" s="103"/>
      <c r="O228" s="103"/>
    </row>
    <row r="229" spans="1:15" x14ac:dyDescent="0.25">
      <c r="A229" s="105"/>
      <c r="B229" s="143"/>
      <c r="C229" s="143"/>
      <c r="D229" s="143"/>
      <c r="E229" s="143"/>
      <c r="F229" s="143"/>
      <c r="G229" s="143"/>
      <c r="H229" s="103"/>
      <c r="I229" s="103"/>
      <c r="J229" s="103"/>
      <c r="K229" s="103"/>
      <c r="L229" s="103"/>
      <c r="M229" s="103"/>
      <c r="N229" s="103"/>
      <c r="O229" s="103"/>
    </row>
    <row r="230" spans="1:15" x14ac:dyDescent="0.25">
      <c r="A230" s="105"/>
      <c r="B230" s="143"/>
      <c r="C230" s="143"/>
      <c r="D230" s="143"/>
      <c r="E230" s="143"/>
      <c r="F230" s="143"/>
      <c r="G230" s="143"/>
      <c r="H230" s="103"/>
      <c r="I230" s="103"/>
      <c r="J230" s="103"/>
      <c r="K230" s="103"/>
      <c r="L230" s="103"/>
      <c r="M230" s="103"/>
      <c r="N230" s="103"/>
      <c r="O230" s="103"/>
    </row>
    <row r="231" spans="1:15" x14ac:dyDescent="0.25">
      <c r="A231" s="105"/>
      <c r="B231" s="143"/>
      <c r="C231" s="143"/>
      <c r="D231" s="143"/>
      <c r="E231" s="143"/>
      <c r="F231" s="143"/>
      <c r="G231" s="143"/>
      <c r="H231" s="103"/>
      <c r="I231" s="103"/>
      <c r="J231" s="103"/>
      <c r="K231" s="103"/>
      <c r="L231" s="103"/>
      <c r="M231" s="103"/>
      <c r="N231" s="103"/>
      <c r="O231" s="103"/>
    </row>
    <row r="232" spans="1:15" x14ac:dyDescent="0.25">
      <c r="A232" s="105"/>
      <c r="B232" s="143"/>
      <c r="C232" s="143"/>
      <c r="D232" s="143"/>
      <c r="E232" s="143"/>
      <c r="F232" s="143"/>
      <c r="G232" s="143"/>
      <c r="H232" s="103"/>
      <c r="I232" s="103"/>
      <c r="J232" s="103"/>
      <c r="K232" s="103"/>
      <c r="L232" s="103"/>
      <c r="M232" s="103"/>
      <c r="N232" s="103"/>
      <c r="O232" s="103"/>
    </row>
    <row r="233" spans="1:15" x14ac:dyDescent="0.25">
      <c r="A233" s="105"/>
      <c r="B233" s="143"/>
      <c r="C233" s="143"/>
      <c r="D233" s="143"/>
      <c r="E233" s="143"/>
      <c r="F233" s="143"/>
      <c r="G233" s="143"/>
      <c r="H233" s="103"/>
      <c r="I233" s="103"/>
      <c r="J233" s="103"/>
      <c r="K233" s="103"/>
      <c r="L233" s="103"/>
      <c r="M233" s="103"/>
      <c r="N233" s="103"/>
      <c r="O233" s="103"/>
    </row>
    <row r="234" spans="1:15" x14ac:dyDescent="0.25">
      <c r="A234" s="105"/>
      <c r="B234" s="143"/>
      <c r="C234" s="143"/>
      <c r="D234" s="143"/>
      <c r="E234" s="143"/>
      <c r="F234" s="143"/>
      <c r="G234" s="143"/>
      <c r="H234" s="103"/>
      <c r="I234" s="103"/>
      <c r="J234" s="103"/>
      <c r="K234" s="103"/>
      <c r="L234" s="103"/>
      <c r="M234" s="103"/>
      <c r="N234" s="103"/>
      <c r="O234" s="103"/>
    </row>
    <row r="235" spans="1:15" x14ac:dyDescent="0.25">
      <c r="A235" s="105"/>
      <c r="B235" s="143"/>
      <c r="C235" s="143"/>
      <c r="D235" s="143"/>
      <c r="E235" s="143"/>
      <c r="F235" s="143"/>
      <c r="G235" s="143"/>
      <c r="H235" s="103"/>
      <c r="I235" s="103"/>
      <c r="J235" s="103"/>
      <c r="K235" s="103"/>
      <c r="L235" s="103"/>
      <c r="M235" s="103"/>
      <c r="N235" s="103"/>
      <c r="O235" s="103"/>
    </row>
    <row r="236" spans="1:15" x14ac:dyDescent="0.25">
      <c r="A236" s="105"/>
      <c r="B236" s="143"/>
      <c r="C236" s="143"/>
      <c r="D236" s="143"/>
      <c r="E236" s="143"/>
      <c r="F236" s="143"/>
      <c r="G236" s="143"/>
      <c r="H236" s="103"/>
      <c r="I236" s="103"/>
      <c r="J236" s="103"/>
      <c r="K236" s="103"/>
      <c r="L236" s="103"/>
      <c r="M236" s="103"/>
      <c r="N236" s="103"/>
      <c r="O236" s="103"/>
    </row>
    <row r="237" spans="1:15" x14ac:dyDescent="0.25">
      <c r="A237" s="105"/>
      <c r="B237" s="143"/>
      <c r="C237" s="143"/>
      <c r="D237" s="143"/>
      <c r="E237" s="143"/>
      <c r="F237" s="143"/>
      <c r="G237" s="143"/>
      <c r="H237" s="103"/>
      <c r="I237" s="103"/>
      <c r="J237" s="103"/>
      <c r="K237" s="103"/>
      <c r="L237" s="103"/>
      <c r="M237" s="103"/>
      <c r="N237" s="103"/>
      <c r="O237" s="103"/>
    </row>
    <row r="238" spans="1:15" x14ac:dyDescent="0.25">
      <c r="A238" s="105"/>
      <c r="B238" s="143"/>
      <c r="C238" s="143"/>
      <c r="D238" s="143"/>
      <c r="E238" s="143"/>
      <c r="F238" s="143"/>
      <c r="G238" s="143"/>
      <c r="H238" s="103"/>
      <c r="I238" s="103"/>
      <c r="J238" s="103"/>
      <c r="K238" s="103"/>
      <c r="L238" s="103"/>
      <c r="M238" s="103"/>
      <c r="N238" s="103"/>
      <c r="O238" s="103"/>
    </row>
    <row r="239" spans="1:15" x14ac:dyDescent="0.25">
      <c r="A239" s="105"/>
      <c r="B239" s="143"/>
      <c r="C239" s="143"/>
      <c r="D239" s="143"/>
      <c r="E239" s="143"/>
      <c r="F239" s="143"/>
      <c r="G239" s="143"/>
      <c r="H239" s="103"/>
      <c r="I239" s="103"/>
      <c r="J239" s="103"/>
      <c r="K239" s="103"/>
      <c r="L239" s="103"/>
      <c r="M239" s="103"/>
      <c r="N239" s="103"/>
      <c r="O239" s="103"/>
    </row>
    <row r="240" spans="1:15" x14ac:dyDescent="0.25">
      <c r="A240" s="105"/>
      <c r="B240" s="143"/>
      <c r="C240" s="143"/>
      <c r="D240" s="143"/>
      <c r="E240" s="143"/>
      <c r="F240" s="143"/>
      <c r="G240" s="143"/>
      <c r="H240" s="103"/>
      <c r="I240" s="103"/>
      <c r="J240" s="103"/>
      <c r="K240" s="103"/>
      <c r="L240" s="103"/>
      <c r="M240" s="103"/>
      <c r="N240" s="103"/>
      <c r="O240" s="103"/>
    </row>
    <row r="241" spans="1:15" x14ac:dyDescent="0.25">
      <c r="A241" s="126" t="s">
        <v>391</v>
      </c>
      <c r="B241" s="136"/>
      <c r="C241" s="136"/>
      <c r="D241" s="136"/>
      <c r="E241" s="136"/>
      <c r="F241" s="136"/>
      <c r="G241" s="136"/>
      <c r="H241" s="135">
        <f t="shared" ref="H241:N241" si="0">SUM(H7:H227)</f>
        <v>4729905750</v>
      </c>
      <c r="I241" s="135">
        <f t="shared" si="0"/>
        <v>130114808</v>
      </c>
      <c r="J241" s="135">
        <f t="shared" si="0"/>
        <v>2970097517</v>
      </c>
      <c r="K241" s="135">
        <f t="shared" si="0"/>
        <v>179644686</v>
      </c>
      <c r="L241" s="135">
        <f t="shared" si="0"/>
        <v>704964</v>
      </c>
      <c r="M241" s="135">
        <f t="shared" si="0"/>
        <v>84652</v>
      </c>
      <c r="N241" s="135">
        <f t="shared" si="0"/>
        <v>719850</v>
      </c>
      <c r="O241" s="135">
        <f>SUM(O7:O240)</f>
        <v>145393</v>
      </c>
    </row>
    <row r="242" spans="1:15" x14ac:dyDescent="0.25">
      <c r="A242" s="126" t="s">
        <v>415</v>
      </c>
      <c r="B242" s="136"/>
      <c r="C242" s="136"/>
      <c r="D242" s="136"/>
      <c r="E242" s="136"/>
      <c r="F242" s="136"/>
      <c r="G242" s="136"/>
      <c r="H242" s="137">
        <f>H241/10000000</f>
        <v>472.99057499999998</v>
      </c>
      <c r="I242" s="137">
        <f>I241/10000000</f>
        <v>13.011480799999999</v>
      </c>
      <c r="J242" s="137">
        <f>J241/10000000</f>
        <v>297.00975169999998</v>
      </c>
      <c r="K242" s="137">
        <f>K241/10000000</f>
        <v>17.9644686</v>
      </c>
      <c r="L242" s="138">
        <f>L241</f>
        <v>704964</v>
      </c>
      <c r="M242" s="138">
        <f>M241</f>
        <v>84652</v>
      </c>
      <c r="N242" s="138">
        <f>N241</f>
        <v>719850</v>
      </c>
      <c r="O242" s="138">
        <f>O241</f>
        <v>145393</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NIFTY GRP</vt:lpstr>
      <vt:lpstr>Data Vlaue (Cr)</vt:lpstr>
      <vt:lpstr>Data shares</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2026-02-05T03:35:01Z</cp:lastPrinted>
  <dcterms:created xsi:type="dcterms:W3CDTF">2020-04-05T11:10:02Z</dcterms:created>
  <dcterms:modified xsi:type="dcterms:W3CDTF">2026-05-07T03:26:46Z</dcterms:modified>
</cp:coreProperties>
</file>